
<file path=[Content_Types].xml><?xml version="1.0" encoding="utf-8"?>
<Types xmlns="http://schemas.openxmlformats.org/package/2006/content-types"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27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ml.chartshapes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omments10.xml" ContentType="application/vnd.openxmlformats-officedocument.spreadsheetml.comments+xml"/>
  <Override PartName="/xl/charts/chart30.xml" ContentType="application/vnd.openxmlformats-officedocument.drawingml.char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ml.chartshapes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drawings/drawing11.xml" ContentType="application/vnd.openxmlformats-officedocument.drawing+xml"/>
  <Override PartName="/xl/charts/chart2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1305" yWindow="-150" windowWidth="12600" windowHeight="11640" tabRatio="696" activeTab="2"/>
  </bookViews>
  <sheets>
    <sheet name="Winter" sheetId="1" r:id="rId1"/>
    <sheet name="Feb" sheetId="18" r:id="rId2"/>
    <sheet name="Mar" sheetId="19" r:id="rId3"/>
    <sheet name="Apr" sheetId="28" r:id="rId4"/>
    <sheet name="May" sheetId="29" r:id="rId5"/>
    <sheet name="Jun" sheetId="30" r:id="rId6"/>
    <sheet name="Jul" sheetId="31" r:id="rId7"/>
    <sheet name="Summer" sheetId="6" r:id="rId8"/>
    <sheet name="Sep" sheetId="32" r:id="rId9"/>
    <sheet name="Oct" sheetId="33" r:id="rId10"/>
    <sheet name="Nov" sheetId="34" r:id="rId11"/>
    <sheet name="Dec" sheetId="35" r:id="rId12"/>
    <sheet name="Interruptible Forecast" sheetId="22" r:id="rId13"/>
    <sheet name="Monthly Peaks" sheetId="23" r:id="rId14"/>
    <sheet name="FALL13 vs TYSP13" sheetId="36" r:id="rId15"/>
    <sheet name="SEP12 vs TYSP12" sheetId="39" state="hidden" r:id="rId16"/>
    <sheet name="Fall13 vs Spr13" sheetId="38" r:id="rId17"/>
    <sheet name="By Load Area" sheetId="27" state="hidden" r:id="rId18"/>
    <sheet name="Assumptions" sheetId="25" r:id="rId19"/>
    <sheet name="SMC" sheetId="41" state="hidden" r:id="rId20"/>
    <sheet name="Freq Bias" sheetId="42" state="hidden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3" hidden="1">Apr!$A$6:$Y$53</definedName>
    <definedName name="_xlnm._FilterDatabase" localSheetId="11" hidden="1">Dec!$A$6:$X$53</definedName>
    <definedName name="_xlnm._FilterDatabase" localSheetId="6" hidden="1">Jul!$A$6:$Y$53</definedName>
    <definedName name="_xlnm._FilterDatabase" localSheetId="5" hidden="1">Jun!$A$6:$Y$53</definedName>
    <definedName name="_xlnm._FilterDatabase" localSheetId="2" hidden="1">Mar!$A$6:$Y$53</definedName>
    <definedName name="_xlnm._FilterDatabase" localSheetId="4" hidden="1">May!$A$6:$Y$53</definedName>
    <definedName name="_xlnm._FilterDatabase" localSheetId="10" hidden="1">Nov!$A$6:$Y$53</definedName>
    <definedName name="_xlnm._FilterDatabase" localSheetId="9" hidden="1">Oct!$A$6:$Y$53</definedName>
    <definedName name="_xlnm._FilterDatabase" localSheetId="8" hidden="1">Sep!$A$6:$Y$53</definedName>
    <definedName name="AV2HR_X" localSheetId="15">#REF!</definedName>
    <definedName name="AV2HR_X" localSheetId="19">#REF!</definedName>
    <definedName name="AV2HR_X">#REF!</definedName>
    <definedName name="AV2HR_Y" localSheetId="15">#REF!</definedName>
    <definedName name="AV2HR_Y" localSheetId="19">#REF!</definedName>
    <definedName name="AV2HR_Y">#REF!</definedName>
    <definedName name="AV8HR_REG" localSheetId="15">#REF!</definedName>
    <definedName name="AV8HR_REG" localSheetId="19">#REF!</definedName>
    <definedName name="AV8HR_REG">#REF!</definedName>
    <definedName name="AV8HR_X" localSheetId="15">#REF!</definedName>
    <definedName name="AV8HR_X" localSheetId="19">#REF!</definedName>
    <definedName name="AV8HR_X">#REF!</definedName>
    <definedName name="AV8HR_Y" localSheetId="15">#REF!</definedName>
    <definedName name="AV8HR_Y" localSheetId="19">#REF!</definedName>
    <definedName name="AV8HR_Y">#REF!</definedName>
    <definedName name="AV8HR1_REG" localSheetId="15">#REF!</definedName>
    <definedName name="AV8HR1_REG" localSheetId="19">#REF!</definedName>
    <definedName name="AV8HR1_REG">#REF!</definedName>
    <definedName name="AV8HR1_X" localSheetId="15">#REF!</definedName>
    <definedName name="AV8HR1_X" localSheetId="19">#REF!</definedName>
    <definedName name="AV8HR1_X">#REF!</definedName>
    <definedName name="AV8HR1_Y" localSheetId="15">#REF!</definedName>
    <definedName name="AV8HR1_Y" localSheetId="19">#REF!</definedName>
    <definedName name="AV8HR1_Y">#REF!</definedName>
    <definedName name="CDD_REG" localSheetId="15">#REF!</definedName>
    <definedName name="CDD_REG" localSheetId="19">#REF!</definedName>
    <definedName name="CDD_REG">#REF!</definedName>
    <definedName name="CDD_X" localSheetId="15">#REF!</definedName>
    <definedName name="CDD_X" localSheetId="19">#REF!</definedName>
    <definedName name="CDD_X">#REF!</definedName>
    <definedName name="CDD_Y" localSheetId="15">#REF!</definedName>
    <definedName name="CDD_Y" localSheetId="19">#REF!</definedName>
    <definedName name="CDD_Y">#REF!</definedName>
    <definedName name="cdd1_reg" localSheetId="15">#REF!</definedName>
    <definedName name="cdd1_reg" localSheetId="19">#REF!</definedName>
    <definedName name="cdd1_reg">#REF!</definedName>
    <definedName name="cdd1_x" localSheetId="15">#REF!</definedName>
    <definedName name="cdd1_x" localSheetId="19">#REF!</definedName>
    <definedName name="cdd1_x">#REF!</definedName>
    <definedName name="cdd1_y" localSheetId="15">#REF!</definedName>
    <definedName name="cdd1_y" localSheetId="19">#REF!</definedName>
    <definedName name="cdd1_y">#REF!</definedName>
    <definedName name="_xlnm.Criteria" localSheetId="3">Apr!#REF!</definedName>
    <definedName name="_xlnm.Criteria" localSheetId="11">Dec!#REF!</definedName>
    <definedName name="_xlnm.Criteria" localSheetId="6">Jul!#REF!</definedName>
    <definedName name="_xlnm.Criteria" localSheetId="5">Jun!#REF!</definedName>
    <definedName name="_xlnm.Criteria" localSheetId="2">Mar!#REF!</definedName>
    <definedName name="_xlnm.Criteria" localSheetId="4">May!#REF!</definedName>
    <definedName name="_xlnm.Criteria" localSheetId="10">Nov!#REF!</definedName>
    <definedName name="_xlnm.Criteria" localSheetId="9">Oct!#REF!</definedName>
    <definedName name="_xlnm.Criteria" localSheetId="8">Sep!#REF!</definedName>
    <definedName name="_xlnm.Extract" localSheetId="3">Apr!$AD$17:$AG$17</definedName>
    <definedName name="_xlnm.Extract" localSheetId="11">Dec!$AD$17:$AH$17</definedName>
    <definedName name="_xlnm.Extract" localSheetId="6">Jul!$AD$17:$AG$17</definedName>
    <definedName name="_xlnm.Extract" localSheetId="5">Jun!$AD$17:$AG$17</definedName>
    <definedName name="_xlnm.Extract" localSheetId="2">Mar!$AC$17:$AF$17</definedName>
    <definedName name="_xlnm.Extract" localSheetId="4">May!$AD$17:$AG$17</definedName>
    <definedName name="_xlnm.Extract" localSheetId="10">Nov!#REF!</definedName>
    <definedName name="_xlnm.Extract" localSheetId="9">Oct!$AD$17:$AG$17</definedName>
    <definedName name="_xlnm.Extract" localSheetId="8">Sep!$AD$17:$AG$17</definedName>
    <definedName name="FRU_WINTER_REGRESSION" localSheetId="15">#REF!</definedName>
    <definedName name="FRU_WINTER_REGRESSION" localSheetId="19">#REF!</definedName>
    <definedName name="FRU_WINTER_REGRESSION">#REF!</definedName>
    <definedName name="HDD_REG" localSheetId="15">#REF!</definedName>
    <definedName name="HDD_REG" localSheetId="19">#REF!</definedName>
    <definedName name="HDD_REG">#REF!</definedName>
    <definedName name="HDD_X" localSheetId="15">#REF!</definedName>
    <definedName name="HDD_X" localSheetId="19">#REF!</definedName>
    <definedName name="HDD_X">#REF!</definedName>
    <definedName name="HDD_Y" localSheetId="15">#REF!</definedName>
    <definedName name="HDD_Y" localSheetId="19">#REF!</definedName>
    <definedName name="HDD_Y">#REF!</definedName>
    <definedName name="MONTHLY" localSheetId="17">'[1]Interruptible Forecast'!$S$5:$AE$53,'[1]Interruptible Forecast'!$S$56:$AE$79</definedName>
    <definedName name="MONTHLY" localSheetId="12">'Interruptible Forecast'!$S$5:$AE$78,'Interruptible Forecast'!$S$81:$AE$124</definedName>
    <definedName name="PKHR_REG" localSheetId="15">#REF!</definedName>
    <definedName name="PKHR_REG" localSheetId="19">#REF!</definedName>
    <definedName name="PKHR_REG">#REF!</definedName>
    <definedName name="PKHR_X" localSheetId="15">#REF!</definedName>
    <definedName name="PKHR_X" localSheetId="19">#REF!</definedName>
    <definedName name="PKHR_X">#REF!</definedName>
    <definedName name="PKHR_Y" localSheetId="15">#REF!</definedName>
    <definedName name="PKHR_Y" localSheetId="19">#REF!</definedName>
    <definedName name="PKHR_Y">#REF!</definedName>
    <definedName name="_xlnm.Print_Area" localSheetId="3">Apr!$AD$1:$AV$53,Apr!$A$1:$U$33</definedName>
    <definedName name="_xlnm.Print_Area" localSheetId="18">Assumptions!$A$1:$O$53</definedName>
    <definedName name="_xlnm.Print_Area" localSheetId="17">'By Load Area'!$A$1:$O$153</definedName>
    <definedName name="_xlnm.Print_Area" localSheetId="11">Dec!$AE$1:$AW$53,Dec!$A$1:$U$33</definedName>
    <definedName name="_xlnm.Print_Area" localSheetId="16">'Fall13 vs Spr13'!$A$1:$R$154</definedName>
    <definedName name="_xlnm.Print_Area" localSheetId="14">'FALL13 vs TYSP13'!$S$3:$X$49</definedName>
    <definedName name="_xlnm.Print_Area" localSheetId="1">Feb!$AB$1:$AV$53,Feb!$A$1:$U$33</definedName>
    <definedName name="_xlnm.Print_Area" localSheetId="12">'Interruptible Forecast'!$A$5:$Q$44</definedName>
    <definedName name="_xlnm.Print_Area" localSheetId="6">Jul!$AD$1:$AV$53,Jul!$A$1:$U$33</definedName>
    <definedName name="_xlnm.Print_Area" localSheetId="5">Jun!$AD$1:$AV$53,Jun!$A$1:$U$33</definedName>
    <definedName name="_xlnm.Print_Area" localSheetId="2">Mar!$AD$1:$AV$53,Mar!$A$1:$U$33</definedName>
    <definedName name="_xlnm.Print_Area" localSheetId="4">May!$AD$1:$AV$53,May!$A$1:$U$33</definedName>
    <definedName name="_xlnm.Print_Area" localSheetId="13">'Monthly Peaks'!$P$601:$CK$623,'Monthly Peaks'!$P$800:$AC$943,'Monthly Peaks'!$A$441:$N$2124</definedName>
    <definedName name="_xlnm.Print_Area" localSheetId="10">Nov!$AD$1:$AV$53,Nov!$A$1:$U$33</definedName>
    <definedName name="_xlnm.Print_Area" localSheetId="9">Oct!$AD$1:$AV$53,Oct!$A$1:$U$33</definedName>
    <definedName name="_xlnm.Print_Area" localSheetId="8">Sep!$AD$1:$AV$53,Sep!$A$1:$U$33</definedName>
    <definedName name="_xlnm.Print_Area" localSheetId="15">'SEP12 vs TYSP12'!$A$1:$R$172</definedName>
    <definedName name="_xlnm.Print_Area" localSheetId="7">Summer!$A$1:$AC$63</definedName>
    <definedName name="_xlnm.Print_Area" localSheetId="0">Winter!$A$1:$V$36</definedName>
    <definedName name="Print_Area_HDD" localSheetId="15">#REF!</definedName>
    <definedName name="Print_Area_HDD" localSheetId="19">#REF!</definedName>
    <definedName name="Print_Area_HDD">#REF!</definedName>
    <definedName name="Print_Area_HIST" localSheetId="15">#REF!</definedName>
    <definedName name="Print_Area_HIST" localSheetId="19">#REF!</definedName>
    <definedName name="Print_Area_HIST">#REF!</definedName>
    <definedName name="Print_Area_PKHR" localSheetId="15">#REF!</definedName>
    <definedName name="Print_Area_PKHR" localSheetId="19">#REF!</definedName>
    <definedName name="Print_Area_PKHR">#REF!</definedName>
    <definedName name="Print_Area_REG" localSheetId="15">#REF!,#REF!,#REF!,#REF!</definedName>
    <definedName name="Print_Area_REG" localSheetId="19">#REF!,#REF!,#REF!,#REF!</definedName>
    <definedName name="Print_Area_REG">#REF!,#REF!,#REF!,#REF!</definedName>
    <definedName name="Print_Area_WGTD" localSheetId="15">#REF!</definedName>
    <definedName name="Print_Area_WGTD" localSheetId="19">#REF!</definedName>
    <definedName name="Print_Area_WGTD">#REF!</definedName>
    <definedName name="r_1" localSheetId="15">#REF!</definedName>
    <definedName name="r_1" localSheetId="19">#REF!</definedName>
    <definedName name="r_1">#REF!</definedName>
    <definedName name="sav2hr_reg" localSheetId="15">#REF!</definedName>
    <definedName name="sav2hr_reg" localSheetId="19">#REF!</definedName>
    <definedName name="sav2hr_reg">#REF!</definedName>
    <definedName name="sav2hr_x" localSheetId="15">#REF!</definedName>
    <definedName name="sav2hr_x" localSheetId="19">#REF!</definedName>
    <definedName name="sav2hr_x">#REF!</definedName>
    <definedName name="sav2hr_y" localSheetId="15">#REF!</definedName>
    <definedName name="sav2hr_y" localSheetId="19">#REF!</definedName>
    <definedName name="sav2hr_y">#REF!</definedName>
    <definedName name="sav2hr1_reg" localSheetId="15">#REF!</definedName>
    <definedName name="sav2hr1_reg" localSheetId="19">#REF!</definedName>
    <definedName name="sav2hr1_reg">#REF!</definedName>
    <definedName name="sav2hr1_x" localSheetId="15">#REF!</definedName>
    <definedName name="sav2hr1_x" localSheetId="19">#REF!</definedName>
    <definedName name="sav2hr1_x">#REF!</definedName>
    <definedName name="sav2hr1_y" localSheetId="15">#REF!</definedName>
    <definedName name="sav2hr1_y" localSheetId="19">#REF!</definedName>
    <definedName name="sav2hr1_y">#REF!</definedName>
    <definedName name="SEASONAL" localSheetId="12">'Interruptible Forecast'!$A$5:$R$64</definedName>
    <definedName name="SPKHR_REG" localSheetId="15">#REF!</definedName>
    <definedName name="SPKHR_REG" localSheetId="19">#REF!</definedName>
    <definedName name="SPKHR_REG">#REF!</definedName>
    <definedName name="SPKHR_X" localSheetId="15">#REF!</definedName>
    <definedName name="SPKHR_X" localSheetId="19">#REF!</definedName>
    <definedName name="SPKHR_X">#REF!</definedName>
    <definedName name="SPKHR_Y" localSheetId="15">#REF!</definedName>
    <definedName name="SPKHR_Y" localSheetId="19">#REF!</definedName>
    <definedName name="SPKHR_Y">#REF!</definedName>
    <definedName name="SPKHR1_REG" localSheetId="15">#REF!</definedName>
    <definedName name="SPKHR1_REG" localSheetId="19">#REF!</definedName>
    <definedName name="SPKHR1_REG">#REF!</definedName>
    <definedName name="SPKHR1_X" localSheetId="15">#REF!</definedName>
    <definedName name="SPKHR1_X" localSheetId="19">#REF!</definedName>
    <definedName name="SPKHR1_X">#REF!</definedName>
    <definedName name="SPKHR1_Y" localSheetId="15">#REF!</definedName>
    <definedName name="SPKHR1_Y" localSheetId="19">#REF!</definedName>
    <definedName name="SPKHR1_Y">#REF!</definedName>
    <definedName name="SUMMER" localSheetId="15">#REF!</definedName>
    <definedName name="SUMMER" localSheetId="19">#REF!</definedName>
    <definedName name="SUMMER">#REF!</definedName>
    <definedName name="SWGTD_REG" localSheetId="15">#REF!</definedName>
    <definedName name="SWGTD_REG" localSheetId="19">#REF!</definedName>
    <definedName name="SWGTD_REG">#REF!</definedName>
    <definedName name="SWGTD_X" localSheetId="15">#REF!</definedName>
    <definedName name="SWGTD_X" localSheetId="19">#REF!</definedName>
    <definedName name="SWGTD_X">#REF!</definedName>
    <definedName name="SWGTD_Y" localSheetId="15">#REF!</definedName>
    <definedName name="SWGTD_Y" localSheetId="19">#REF!</definedName>
    <definedName name="SWGTD_Y">#REF!</definedName>
    <definedName name="swgtd1_reg" localSheetId="15">#REF!</definedName>
    <definedName name="swgtd1_reg" localSheetId="19">#REF!</definedName>
    <definedName name="swgtd1_reg">#REF!</definedName>
    <definedName name="swgtd1_x" localSheetId="15">#REF!</definedName>
    <definedName name="swgtd1_x" localSheetId="19">#REF!</definedName>
    <definedName name="swgtd1_x">#REF!</definedName>
    <definedName name="swgtd1_y" localSheetId="15">#REF!</definedName>
    <definedName name="swgtd1_y" localSheetId="19">#REF!</definedName>
    <definedName name="swgtd1_y">#REF!</definedName>
    <definedName name="WGTD_REG" localSheetId="15">#REF!</definedName>
    <definedName name="WGTD_REG" localSheetId="19">#REF!</definedName>
    <definedName name="WGTD_REG">#REF!</definedName>
    <definedName name="WGTD_X" localSheetId="15">#REF!</definedName>
    <definedName name="WGTD_X" localSheetId="19">#REF!</definedName>
    <definedName name="WGTD_X">#REF!</definedName>
    <definedName name="WGTD_Y" localSheetId="15">#REF!</definedName>
    <definedName name="WGTD_Y" localSheetId="19">#REF!</definedName>
    <definedName name="WGTD_Y">#REF!</definedName>
    <definedName name="WINTER" localSheetId="15">#REF!</definedName>
    <definedName name="WINTER" localSheetId="19">#REF!</definedName>
    <definedName name="WINTER">#REF!</definedName>
    <definedName name="x_1" localSheetId="15">#REF!</definedName>
    <definedName name="x_1" localSheetId="19">#REF!</definedName>
    <definedName name="x_1">#REF!</definedName>
    <definedName name="y_1" localSheetId="15">#REF!</definedName>
    <definedName name="y_1" localSheetId="19">#REF!</definedName>
    <definedName name="y_1">#REF!</definedName>
  </definedNames>
  <calcPr calcId="125725"/>
</workbook>
</file>

<file path=xl/calcChain.xml><?xml version="1.0" encoding="utf-8"?>
<calcChain xmlns="http://schemas.openxmlformats.org/spreadsheetml/2006/main">
  <c r="AF607" i="23"/>
  <c r="AR47" i="1" l="1"/>
  <c r="CJ633" i="23" l="1"/>
  <c r="CI633"/>
  <c r="CH633"/>
  <c r="CG633"/>
  <c r="CF633"/>
  <c r="CE633"/>
  <c r="CD633"/>
  <c r="CC633"/>
  <c r="CB633"/>
  <c r="CA633"/>
  <c r="BZ633"/>
  <c r="BY633"/>
  <c r="CJ632"/>
  <c r="CI632"/>
  <c r="CH632"/>
  <c r="CG632"/>
  <c r="CF632"/>
  <c r="CE632"/>
  <c r="CD632"/>
  <c r="CC632"/>
  <c r="CB632"/>
  <c r="CA632"/>
  <c r="BZ632"/>
  <c r="BY632"/>
  <c r="CJ631"/>
  <c r="CI631"/>
  <c r="CH631"/>
  <c r="CG631"/>
  <c r="CF631"/>
  <c r="CE631"/>
  <c r="CD631"/>
  <c r="CC631"/>
  <c r="CB631"/>
  <c r="CA631"/>
  <c r="BZ631"/>
  <c r="BY631"/>
  <c r="CJ630"/>
  <c r="CI630"/>
  <c r="CH630"/>
  <c r="CG630"/>
  <c r="CF630"/>
  <c r="CE630"/>
  <c r="CD630"/>
  <c r="CC630"/>
  <c r="CB630"/>
  <c r="CA630"/>
  <c r="BZ630"/>
  <c r="BY630"/>
  <c r="CJ629"/>
  <c r="CI629"/>
  <c r="CH629"/>
  <c r="CG629"/>
  <c r="CF629"/>
  <c r="CE629"/>
  <c r="CD629"/>
  <c r="CC629"/>
  <c r="CB629"/>
  <c r="CA629"/>
  <c r="BZ629"/>
  <c r="BY629"/>
  <c r="CJ628"/>
  <c r="CI628"/>
  <c r="CH628"/>
  <c r="CG628"/>
  <c r="CF628"/>
  <c r="CE628"/>
  <c r="CD628"/>
  <c r="CC628"/>
  <c r="CB628"/>
  <c r="CA628"/>
  <c r="BZ628"/>
  <c r="BY628"/>
  <c r="CJ627"/>
  <c r="CI627"/>
  <c r="CH627"/>
  <c r="CG627"/>
  <c r="CF627"/>
  <c r="CE627"/>
  <c r="CD627"/>
  <c r="CC627"/>
  <c r="CB627"/>
  <c r="CA627"/>
  <c r="BZ627"/>
  <c r="BY627"/>
  <c r="CJ626"/>
  <c r="CI626"/>
  <c r="CH626"/>
  <c r="CG626"/>
  <c r="CF626"/>
  <c r="CE626"/>
  <c r="CD626"/>
  <c r="CC626"/>
  <c r="CB626"/>
  <c r="CA626"/>
  <c r="BZ626"/>
  <c r="BY626"/>
  <c r="CJ625"/>
  <c r="CI625"/>
  <c r="CH625"/>
  <c r="CG625"/>
  <c r="CF625"/>
  <c r="CE625"/>
  <c r="CD625"/>
  <c r="CC625"/>
  <c r="CB625"/>
  <c r="CA625"/>
  <c r="BZ625"/>
  <c r="BY625"/>
  <c r="CJ624"/>
  <c r="CI624"/>
  <c r="CH624"/>
  <c r="CG624"/>
  <c r="CF624"/>
  <c r="CE624"/>
  <c r="CD624"/>
  <c r="CC624"/>
  <c r="CB624"/>
  <c r="CA624"/>
  <c r="BZ624"/>
  <c r="BY624"/>
  <c r="CJ623"/>
  <c r="CI623"/>
  <c r="CH623"/>
  <c r="CG623"/>
  <c r="CF623"/>
  <c r="CE623"/>
  <c r="CD623"/>
  <c r="CC623"/>
  <c r="CB623"/>
  <c r="CA623"/>
  <c r="BZ623"/>
  <c r="BY623"/>
  <c r="CJ622"/>
  <c r="CI622"/>
  <c r="CH622"/>
  <c r="CG622"/>
  <c r="CF622"/>
  <c r="CE622"/>
  <c r="CD622"/>
  <c r="CC622"/>
  <c r="CB622"/>
  <c r="CA622"/>
  <c r="BZ622"/>
  <c r="BY622"/>
  <c r="CJ621"/>
  <c r="CI621"/>
  <c r="CH621"/>
  <c r="CG621"/>
  <c r="CF621"/>
  <c r="CE621"/>
  <c r="CD621"/>
  <c r="CC621"/>
  <c r="CB621"/>
  <c r="CA621"/>
  <c r="BZ621"/>
  <c r="BY621"/>
  <c r="CJ620"/>
  <c r="CI620"/>
  <c r="CH620"/>
  <c r="CG620"/>
  <c r="CF620"/>
  <c r="CE620"/>
  <c r="CD620"/>
  <c r="CC620"/>
  <c r="CB620"/>
  <c r="CA620"/>
  <c r="BZ620"/>
  <c r="BY620"/>
  <c r="CJ619"/>
  <c r="CI619"/>
  <c r="CH619"/>
  <c r="CG619"/>
  <c r="CF619"/>
  <c r="CE619"/>
  <c r="CD619"/>
  <c r="CC619"/>
  <c r="CB619"/>
  <c r="CA619"/>
  <c r="BZ619"/>
  <c r="BY619"/>
  <c r="CJ618"/>
  <c r="CI618"/>
  <c r="CH618"/>
  <c r="CG618"/>
  <c r="CF618"/>
  <c r="CE618"/>
  <c r="CD618"/>
  <c r="CC618"/>
  <c r="CB618"/>
  <c r="CA618"/>
  <c r="BZ618"/>
  <c r="BY618"/>
  <c r="CJ617"/>
  <c r="CI617"/>
  <c r="CH617"/>
  <c r="CG617"/>
  <c r="CF617"/>
  <c r="CE617"/>
  <c r="CD617"/>
  <c r="CC617"/>
  <c r="CB617"/>
  <c r="CA617"/>
  <c r="BZ617"/>
  <c r="BY617"/>
  <c r="CJ616"/>
  <c r="CI616"/>
  <c r="CH616"/>
  <c r="CG616"/>
  <c r="CF616"/>
  <c r="CE616"/>
  <c r="CD616"/>
  <c r="CC616"/>
  <c r="CB616"/>
  <c r="CA616"/>
  <c r="BZ616"/>
  <c r="BY616"/>
  <c r="CJ615"/>
  <c r="CI615"/>
  <c r="CH615"/>
  <c r="CG615"/>
  <c r="CF615"/>
  <c r="CE615"/>
  <c r="CD615"/>
  <c r="CC615"/>
  <c r="CB615"/>
  <c r="CA615"/>
  <c r="BZ615"/>
  <c r="BY615"/>
  <c r="CJ614"/>
  <c r="CI614"/>
  <c r="CH614"/>
  <c r="CG614"/>
  <c r="CF614"/>
  <c r="CE614"/>
  <c r="CD614"/>
  <c r="CC614"/>
  <c r="CB614"/>
  <c r="CA614"/>
  <c r="BZ614"/>
  <c r="BY614"/>
  <c r="CJ613"/>
  <c r="CI613"/>
  <c r="CH613"/>
  <c r="CG613"/>
  <c r="CF613"/>
  <c r="CE613"/>
  <c r="CD613"/>
  <c r="CC613"/>
  <c r="CB613"/>
  <c r="CA613"/>
  <c r="BZ613"/>
  <c r="BY613"/>
  <c r="CJ612"/>
  <c r="CI612"/>
  <c r="CH612"/>
  <c r="CG612"/>
  <c r="CF612"/>
  <c r="CE612"/>
  <c r="CD612"/>
  <c r="CC612"/>
  <c r="CB612"/>
  <c r="CA612"/>
  <c r="BZ612"/>
  <c r="BY612"/>
  <c r="CJ611"/>
  <c r="CI611"/>
  <c r="CH611"/>
  <c r="CG611"/>
  <c r="CF611"/>
  <c r="CE611"/>
  <c r="CD611"/>
  <c r="CC611"/>
  <c r="CB611"/>
  <c r="CA611"/>
  <c r="BZ611"/>
  <c r="BY611"/>
  <c r="CJ610"/>
  <c r="CI610"/>
  <c r="CH610"/>
  <c r="CG610"/>
  <c r="CF610"/>
  <c r="CE610"/>
  <c r="CD610"/>
  <c r="CC610"/>
  <c r="CB610"/>
  <c r="CA610"/>
  <c r="BZ610"/>
  <c r="BY610"/>
  <c r="CJ609"/>
  <c r="CI609"/>
  <c r="CH609"/>
  <c r="CG609"/>
  <c r="CF609"/>
  <c r="CE609"/>
  <c r="CD609"/>
  <c r="CC609"/>
  <c r="CB609"/>
  <c r="CA609"/>
  <c r="BZ609"/>
  <c r="BY609"/>
  <c r="CJ608"/>
  <c r="CI608"/>
  <c r="CH608"/>
  <c r="CG608"/>
  <c r="CF608"/>
  <c r="CE608"/>
  <c r="CD608"/>
  <c r="CC608"/>
  <c r="CB608"/>
  <c r="CA608"/>
  <c r="BZ608"/>
  <c r="BY608"/>
  <c r="CJ607"/>
  <c r="CI607"/>
  <c r="CH607"/>
  <c r="CG607"/>
  <c r="CF607"/>
  <c r="CE607"/>
  <c r="CD607"/>
  <c r="CC607"/>
  <c r="CB607"/>
  <c r="CA607"/>
  <c r="BZ607"/>
  <c r="BY607"/>
  <c r="CJ606"/>
  <c r="CI606"/>
  <c r="CH606"/>
  <c r="CG606"/>
  <c r="CF606"/>
  <c r="CE606"/>
  <c r="CD606"/>
  <c r="CC606"/>
  <c r="CB606"/>
  <c r="CA606"/>
  <c r="BZ606"/>
  <c r="BY606"/>
  <c r="CJ605"/>
  <c r="CI605"/>
  <c r="CH605"/>
  <c r="CG605"/>
  <c r="CF605"/>
  <c r="CE605"/>
  <c r="CD605"/>
  <c r="CC605"/>
  <c r="CB605"/>
  <c r="CA605"/>
  <c r="BZ605"/>
  <c r="BY605"/>
  <c r="CJ604"/>
  <c r="CI604"/>
  <c r="CH604"/>
  <c r="CG604"/>
  <c r="CF604"/>
  <c r="CE604"/>
  <c r="CD604"/>
  <c r="CC604"/>
  <c r="CB604"/>
  <c r="CA604"/>
  <c r="BZ604"/>
  <c r="BY604"/>
  <c r="CJ603"/>
  <c r="CI603"/>
  <c r="CH603"/>
  <c r="CG603"/>
  <c r="CF603"/>
  <c r="CE603"/>
  <c r="CD603"/>
  <c r="CC603"/>
  <c r="CB603"/>
  <c r="CA603"/>
  <c r="BZ603"/>
  <c r="BY603"/>
  <c r="BU633"/>
  <c r="BT633"/>
  <c r="BS633"/>
  <c r="BR633"/>
  <c r="BQ633"/>
  <c r="BP633"/>
  <c r="BO633"/>
  <c r="BN633"/>
  <c r="BM633"/>
  <c r="BL633"/>
  <c r="BK633"/>
  <c r="BJ633"/>
  <c r="BU632"/>
  <c r="BT632"/>
  <c r="BS632"/>
  <c r="BR632"/>
  <c r="BQ632"/>
  <c r="BP632"/>
  <c r="BO632"/>
  <c r="BN632"/>
  <c r="BM632"/>
  <c r="BL632"/>
  <c r="BK632"/>
  <c r="BJ632"/>
  <c r="BU631"/>
  <c r="BT631"/>
  <c r="BS631"/>
  <c r="BR631"/>
  <c r="BQ631"/>
  <c r="BP631"/>
  <c r="BO631"/>
  <c r="BN631"/>
  <c r="BM631"/>
  <c r="BL631"/>
  <c r="BK631"/>
  <c r="BJ631"/>
  <c r="BU630"/>
  <c r="BT630"/>
  <c r="BS630"/>
  <c r="BR630"/>
  <c r="BQ630"/>
  <c r="BP630"/>
  <c r="BO630"/>
  <c r="BN630"/>
  <c r="BM630"/>
  <c r="BL630"/>
  <c r="BK630"/>
  <c r="BJ630"/>
  <c r="BU629"/>
  <c r="BT629"/>
  <c r="BS629"/>
  <c r="BR629"/>
  <c r="BQ629"/>
  <c r="BP629"/>
  <c r="BO629"/>
  <c r="BN629"/>
  <c r="BM629"/>
  <c r="BL629"/>
  <c r="BK629"/>
  <c r="BJ629"/>
  <c r="BU628"/>
  <c r="BT628"/>
  <c r="BS628"/>
  <c r="BR628"/>
  <c r="BQ628"/>
  <c r="BP628"/>
  <c r="BO628"/>
  <c r="BN628"/>
  <c r="BM628"/>
  <c r="BL628"/>
  <c r="BK628"/>
  <c r="BJ628"/>
  <c r="BU627"/>
  <c r="BT627"/>
  <c r="BS627"/>
  <c r="BR627"/>
  <c r="BQ627"/>
  <c r="BP627"/>
  <c r="BO627"/>
  <c r="BN627"/>
  <c r="BM627"/>
  <c r="BL627"/>
  <c r="BK627"/>
  <c r="BJ627"/>
  <c r="BU626"/>
  <c r="BT626"/>
  <c r="BS626"/>
  <c r="BR626"/>
  <c r="BQ626"/>
  <c r="BP626"/>
  <c r="BO626"/>
  <c r="BN626"/>
  <c r="BM626"/>
  <c r="BL626"/>
  <c r="BK626"/>
  <c r="BJ626"/>
  <c r="BU625"/>
  <c r="BT625"/>
  <c r="BS625"/>
  <c r="BR625"/>
  <c r="BQ625"/>
  <c r="BP625"/>
  <c r="BO625"/>
  <c r="BN625"/>
  <c r="BM625"/>
  <c r="BL625"/>
  <c r="BK625"/>
  <c r="BJ625"/>
  <c r="BU624"/>
  <c r="BT624"/>
  <c r="BS624"/>
  <c r="BR624"/>
  <c r="BQ624"/>
  <c r="BP624"/>
  <c r="BO624"/>
  <c r="BN624"/>
  <c r="BM624"/>
  <c r="BL624"/>
  <c r="BK624"/>
  <c r="BJ624"/>
  <c r="BU623"/>
  <c r="BT623"/>
  <c r="BS623"/>
  <c r="BR623"/>
  <c r="BQ623"/>
  <c r="BP623"/>
  <c r="BO623"/>
  <c r="BN623"/>
  <c r="BM623"/>
  <c r="BL623"/>
  <c r="BK623"/>
  <c r="BJ623"/>
  <c r="BU622"/>
  <c r="BT622"/>
  <c r="BS622"/>
  <c r="BR622"/>
  <c r="BQ622"/>
  <c r="BP622"/>
  <c r="BO622"/>
  <c r="BN622"/>
  <c r="BM622"/>
  <c r="BL622"/>
  <c r="BK622"/>
  <c r="BJ622"/>
  <c r="BU621"/>
  <c r="BT621"/>
  <c r="BS621"/>
  <c r="BR621"/>
  <c r="BQ621"/>
  <c r="BP621"/>
  <c r="BO621"/>
  <c r="BN621"/>
  <c r="BM621"/>
  <c r="BL621"/>
  <c r="BK621"/>
  <c r="BJ621"/>
  <c r="BU620"/>
  <c r="BT620"/>
  <c r="BS620"/>
  <c r="BR620"/>
  <c r="BQ620"/>
  <c r="BP620"/>
  <c r="BO620"/>
  <c r="BN620"/>
  <c r="BM620"/>
  <c r="BL620"/>
  <c r="BK620"/>
  <c r="BJ620"/>
  <c r="BU619"/>
  <c r="BT619"/>
  <c r="BS619"/>
  <c r="BR619"/>
  <c r="BQ619"/>
  <c r="BP619"/>
  <c r="BO619"/>
  <c r="BN619"/>
  <c r="BM619"/>
  <c r="BL619"/>
  <c r="BK619"/>
  <c r="BJ619"/>
  <c r="BU618"/>
  <c r="BT618"/>
  <c r="BS618"/>
  <c r="BR618"/>
  <c r="BQ618"/>
  <c r="BP618"/>
  <c r="BO618"/>
  <c r="BN618"/>
  <c r="BM618"/>
  <c r="BL618"/>
  <c r="BK618"/>
  <c r="BJ618"/>
  <c r="BU617"/>
  <c r="BT617"/>
  <c r="BS617"/>
  <c r="BR617"/>
  <c r="BQ617"/>
  <c r="BP617"/>
  <c r="BO617"/>
  <c r="BN617"/>
  <c r="BM617"/>
  <c r="BL617"/>
  <c r="BK617"/>
  <c r="BJ617"/>
  <c r="BU616"/>
  <c r="BT616"/>
  <c r="BS616"/>
  <c r="BR616"/>
  <c r="BQ616"/>
  <c r="BP616"/>
  <c r="BO616"/>
  <c r="BN616"/>
  <c r="BM616"/>
  <c r="BL616"/>
  <c r="BK616"/>
  <c r="BJ616"/>
  <c r="BU615"/>
  <c r="BT615"/>
  <c r="BS615"/>
  <c r="BR615"/>
  <c r="BQ615"/>
  <c r="BP615"/>
  <c r="BO615"/>
  <c r="BN615"/>
  <c r="BM615"/>
  <c r="BL615"/>
  <c r="BK615"/>
  <c r="BJ615"/>
  <c r="BU614"/>
  <c r="BT614"/>
  <c r="BS614"/>
  <c r="BR614"/>
  <c r="BQ614"/>
  <c r="BP614"/>
  <c r="BO614"/>
  <c r="BN614"/>
  <c r="BM614"/>
  <c r="BL614"/>
  <c r="BK614"/>
  <c r="BJ614"/>
  <c r="BU613"/>
  <c r="BT613"/>
  <c r="BS613"/>
  <c r="BR613"/>
  <c r="BQ613"/>
  <c r="BP613"/>
  <c r="BO613"/>
  <c r="BN613"/>
  <c r="BM613"/>
  <c r="BL613"/>
  <c r="BK613"/>
  <c r="BJ613"/>
  <c r="BU612"/>
  <c r="BT612"/>
  <c r="BS612"/>
  <c r="BR612"/>
  <c r="BQ612"/>
  <c r="BP612"/>
  <c r="BO612"/>
  <c r="BN612"/>
  <c r="BM612"/>
  <c r="BL612"/>
  <c r="BK612"/>
  <c r="BJ612"/>
  <c r="BU611"/>
  <c r="BT611"/>
  <c r="BS611"/>
  <c r="BR611"/>
  <c r="BQ611"/>
  <c r="BP611"/>
  <c r="BO611"/>
  <c r="BN611"/>
  <c r="BM611"/>
  <c r="BL611"/>
  <c r="BK611"/>
  <c r="BJ611"/>
  <c r="BU610"/>
  <c r="BT610"/>
  <c r="BS610"/>
  <c r="BR610"/>
  <c r="BQ610"/>
  <c r="BP610"/>
  <c r="BO610"/>
  <c r="BN610"/>
  <c r="BM610"/>
  <c r="BL610"/>
  <c r="BK610"/>
  <c r="BJ610"/>
  <c r="BU609"/>
  <c r="BT609"/>
  <c r="BS609"/>
  <c r="BR609"/>
  <c r="BQ609"/>
  <c r="BP609"/>
  <c r="BO609"/>
  <c r="BN609"/>
  <c r="BM609"/>
  <c r="BL609"/>
  <c r="BK609"/>
  <c r="BJ609"/>
  <c r="BU608"/>
  <c r="BT608"/>
  <c r="BS608"/>
  <c r="BR608"/>
  <c r="BQ608"/>
  <c r="BP608"/>
  <c r="BO608"/>
  <c r="BN608"/>
  <c r="BM608"/>
  <c r="BL608"/>
  <c r="BK608"/>
  <c r="BJ608"/>
  <c r="BU607"/>
  <c r="BT607"/>
  <c r="BS607"/>
  <c r="BR607"/>
  <c r="BQ607"/>
  <c r="BP607"/>
  <c r="BO607"/>
  <c r="BN607"/>
  <c r="BM607"/>
  <c r="BL607"/>
  <c r="BK607"/>
  <c r="BJ607"/>
  <c r="BU606"/>
  <c r="BT606"/>
  <c r="BS606"/>
  <c r="BR606"/>
  <c r="BQ606"/>
  <c r="BP606"/>
  <c r="BO606"/>
  <c r="BN606"/>
  <c r="BM606"/>
  <c r="BL606"/>
  <c r="BK606"/>
  <c r="BJ606"/>
  <c r="BU605"/>
  <c r="BT605"/>
  <c r="BS605"/>
  <c r="BR605"/>
  <c r="BQ605"/>
  <c r="BP605"/>
  <c r="BO605"/>
  <c r="BN605"/>
  <c r="BM605"/>
  <c r="BL605"/>
  <c r="BK605"/>
  <c r="BJ605"/>
  <c r="BU604"/>
  <c r="BT604"/>
  <c r="BS604"/>
  <c r="BR604"/>
  <c r="BQ604"/>
  <c r="BP604"/>
  <c r="BO604"/>
  <c r="BN604"/>
  <c r="BM604"/>
  <c r="BL604"/>
  <c r="BK604"/>
  <c r="BJ604"/>
  <c r="BU603"/>
  <c r="BT603"/>
  <c r="BS603"/>
  <c r="BR603"/>
  <c r="BQ603"/>
  <c r="BP603"/>
  <c r="BO603"/>
  <c r="BN603"/>
  <c r="BM603"/>
  <c r="BL603"/>
  <c r="BK603"/>
  <c r="BJ603"/>
  <c r="BF633"/>
  <c r="BE633"/>
  <c r="BD633"/>
  <c r="BC633"/>
  <c r="BB633"/>
  <c r="BA633"/>
  <c r="AZ633"/>
  <c r="AY633"/>
  <c r="AX633"/>
  <c r="AW633"/>
  <c r="AV633"/>
  <c r="AU633"/>
  <c r="BF632"/>
  <c r="BE632"/>
  <c r="BD632"/>
  <c r="BC632"/>
  <c r="BB632"/>
  <c r="BA632"/>
  <c r="AZ632"/>
  <c r="AY632"/>
  <c r="AX632"/>
  <c r="AW632"/>
  <c r="AV632"/>
  <c r="AU632"/>
  <c r="BF631"/>
  <c r="BE631"/>
  <c r="BD631"/>
  <c r="BC631"/>
  <c r="BB631"/>
  <c r="BA631"/>
  <c r="AZ631"/>
  <c r="AY631"/>
  <c r="AX631"/>
  <c r="AW631"/>
  <c r="AV631"/>
  <c r="AU631"/>
  <c r="BF630"/>
  <c r="BE630"/>
  <c r="BD630"/>
  <c r="BC630"/>
  <c r="BB630"/>
  <c r="BA630"/>
  <c r="AZ630"/>
  <c r="AY630"/>
  <c r="AX630"/>
  <c r="AW630"/>
  <c r="AV630"/>
  <c r="AU630"/>
  <c r="BF629"/>
  <c r="BE629"/>
  <c r="BD629"/>
  <c r="BC629"/>
  <c r="BB629"/>
  <c r="BA629"/>
  <c r="AZ629"/>
  <c r="AY629"/>
  <c r="AX629"/>
  <c r="AW629"/>
  <c r="AV629"/>
  <c r="AU629"/>
  <c r="BF628"/>
  <c r="BE628"/>
  <c r="BD628"/>
  <c r="BC628"/>
  <c r="BB628"/>
  <c r="BA628"/>
  <c r="AZ628"/>
  <c r="AY628"/>
  <c r="AX628"/>
  <c r="AW628"/>
  <c r="AV628"/>
  <c r="AU628"/>
  <c r="BF627"/>
  <c r="BE627"/>
  <c r="BD627"/>
  <c r="BC627"/>
  <c r="BB627"/>
  <c r="BA627"/>
  <c r="AZ627"/>
  <c r="AY627"/>
  <c r="AX627"/>
  <c r="AW627"/>
  <c r="AV627"/>
  <c r="AU627"/>
  <c r="BF626"/>
  <c r="BE626"/>
  <c r="BD626"/>
  <c r="BC626"/>
  <c r="BB626"/>
  <c r="BA626"/>
  <c r="AZ626"/>
  <c r="AY626"/>
  <c r="AX626"/>
  <c r="AW626"/>
  <c r="AV626"/>
  <c r="AU626"/>
  <c r="BF625"/>
  <c r="BE625"/>
  <c r="BD625"/>
  <c r="BC625"/>
  <c r="BB625"/>
  <c r="BA625"/>
  <c r="AZ625"/>
  <c r="AY625"/>
  <c r="AX625"/>
  <c r="AW625"/>
  <c r="AV625"/>
  <c r="AU625"/>
  <c r="BF624"/>
  <c r="BE624"/>
  <c r="BD624"/>
  <c r="BC624"/>
  <c r="BB624"/>
  <c r="BA624"/>
  <c r="AZ624"/>
  <c r="AY624"/>
  <c r="AX624"/>
  <c r="AW624"/>
  <c r="AV624"/>
  <c r="AU624"/>
  <c r="BF623"/>
  <c r="BE623"/>
  <c r="BD623"/>
  <c r="BC623"/>
  <c r="BB623"/>
  <c r="BA623"/>
  <c r="AZ623"/>
  <c r="AY623"/>
  <c r="AX623"/>
  <c r="AW623"/>
  <c r="AV623"/>
  <c r="AU623"/>
  <c r="BF622"/>
  <c r="BE622"/>
  <c r="BD622"/>
  <c r="BC622"/>
  <c r="BB622"/>
  <c r="BA622"/>
  <c r="AZ622"/>
  <c r="AY622"/>
  <c r="AX622"/>
  <c r="AW622"/>
  <c r="AV622"/>
  <c r="AU622"/>
  <c r="BF621"/>
  <c r="BE621"/>
  <c r="BD621"/>
  <c r="BC621"/>
  <c r="BB621"/>
  <c r="BA621"/>
  <c r="AZ621"/>
  <c r="AY621"/>
  <c r="AX621"/>
  <c r="AW621"/>
  <c r="AV621"/>
  <c r="AU621"/>
  <c r="BF620"/>
  <c r="BE620"/>
  <c r="BD620"/>
  <c r="BC620"/>
  <c r="BB620"/>
  <c r="BA620"/>
  <c r="AZ620"/>
  <c r="AY620"/>
  <c r="AX620"/>
  <c r="AW620"/>
  <c r="AV620"/>
  <c r="AU620"/>
  <c r="BF619"/>
  <c r="BE619"/>
  <c r="BD619"/>
  <c r="BC619"/>
  <c r="BB619"/>
  <c r="BA619"/>
  <c r="AZ619"/>
  <c r="AY619"/>
  <c r="AX619"/>
  <c r="AW619"/>
  <c r="AV619"/>
  <c r="AU619"/>
  <c r="BF618"/>
  <c r="BE618"/>
  <c r="BD618"/>
  <c r="BC618"/>
  <c r="BB618"/>
  <c r="BA618"/>
  <c r="AZ618"/>
  <c r="AY618"/>
  <c r="AX618"/>
  <c r="AW618"/>
  <c r="AV618"/>
  <c r="AU618"/>
  <c r="BF617"/>
  <c r="BE617"/>
  <c r="BD617"/>
  <c r="BC617"/>
  <c r="BB617"/>
  <c r="BA617"/>
  <c r="AZ617"/>
  <c r="AY617"/>
  <c r="AX617"/>
  <c r="AW617"/>
  <c r="AV617"/>
  <c r="AU617"/>
  <c r="BF616"/>
  <c r="BE616"/>
  <c r="BD616"/>
  <c r="BC616"/>
  <c r="BB616"/>
  <c r="BA616"/>
  <c r="AZ616"/>
  <c r="AY616"/>
  <c r="AX616"/>
  <c r="AW616"/>
  <c r="AV616"/>
  <c r="AU616"/>
  <c r="BF615"/>
  <c r="BE615"/>
  <c r="BD615"/>
  <c r="BC615"/>
  <c r="BB615"/>
  <c r="BA615"/>
  <c r="AZ615"/>
  <c r="AY615"/>
  <c r="AX615"/>
  <c r="AW615"/>
  <c r="AV615"/>
  <c r="AU615"/>
  <c r="BF614"/>
  <c r="BE614"/>
  <c r="BD614"/>
  <c r="BC614"/>
  <c r="BB614"/>
  <c r="BA614"/>
  <c r="AZ614"/>
  <c r="AY614"/>
  <c r="AX614"/>
  <c r="AW614"/>
  <c r="AV614"/>
  <c r="AU614"/>
  <c r="BF613"/>
  <c r="BE613"/>
  <c r="BD613"/>
  <c r="BC613"/>
  <c r="BB613"/>
  <c r="BA613"/>
  <c r="AZ613"/>
  <c r="AY613"/>
  <c r="AX613"/>
  <c r="AW613"/>
  <c r="AV613"/>
  <c r="AU613"/>
  <c r="BF612"/>
  <c r="BE612"/>
  <c r="BD612"/>
  <c r="BC612"/>
  <c r="BB612"/>
  <c r="BA612"/>
  <c r="AZ612"/>
  <c r="AY612"/>
  <c r="AX612"/>
  <c r="AW612"/>
  <c r="AV612"/>
  <c r="AU612"/>
  <c r="BF611"/>
  <c r="BE611"/>
  <c r="BD611"/>
  <c r="BC611"/>
  <c r="BB611"/>
  <c r="BA611"/>
  <c r="AZ611"/>
  <c r="AY611"/>
  <c r="AX611"/>
  <c r="AW611"/>
  <c r="AV611"/>
  <c r="AU611"/>
  <c r="BF610"/>
  <c r="BE610"/>
  <c r="BD610"/>
  <c r="BC610"/>
  <c r="BB610"/>
  <c r="BA610"/>
  <c r="AZ610"/>
  <c r="AY610"/>
  <c r="AX610"/>
  <c r="AW610"/>
  <c r="AV610"/>
  <c r="AU610"/>
  <c r="BF609"/>
  <c r="BE609"/>
  <c r="BD609"/>
  <c r="BC609"/>
  <c r="BB609"/>
  <c r="BA609"/>
  <c r="AZ609"/>
  <c r="AY609"/>
  <c r="AX609"/>
  <c r="AW609"/>
  <c r="AV609"/>
  <c r="AU609"/>
  <c r="BF608"/>
  <c r="BE608"/>
  <c r="BD608"/>
  <c r="BC608"/>
  <c r="BB608"/>
  <c r="BA608"/>
  <c r="AZ608"/>
  <c r="AY608"/>
  <c r="AX608"/>
  <c r="AW608"/>
  <c r="AV608"/>
  <c r="AU608"/>
  <c r="BF607"/>
  <c r="BE607"/>
  <c r="BD607"/>
  <c r="BC607"/>
  <c r="BB607"/>
  <c r="BA607"/>
  <c r="AZ607"/>
  <c r="AY607"/>
  <c r="AX607"/>
  <c r="AW607"/>
  <c r="AV607"/>
  <c r="AU607"/>
  <c r="BF606"/>
  <c r="BE606"/>
  <c r="BD606"/>
  <c r="BC606"/>
  <c r="BB606"/>
  <c r="BA606"/>
  <c r="AZ606"/>
  <c r="AY606"/>
  <c r="AX606"/>
  <c r="AW606"/>
  <c r="AV606"/>
  <c r="AU606"/>
  <c r="BF605"/>
  <c r="BE605"/>
  <c r="BD605"/>
  <c r="BC605"/>
  <c r="BB605"/>
  <c r="BA605"/>
  <c r="AZ605"/>
  <c r="AY605"/>
  <c r="AX605"/>
  <c r="AW605"/>
  <c r="AV605"/>
  <c r="AU605"/>
  <c r="BF604"/>
  <c r="BE604"/>
  <c r="BD604"/>
  <c r="BC604"/>
  <c r="BB604"/>
  <c r="BA604"/>
  <c r="AZ604"/>
  <c r="AY604"/>
  <c r="AX604"/>
  <c r="AW604"/>
  <c r="AV604"/>
  <c r="AU604"/>
  <c r="BF603"/>
  <c r="BE603"/>
  <c r="BD603"/>
  <c r="BC603"/>
  <c r="BB603"/>
  <c r="BA603"/>
  <c r="AZ603"/>
  <c r="AY603"/>
  <c r="AX603"/>
  <c r="AW603"/>
  <c r="AV603"/>
  <c r="AU603"/>
  <c r="M1647" l="1"/>
  <c r="L1647"/>
  <c r="K1647"/>
  <c r="J1647"/>
  <c r="I1647"/>
  <c r="H1647"/>
  <c r="G1647"/>
  <c r="F1647"/>
  <c r="E1647"/>
  <c r="D1647"/>
  <c r="C1647"/>
  <c r="B1647"/>
  <c r="M1646"/>
  <c r="L1646"/>
  <c r="K1646"/>
  <c r="J1646"/>
  <c r="I1646"/>
  <c r="H1646"/>
  <c r="G1646"/>
  <c r="F1646"/>
  <c r="E1646"/>
  <c r="D1646"/>
  <c r="C1646"/>
  <c r="B1646"/>
  <c r="M1644"/>
  <c r="L1644"/>
  <c r="K1644"/>
  <c r="J1644"/>
  <c r="I1644"/>
  <c r="H1644"/>
  <c r="G1644"/>
  <c r="F1644"/>
  <c r="E1644"/>
  <c r="D1644"/>
  <c r="C1644"/>
  <c r="B1644"/>
  <c r="M1643"/>
  <c r="L1643"/>
  <c r="K1643"/>
  <c r="J1643"/>
  <c r="I1643"/>
  <c r="H1643"/>
  <c r="G1643"/>
  <c r="F1643"/>
  <c r="E1643"/>
  <c r="D1643"/>
  <c r="C1643"/>
  <c r="B1643"/>
  <c r="M1633"/>
  <c r="L1633"/>
  <c r="K1633"/>
  <c r="J1633"/>
  <c r="I1633"/>
  <c r="H1633"/>
  <c r="G1633"/>
  <c r="F1633"/>
  <c r="E1633"/>
  <c r="D1633"/>
  <c r="C1633"/>
  <c r="B1633"/>
  <c r="M1632"/>
  <c r="L1632"/>
  <c r="K1632"/>
  <c r="J1632"/>
  <c r="I1632"/>
  <c r="H1632"/>
  <c r="G1632"/>
  <c r="F1632"/>
  <c r="E1632"/>
  <c r="D1632"/>
  <c r="C1632"/>
  <c r="B1632"/>
  <c r="M1631"/>
  <c r="L1631"/>
  <c r="K1631"/>
  <c r="J1631"/>
  <c r="I1631"/>
  <c r="H1631"/>
  <c r="G1631"/>
  <c r="F1631"/>
  <c r="E1631"/>
  <c r="D1631"/>
  <c r="C1631"/>
  <c r="B1631"/>
  <c r="M1630"/>
  <c r="L1630"/>
  <c r="K1630"/>
  <c r="J1630"/>
  <c r="I1630"/>
  <c r="H1630"/>
  <c r="G1630"/>
  <c r="F1630"/>
  <c r="E1630"/>
  <c r="D1630"/>
  <c r="C1630"/>
  <c r="B1630"/>
  <c r="M1629"/>
  <c r="L1629"/>
  <c r="K1629"/>
  <c r="J1629"/>
  <c r="I1629"/>
  <c r="H1629"/>
  <c r="G1629"/>
  <c r="F1629"/>
  <c r="E1629"/>
  <c r="D1629"/>
  <c r="C1629"/>
  <c r="B1629"/>
  <c r="M1628"/>
  <c r="L1628"/>
  <c r="K1628"/>
  <c r="J1628"/>
  <c r="I1628"/>
  <c r="H1628"/>
  <c r="G1628"/>
  <c r="F1628"/>
  <c r="E1628"/>
  <c r="D1628"/>
  <c r="C1628"/>
  <c r="B1628"/>
  <c r="M1627"/>
  <c r="L1627"/>
  <c r="K1627"/>
  <c r="J1627"/>
  <c r="I1627"/>
  <c r="H1627"/>
  <c r="G1627"/>
  <c r="F1627"/>
  <c r="E1627"/>
  <c r="D1627"/>
  <c r="C1627"/>
  <c r="B1627"/>
  <c r="M1626"/>
  <c r="L1626"/>
  <c r="K1626"/>
  <c r="J1626"/>
  <c r="I1626"/>
  <c r="H1626"/>
  <c r="G1626"/>
  <c r="F1626"/>
  <c r="E1626"/>
  <c r="D1626"/>
  <c r="C1626"/>
  <c r="B1626"/>
  <c r="M1625"/>
  <c r="L1625"/>
  <c r="K1625"/>
  <c r="J1625"/>
  <c r="I1625"/>
  <c r="H1625"/>
  <c r="G1625"/>
  <c r="F1625"/>
  <c r="E1625"/>
  <c r="D1625"/>
  <c r="C1625"/>
  <c r="B1625"/>
  <c r="M1624"/>
  <c r="L1624"/>
  <c r="K1624"/>
  <c r="J1624"/>
  <c r="I1624"/>
  <c r="H1624"/>
  <c r="G1624"/>
  <c r="F1624"/>
  <c r="E1624"/>
  <c r="D1624"/>
  <c r="C1624"/>
  <c r="B1624"/>
  <c r="M1623"/>
  <c r="L1623"/>
  <c r="K1623"/>
  <c r="J1623"/>
  <c r="I1623"/>
  <c r="H1623"/>
  <c r="G1623"/>
  <c r="F1623"/>
  <c r="E1623"/>
  <c r="D1623"/>
  <c r="C1623"/>
  <c r="B1623"/>
  <c r="M1622"/>
  <c r="L1622"/>
  <c r="K1622"/>
  <c r="J1622"/>
  <c r="I1622"/>
  <c r="H1622"/>
  <c r="G1622"/>
  <c r="F1622"/>
  <c r="E1622"/>
  <c r="D1622"/>
  <c r="C1622"/>
  <c r="B1622"/>
  <c r="M1621"/>
  <c r="L1621"/>
  <c r="K1621"/>
  <c r="J1621"/>
  <c r="I1621"/>
  <c r="H1621"/>
  <c r="G1621"/>
  <c r="F1621"/>
  <c r="E1621"/>
  <c r="D1621"/>
  <c r="C1621"/>
  <c r="B1621"/>
  <c r="M1620"/>
  <c r="L1620"/>
  <c r="K1620"/>
  <c r="J1620"/>
  <c r="I1620"/>
  <c r="H1620"/>
  <c r="G1620"/>
  <c r="F1620"/>
  <c r="E1620"/>
  <c r="D1620"/>
  <c r="C1620"/>
  <c r="B1620"/>
  <c r="M1619"/>
  <c r="L1619"/>
  <c r="K1619"/>
  <c r="J1619"/>
  <c r="I1619"/>
  <c r="H1619"/>
  <c r="G1619"/>
  <c r="F1619"/>
  <c r="E1619"/>
  <c r="D1619"/>
  <c r="C1619"/>
  <c r="B1619"/>
  <c r="M1618"/>
  <c r="L1618"/>
  <c r="K1618"/>
  <c r="J1618"/>
  <c r="I1618"/>
  <c r="H1618"/>
  <c r="G1618"/>
  <c r="F1618"/>
  <c r="E1618"/>
  <c r="D1618"/>
  <c r="C1618"/>
  <c r="B1618"/>
  <c r="M1617"/>
  <c r="L1617"/>
  <c r="K1617"/>
  <c r="J1617"/>
  <c r="I1617"/>
  <c r="H1617"/>
  <c r="G1617"/>
  <c r="F1617"/>
  <c r="E1617"/>
  <c r="D1617"/>
  <c r="C1617"/>
  <c r="B1617"/>
  <c r="M1616"/>
  <c r="L1616"/>
  <c r="K1616"/>
  <c r="J1616"/>
  <c r="I1616"/>
  <c r="H1616"/>
  <c r="G1616"/>
  <c r="F1616"/>
  <c r="E1616"/>
  <c r="D1616"/>
  <c r="C1616"/>
  <c r="B1616"/>
  <c r="M1615"/>
  <c r="L1615"/>
  <c r="K1615"/>
  <c r="J1615"/>
  <c r="I1615"/>
  <c r="H1615"/>
  <c r="G1615"/>
  <c r="F1615"/>
  <c r="E1615"/>
  <c r="D1615"/>
  <c r="C1615"/>
  <c r="B1615"/>
  <c r="M1614"/>
  <c r="L1614"/>
  <c r="K1614"/>
  <c r="J1614"/>
  <c r="I1614"/>
  <c r="H1614"/>
  <c r="G1614"/>
  <c r="F1614"/>
  <c r="E1614"/>
  <c r="D1614"/>
  <c r="C1614"/>
  <c r="B1614"/>
  <c r="M1613"/>
  <c r="L1613"/>
  <c r="K1613"/>
  <c r="J1613"/>
  <c r="I1613"/>
  <c r="H1613"/>
  <c r="G1613"/>
  <c r="F1613"/>
  <c r="E1613"/>
  <c r="D1613"/>
  <c r="C1613"/>
  <c r="B1613"/>
  <c r="M1612"/>
  <c r="L1612"/>
  <c r="K1612"/>
  <c r="J1612"/>
  <c r="I1612"/>
  <c r="H1612"/>
  <c r="G1612"/>
  <c r="F1612"/>
  <c r="E1612"/>
  <c r="D1612"/>
  <c r="C1612"/>
  <c r="B1612"/>
  <c r="M1611"/>
  <c r="L1611"/>
  <c r="K1611"/>
  <c r="J1611"/>
  <c r="I1611"/>
  <c r="H1611"/>
  <c r="G1611"/>
  <c r="F1611"/>
  <c r="E1611"/>
  <c r="D1611"/>
  <c r="C1611"/>
  <c r="B1611"/>
  <c r="M1610"/>
  <c r="L1610"/>
  <c r="K1610"/>
  <c r="J1610"/>
  <c r="I1610"/>
  <c r="H1610"/>
  <c r="G1610"/>
  <c r="F1610"/>
  <c r="E1610"/>
  <c r="D1610"/>
  <c r="C1610"/>
  <c r="B1610"/>
  <c r="M1609"/>
  <c r="L1609"/>
  <c r="K1609"/>
  <c r="J1609"/>
  <c r="I1609"/>
  <c r="H1609"/>
  <c r="G1609"/>
  <c r="F1609"/>
  <c r="E1609"/>
  <c r="D1609"/>
  <c r="C1609"/>
  <c r="B1609"/>
  <c r="M1608"/>
  <c r="L1608"/>
  <c r="K1608"/>
  <c r="J1608"/>
  <c r="I1608"/>
  <c r="H1608"/>
  <c r="G1608"/>
  <c r="F1608"/>
  <c r="E1608"/>
  <c r="D1608"/>
  <c r="C1608"/>
  <c r="B1608"/>
  <c r="M1607"/>
  <c r="L1607"/>
  <c r="K1607"/>
  <c r="J1607"/>
  <c r="I1607"/>
  <c r="H1607"/>
  <c r="G1607"/>
  <c r="F1607"/>
  <c r="E1607"/>
  <c r="D1607"/>
  <c r="C1607"/>
  <c r="B1607"/>
  <c r="M1606"/>
  <c r="L1606"/>
  <c r="K1606"/>
  <c r="J1606"/>
  <c r="I1606"/>
  <c r="H1606"/>
  <c r="G1606"/>
  <c r="F1606"/>
  <c r="E1606"/>
  <c r="D1606"/>
  <c r="C1606"/>
  <c r="B1606"/>
  <c r="M1605"/>
  <c r="L1605"/>
  <c r="K1605"/>
  <c r="J1605"/>
  <c r="I1605"/>
  <c r="H1605"/>
  <c r="G1605"/>
  <c r="F1605"/>
  <c r="E1605"/>
  <c r="D1605"/>
  <c r="C1605"/>
  <c r="B1605"/>
  <c r="M1604"/>
  <c r="L1604"/>
  <c r="K1604"/>
  <c r="J1604"/>
  <c r="I1604"/>
  <c r="H1604"/>
  <c r="G1604"/>
  <c r="F1604"/>
  <c r="E1604"/>
  <c r="D1604"/>
  <c r="C1604"/>
  <c r="B1604"/>
  <c r="M1603"/>
  <c r="L1603"/>
  <c r="K1603"/>
  <c r="J1603"/>
  <c r="I1603"/>
  <c r="H1603"/>
  <c r="G1603"/>
  <c r="F1603"/>
  <c r="E1603"/>
  <c r="D1603"/>
  <c r="C1603"/>
  <c r="B1603"/>
  <c r="M1593"/>
  <c r="L1593"/>
  <c r="K1593"/>
  <c r="J1593"/>
  <c r="I1593"/>
  <c r="H1593"/>
  <c r="G1593"/>
  <c r="F1593"/>
  <c r="E1593"/>
  <c r="D1593"/>
  <c r="C1593"/>
  <c r="B1593"/>
  <c r="M1592"/>
  <c r="L1592"/>
  <c r="K1592"/>
  <c r="J1592"/>
  <c r="I1592"/>
  <c r="H1592"/>
  <c r="G1592"/>
  <c r="F1592"/>
  <c r="E1592"/>
  <c r="D1592"/>
  <c r="C1592"/>
  <c r="B1592"/>
  <c r="M1591"/>
  <c r="L1591"/>
  <c r="K1591"/>
  <c r="J1591"/>
  <c r="I1591"/>
  <c r="H1591"/>
  <c r="G1591"/>
  <c r="F1591"/>
  <c r="E1591"/>
  <c r="D1591"/>
  <c r="C1591"/>
  <c r="B1591"/>
  <c r="M1590"/>
  <c r="L1590"/>
  <c r="K1590"/>
  <c r="J1590"/>
  <c r="I1590"/>
  <c r="H1590"/>
  <c r="G1590"/>
  <c r="F1590"/>
  <c r="E1590"/>
  <c r="D1590"/>
  <c r="C1590"/>
  <c r="B1590"/>
  <c r="M1589"/>
  <c r="L1589"/>
  <c r="K1589"/>
  <c r="J1589"/>
  <c r="I1589"/>
  <c r="H1589"/>
  <c r="G1589"/>
  <c r="F1589"/>
  <c r="E1589"/>
  <c r="D1589"/>
  <c r="C1589"/>
  <c r="B1589"/>
  <c r="M1588"/>
  <c r="L1588"/>
  <c r="K1588"/>
  <c r="J1588"/>
  <c r="I1588"/>
  <c r="H1588"/>
  <c r="G1588"/>
  <c r="F1588"/>
  <c r="E1588"/>
  <c r="D1588"/>
  <c r="C1588"/>
  <c r="B1588"/>
  <c r="M1587"/>
  <c r="L1587"/>
  <c r="K1587"/>
  <c r="J1587"/>
  <c r="I1587"/>
  <c r="H1587"/>
  <c r="G1587"/>
  <c r="F1587"/>
  <c r="E1587"/>
  <c r="D1587"/>
  <c r="C1587"/>
  <c r="B1587"/>
  <c r="M1586"/>
  <c r="L1586"/>
  <c r="K1586"/>
  <c r="J1586"/>
  <c r="I1586"/>
  <c r="H1586"/>
  <c r="G1586"/>
  <c r="F1586"/>
  <c r="E1586"/>
  <c r="D1586"/>
  <c r="C1586"/>
  <c r="B1586"/>
  <c r="M1585"/>
  <c r="L1585"/>
  <c r="K1585"/>
  <c r="J1585"/>
  <c r="I1585"/>
  <c r="H1585"/>
  <c r="G1585"/>
  <c r="F1585"/>
  <c r="E1585"/>
  <c r="D1585"/>
  <c r="C1585"/>
  <c r="B1585"/>
  <c r="M1584"/>
  <c r="L1584"/>
  <c r="K1584"/>
  <c r="J1584"/>
  <c r="I1584"/>
  <c r="H1584"/>
  <c r="G1584"/>
  <c r="F1584"/>
  <c r="E1584"/>
  <c r="D1584"/>
  <c r="C1584"/>
  <c r="B1584"/>
  <c r="M1583"/>
  <c r="L1583"/>
  <c r="K1583"/>
  <c r="J1583"/>
  <c r="I1583"/>
  <c r="H1583"/>
  <c r="G1583"/>
  <c r="F1583"/>
  <c r="E1583"/>
  <c r="D1583"/>
  <c r="C1583"/>
  <c r="B1583"/>
  <c r="M1582"/>
  <c r="L1582"/>
  <c r="K1582"/>
  <c r="J1582"/>
  <c r="I1582"/>
  <c r="H1582"/>
  <c r="G1582"/>
  <c r="F1582"/>
  <c r="E1582"/>
  <c r="D1582"/>
  <c r="C1582"/>
  <c r="B1582"/>
  <c r="M1581"/>
  <c r="L1581"/>
  <c r="K1581"/>
  <c r="J1581"/>
  <c r="I1581"/>
  <c r="H1581"/>
  <c r="G1581"/>
  <c r="F1581"/>
  <c r="E1581"/>
  <c r="D1581"/>
  <c r="C1581"/>
  <c r="B1581"/>
  <c r="M1580"/>
  <c r="L1580"/>
  <c r="K1580"/>
  <c r="J1580"/>
  <c r="I1580"/>
  <c r="H1580"/>
  <c r="G1580"/>
  <c r="F1580"/>
  <c r="E1580"/>
  <c r="D1580"/>
  <c r="C1580"/>
  <c r="B1580"/>
  <c r="M1579"/>
  <c r="L1579"/>
  <c r="K1579"/>
  <c r="J1579"/>
  <c r="I1579"/>
  <c r="H1579"/>
  <c r="G1579"/>
  <c r="F1579"/>
  <c r="E1579"/>
  <c r="D1579"/>
  <c r="C1579"/>
  <c r="B1579"/>
  <c r="M1578"/>
  <c r="L1578"/>
  <c r="K1578"/>
  <c r="J1578"/>
  <c r="I1578"/>
  <c r="H1578"/>
  <c r="G1578"/>
  <c r="F1578"/>
  <c r="E1578"/>
  <c r="D1578"/>
  <c r="C1578"/>
  <c r="B1578"/>
  <c r="M1577"/>
  <c r="L1577"/>
  <c r="K1577"/>
  <c r="J1577"/>
  <c r="I1577"/>
  <c r="H1577"/>
  <c r="G1577"/>
  <c r="F1577"/>
  <c r="E1577"/>
  <c r="D1577"/>
  <c r="C1577"/>
  <c r="B1577"/>
  <c r="M1576"/>
  <c r="L1576"/>
  <c r="K1576"/>
  <c r="J1576"/>
  <c r="I1576"/>
  <c r="H1576"/>
  <c r="G1576"/>
  <c r="F1576"/>
  <c r="E1576"/>
  <c r="D1576"/>
  <c r="C1576"/>
  <c r="B1576"/>
  <c r="M1575"/>
  <c r="L1575"/>
  <c r="K1575"/>
  <c r="J1575"/>
  <c r="I1575"/>
  <c r="H1575"/>
  <c r="G1575"/>
  <c r="F1575"/>
  <c r="E1575"/>
  <c r="D1575"/>
  <c r="C1575"/>
  <c r="B1575"/>
  <c r="M1574"/>
  <c r="L1574"/>
  <c r="K1574"/>
  <c r="J1574"/>
  <c r="I1574"/>
  <c r="H1574"/>
  <c r="G1574"/>
  <c r="F1574"/>
  <c r="E1574"/>
  <c r="D1574"/>
  <c r="C1574"/>
  <c r="B1574"/>
  <c r="M1573"/>
  <c r="L1573"/>
  <c r="K1573"/>
  <c r="J1573"/>
  <c r="I1573"/>
  <c r="H1573"/>
  <c r="G1573"/>
  <c r="F1573"/>
  <c r="E1573"/>
  <c r="D1573"/>
  <c r="C1573"/>
  <c r="B1573"/>
  <c r="M1572"/>
  <c r="L1572"/>
  <c r="K1572"/>
  <c r="J1572"/>
  <c r="I1572"/>
  <c r="H1572"/>
  <c r="G1572"/>
  <c r="F1572"/>
  <c r="E1572"/>
  <c r="D1572"/>
  <c r="C1572"/>
  <c r="B1572"/>
  <c r="M1571"/>
  <c r="L1571"/>
  <c r="K1571"/>
  <c r="J1571"/>
  <c r="I1571"/>
  <c r="H1571"/>
  <c r="G1571"/>
  <c r="F1571"/>
  <c r="E1571"/>
  <c r="D1571"/>
  <c r="C1571"/>
  <c r="B1571"/>
  <c r="M1570"/>
  <c r="L1570"/>
  <c r="K1570"/>
  <c r="J1570"/>
  <c r="I1570"/>
  <c r="H1570"/>
  <c r="G1570"/>
  <c r="F1570"/>
  <c r="E1570"/>
  <c r="D1570"/>
  <c r="C1570"/>
  <c r="B1570"/>
  <c r="M1569"/>
  <c r="L1569"/>
  <c r="K1569"/>
  <c r="J1569"/>
  <c r="I1569"/>
  <c r="H1569"/>
  <c r="G1569"/>
  <c r="F1569"/>
  <c r="E1569"/>
  <c r="D1569"/>
  <c r="C1569"/>
  <c r="B1569"/>
  <c r="M1568"/>
  <c r="L1568"/>
  <c r="K1568"/>
  <c r="J1568"/>
  <c r="I1568"/>
  <c r="H1568"/>
  <c r="G1568"/>
  <c r="F1568"/>
  <c r="E1568"/>
  <c r="D1568"/>
  <c r="C1568"/>
  <c r="B1568"/>
  <c r="M1567"/>
  <c r="L1567"/>
  <c r="K1567"/>
  <c r="J1567"/>
  <c r="I1567"/>
  <c r="H1567"/>
  <c r="G1567"/>
  <c r="F1567"/>
  <c r="E1567"/>
  <c r="D1567"/>
  <c r="C1567"/>
  <c r="B1567"/>
  <c r="M1566"/>
  <c r="L1566"/>
  <c r="K1566"/>
  <c r="J1566"/>
  <c r="I1566"/>
  <c r="H1566"/>
  <c r="G1566"/>
  <c r="F1566"/>
  <c r="E1566"/>
  <c r="D1566"/>
  <c r="C1566"/>
  <c r="B1566"/>
  <c r="M1565"/>
  <c r="L1565"/>
  <c r="K1565"/>
  <c r="J1565"/>
  <c r="I1565"/>
  <c r="H1565"/>
  <c r="G1565"/>
  <c r="F1565"/>
  <c r="E1565"/>
  <c r="D1565"/>
  <c r="C1565"/>
  <c r="B1565"/>
  <c r="M1564"/>
  <c r="L1564"/>
  <c r="K1564"/>
  <c r="J1564"/>
  <c r="I1564"/>
  <c r="H1564"/>
  <c r="G1564"/>
  <c r="F1564"/>
  <c r="E1564"/>
  <c r="D1564"/>
  <c r="C1564"/>
  <c r="B1564"/>
  <c r="M1563"/>
  <c r="L1563"/>
  <c r="K1563"/>
  <c r="J1563"/>
  <c r="I1563"/>
  <c r="H1563"/>
  <c r="G1563"/>
  <c r="F1563"/>
  <c r="E1563"/>
  <c r="D1563"/>
  <c r="C1563"/>
  <c r="B1563"/>
  <c r="M1553"/>
  <c r="L1553"/>
  <c r="K1553"/>
  <c r="J1553"/>
  <c r="I1553"/>
  <c r="H1553"/>
  <c r="G1553"/>
  <c r="F1553"/>
  <c r="E1553"/>
  <c r="D1553"/>
  <c r="C1553"/>
  <c r="B1553"/>
  <c r="M1552"/>
  <c r="L1552"/>
  <c r="K1552"/>
  <c r="J1552"/>
  <c r="I1552"/>
  <c r="H1552"/>
  <c r="G1552"/>
  <c r="F1552"/>
  <c r="E1552"/>
  <c r="D1552"/>
  <c r="C1552"/>
  <c r="B1552"/>
  <c r="M1551"/>
  <c r="L1551"/>
  <c r="K1551"/>
  <c r="J1551"/>
  <c r="I1551"/>
  <c r="H1551"/>
  <c r="G1551"/>
  <c r="F1551"/>
  <c r="E1551"/>
  <c r="D1551"/>
  <c r="C1551"/>
  <c r="B1551"/>
  <c r="M1550"/>
  <c r="L1550"/>
  <c r="K1550"/>
  <c r="J1550"/>
  <c r="I1550"/>
  <c r="H1550"/>
  <c r="G1550"/>
  <c r="F1550"/>
  <c r="E1550"/>
  <c r="D1550"/>
  <c r="C1550"/>
  <c r="B1550"/>
  <c r="M1549"/>
  <c r="L1549"/>
  <c r="K1549"/>
  <c r="J1549"/>
  <c r="I1549"/>
  <c r="H1549"/>
  <c r="G1549"/>
  <c r="F1549"/>
  <c r="E1549"/>
  <c r="D1549"/>
  <c r="C1549"/>
  <c r="B1549"/>
  <c r="M1548"/>
  <c r="L1548"/>
  <c r="K1548"/>
  <c r="J1548"/>
  <c r="I1548"/>
  <c r="H1548"/>
  <c r="G1548"/>
  <c r="F1548"/>
  <c r="E1548"/>
  <c r="D1548"/>
  <c r="C1548"/>
  <c r="B1548"/>
  <c r="M1547"/>
  <c r="L1547"/>
  <c r="K1547"/>
  <c r="J1547"/>
  <c r="I1547"/>
  <c r="H1547"/>
  <c r="G1547"/>
  <c r="F1547"/>
  <c r="E1547"/>
  <c r="D1547"/>
  <c r="C1547"/>
  <c r="B1547"/>
  <c r="M1546"/>
  <c r="L1546"/>
  <c r="K1546"/>
  <c r="J1546"/>
  <c r="I1546"/>
  <c r="H1546"/>
  <c r="G1546"/>
  <c r="F1546"/>
  <c r="E1546"/>
  <c r="D1546"/>
  <c r="C1546"/>
  <c r="B1546"/>
  <c r="M1545"/>
  <c r="L1545"/>
  <c r="K1545"/>
  <c r="J1545"/>
  <c r="I1545"/>
  <c r="H1545"/>
  <c r="G1545"/>
  <c r="F1545"/>
  <c r="E1545"/>
  <c r="D1545"/>
  <c r="C1545"/>
  <c r="B1545"/>
  <c r="M1544"/>
  <c r="L1544"/>
  <c r="K1544"/>
  <c r="J1544"/>
  <c r="I1544"/>
  <c r="H1544"/>
  <c r="G1544"/>
  <c r="F1544"/>
  <c r="E1544"/>
  <c r="D1544"/>
  <c r="C1544"/>
  <c r="B1544"/>
  <c r="M1543"/>
  <c r="L1543"/>
  <c r="K1543"/>
  <c r="J1543"/>
  <c r="I1543"/>
  <c r="H1543"/>
  <c r="G1543"/>
  <c r="F1543"/>
  <c r="E1543"/>
  <c r="D1543"/>
  <c r="C1543"/>
  <c r="B1543"/>
  <c r="M1542"/>
  <c r="L1542"/>
  <c r="K1542"/>
  <c r="J1542"/>
  <c r="I1542"/>
  <c r="H1542"/>
  <c r="G1542"/>
  <c r="F1542"/>
  <c r="E1542"/>
  <c r="D1542"/>
  <c r="C1542"/>
  <c r="B1542"/>
  <c r="M1541"/>
  <c r="L1541"/>
  <c r="K1541"/>
  <c r="J1541"/>
  <c r="I1541"/>
  <c r="H1541"/>
  <c r="G1541"/>
  <c r="F1541"/>
  <c r="E1541"/>
  <c r="D1541"/>
  <c r="C1541"/>
  <c r="B1541"/>
  <c r="M1540"/>
  <c r="L1540"/>
  <c r="K1540"/>
  <c r="J1540"/>
  <c r="I1540"/>
  <c r="H1540"/>
  <c r="G1540"/>
  <c r="F1540"/>
  <c r="E1540"/>
  <c r="D1540"/>
  <c r="C1540"/>
  <c r="B1540"/>
  <c r="M1539"/>
  <c r="L1539"/>
  <c r="K1539"/>
  <c r="J1539"/>
  <c r="I1539"/>
  <c r="H1539"/>
  <c r="G1539"/>
  <c r="F1539"/>
  <c r="E1539"/>
  <c r="D1539"/>
  <c r="C1539"/>
  <c r="B1539"/>
  <c r="M1538"/>
  <c r="L1538"/>
  <c r="K1538"/>
  <c r="J1538"/>
  <c r="I1538"/>
  <c r="H1538"/>
  <c r="G1538"/>
  <c r="F1538"/>
  <c r="E1538"/>
  <c r="D1538"/>
  <c r="C1538"/>
  <c r="B1538"/>
  <c r="M1537"/>
  <c r="L1537"/>
  <c r="K1537"/>
  <c r="J1537"/>
  <c r="I1537"/>
  <c r="H1537"/>
  <c r="G1537"/>
  <c r="F1537"/>
  <c r="E1537"/>
  <c r="D1537"/>
  <c r="C1537"/>
  <c r="B1537"/>
  <c r="M1536"/>
  <c r="L1536"/>
  <c r="K1536"/>
  <c r="J1536"/>
  <c r="I1536"/>
  <c r="H1536"/>
  <c r="G1536"/>
  <c r="F1536"/>
  <c r="E1536"/>
  <c r="D1536"/>
  <c r="C1536"/>
  <c r="B1536"/>
  <c r="M1535"/>
  <c r="L1535"/>
  <c r="K1535"/>
  <c r="J1535"/>
  <c r="I1535"/>
  <c r="H1535"/>
  <c r="G1535"/>
  <c r="F1535"/>
  <c r="E1535"/>
  <c r="D1535"/>
  <c r="C1535"/>
  <c r="B1535"/>
  <c r="M1534"/>
  <c r="L1534"/>
  <c r="K1534"/>
  <c r="J1534"/>
  <c r="I1534"/>
  <c r="H1534"/>
  <c r="G1534"/>
  <c r="F1534"/>
  <c r="E1534"/>
  <c r="D1534"/>
  <c r="C1534"/>
  <c r="B1534"/>
  <c r="M1533"/>
  <c r="L1533"/>
  <c r="K1533"/>
  <c r="J1533"/>
  <c r="I1533"/>
  <c r="H1533"/>
  <c r="G1533"/>
  <c r="F1533"/>
  <c r="E1533"/>
  <c r="D1533"/>
  <c r="C1533"/>
  <c r="B1533"/>
  <c r="M1532"/>
  <c r="L1532"/>
  <c r="K1532"/>
  <c r="J1532"/>
  <c r="I1532"/>
  <c r="H1532"/>
  <c r="G1532"/>
  <c r="F1532"/>
  <c r="E1532"/>
  <c r="D1532"/>
  <c r="C1532"/>
  <c r="B1532"/>
  <c r="M1531"/>
  <c r="L1531"/>
  <c r="K1531"/>
  <c r="J1531"/>
  <c r="I1531"/>
  <c r="H1531"/>
  <c r="G1531"/>
  <c r="F1531"/>
  <c r="E1531"/>
  <c r="D1531"/>
  <c r="C1531"/>
  <c r="B1531"/>
  <c r="M1530"/>
  <c r="L1530"/>
  <c r="K1530"/>
  <c r="J1530"/>
  <c r="I1530"/>
  <c r="H1530"/>
  <c r="G1530"/>
  <c r="F1530"/>
  <c r="E1530"/>
  <c r="D1530"/>
  <c r="C1530"/>
  <c r="B1530"/>
  <c r="M1529"/>
  <c r="L1529"/>
  <c r="K1529"/>
  <c r="J1529"/>
  <c r="I1529"/>
  <c r="H1529"/>
  <c r="G1529"/>
  <c r="F1529"/>
  <c r="E1529"/>
  <c r="D1529"/>
  <c r="C1529"/>
  <c r="B1529"/>
  <c r="M1528"/>
  <c r="L1528"/>
  <c r="K1528"/>
  <c r="J1528"/>
  <c r="I1528"/>
  <c r="H1528"/>
  <c r="G1528"/>
  <c r="F1528"/>
  <c r="E1528"/>
  <c r="D1528"/>
  <c r="C1528"/>
  <c r="B1528"/>
  <c r="M1527"/>
  <c r="L1527"/>
  <c r="K1527"/>
  <c r="J1527"/>
  <c r="I1527"/>
  <c r="H1527"/>
  <c r="G1527"/>
  <c r="F1527"/>
  <c r="E1527"/>
  <c r="D1527"/>
  <c r="C1527"/>
  <c r="B1527"/>
  <c r="M1526"/>
  <c r="L1526"/>
  <c r="K1526"/>
  <c r="J1526"/>
  <c r="I1526"/>
  <c r="H1526"/>
  <c r="G1526"/>
  <c r="F1526"/>
  <c r="E1526"/>
  <c r="D1526"/>
  <c r="C1526"/>
  <c r="B1526"/>
  <c r="M1525"/>
  <c r="L1525"/>
  <c r="K1525"/>
  <c r="J1525"/>
  <c r="I1525"/>
  <c r="H1525"/>
  <c r="G1525"/>
  <c r="F1525"/>
  <c r="E1525"/>
  <c r="D1525"/>
  <c r="C1525"/>
  <c r="B1525"/>
  <c r="M1524"/>
  <c r="L1524"/>
  <c r="K1524"/>
  <c r="J1524"/>
  <c r="I1524"/>
  <c r="H1524"/>
  <c r="G1524"/>
  <c r="F1524"/>
  <c r="E1524"/>
  <c r="D1524"/>
  <c r="C1524"/>
  <c r="B1524"/>
  <c r="M1523"/>
  <c r="L1523"/>
  <c r="K1523"/>
  <c r="J1523"/>
  <c r="I1523"/>
  <c r="H1523"/>
  <c r="G1523"/>
  <c r="F1523"/>
  <c r="E1523"/>
  <c r="D1523"/>
  <c r="C1523"/>
  <c r="B1523"/>
  <c r="M1513"/>
  <c r="L1513"/>
  <c r="K1513"/>
  <c r="J1513"/>
  <c r="I1513"/>
  <c r="H1513"/>
  <c r="G1513"/>
  <c r="F1513"/>
  <c r="E1513"/>
  <c r="D1513"/>
  <c r="C1513"/>
  <c r="B1513"/>
  <c r="M1512"/>
  <c r="L1512"/>
  <c r="K1512"/>
  <c r="J1512"/>
  <c r="I1512"/>
  <c r="H1512"/>
  <c r="G1512"/>
  <c r="F1512"/>
  <c r="E1512"/>
  <c r="D1512"/>
  <c r="C1512"/>
  <c r="B1512"/>
  <c r="M1511"/>
  <c r="L1511"/>
  <c r="K1511"/>
  <c r="J1511"/>
  <c r="I1511"/>
  <c r="H1511"/>
  <c r="G1511"/>
  <c r="F1511"/>
  <c r="E1511"/>
  <c r="D1511"/>
  <c r="C1511"/>
  <c r="B1511"/>
  <c r="M1510"/>
  <c r="L1510"/>
  <c r="K1510"/>
  <c r="J1510"/>
  <c r="I1510"/>
  <c r="H1510"/>
  <c r="G1510"/>
  <c r="F1510"/>
  <c r="E1510"/>
  <c r="D1510"/>
  <c r="C1510"/>
  <c r="B1510"/>
  <c r="M1509"/>
  <c r="L1509"/>
  <c r="K1509"/>
  <c r="J1509"/>
  <c r="I1509"/>
  <c r="H1509"/>
  <c r="G1509"/>
  <c r="F1509"/>
  <c r="E1509"/>
  <c r="D1509"/>
  <c r="C1509"/>
  <c r="B1509"/>
  <c r="M1508"/>
  <c r="L1508"/>
  <c r="K1508"/>
  <c r="J1508"/>
  <c r="I1508"/>
  <c r="H1508"/>
  <c r="G1508"/>
  <c r="F1508"/>
  <c r="E1508"/>
  <c r="D1508"/>
  <c r="C1508"/>
  <c r="B1508"/>
  <c r="M1507"/>
  <c r="L1507"/>
  <c r="K1507"/>
  <c r="J1507"/>
  <c r="I1507"/>
  <c r="H1507"/>
  <c r="G1507"/>
  <c r="F1507"/>
  <c r="E1507"/>
  <c r="D1507"/>
  <c r="C1507"/>
  <c r="B1507"/>
  <c r="M1506"/>
  <c r="L1506"/>
  <c r="K1506"/>
  <c r="J1506"/>
  <c r="I1506"/>
  <c r="H1506"/>
  <c r="G1506"/>
  <c r="F1506"/>
  <c r="E1506"/>
  <c r="D1506"/>
  <c r="C1506"/>
  <c r="B1506"/>
  <c r="M1505"/>
  <c r="L1505"/>
  <c r="K1505"/>
  <c r="J1505"/>
  <c r="I1505"/>
  <c r="H1505"/>
  <c r="G1505"/>
  <c r="F1505"/>
  <c r="E1505"/>
  <c r="D1505"/>
  <c r="C1505"/>
  <c r="B1505"/>
  <c r="M1504"/>
  <c r="L1504"/>
  <c r="K1504"/>
  <c r="J1504"/>
  <c r="I1504"/>
  <c r="H1504"/>
  <c r="G1504"/>
  <c r="F1504"/>
  <c r="E1504"/>
  <c r="D1504"/>
  <c r="C1504"/>
  <c r="B1504"/>
  <c r="M1503"/>
  <c r="L1503"/>
  <c r="K1503"/>
  <c r="J1503"/>
  <c r="I1503"/>
  <c r="H1503"/>
  <c r="G1503"/>
  <c r="F1503"/>
  <c r="E1503"/>
  <c r="D1503"/>
  <c r="C1503"/>
  <c r="B1503"/>
  <c r="M1502"/>
  <c r="L1502"/>
  <c r="K1502"/>
  <c r="J1502"/>
  <c r="I1502"/>
  <c r="H1502"/>
  <c r="G1502"/>
  <c r="F1502"/>
  <c r="E1502"/>
  <c r="D1502"/>
  <c r="C1502"/>
  <c r="B1502"/>
  <c r="M1501"/>
  <c r="L1501"/>
  <c r="K1501"/>
  <c r="J1501"/>
  <c r="I1501"/>
  <c r="H1501"/>
  <c r="G1501"/>
  <c r="F1501"/>
  <c r="E1501"/>
  <c r="D1501"/>
  <c r="C1501"/>
  <c r="B1501"/>
  <c r="M1500"/>
  <c r="L1500"/>
  <c r="K1500"/>
  <c r="J1500"/>
  <c r="I1500"/>
  <c r="H1500"/>
  <c r="G1500"/>
  <c r="F1500"/>
  <c r="E1500"/>
  <c r="D1500"/>
  <c r="C1500"/>
  <c r="B1500"/>
  <c r="M1499"/>
  <c r="L1499"/>
  <c r="K1499"/>
  <c r="J1499"/>
  <c r="I1499"/>
  <c r="H1499"/>
  <c r="G1499"/>
  <c r="F1499"/>
  <c r="E1499"/>
  <c r="D1499"/>
  <c r="C1499"/>
  <c r="B1499"/>
  <c r="M1498"/>
  <c r="L1498"/>
  <c r="K1498"/>
  <c r="J1498"/>
  <c r="I1498"/>
  <c r="H1498"/>
  <c r="G1498"/>
  <c r="F1498"/>
  <c r="E1498"/>
  <c r="D1498"/>
  <c r="C1498"/>
  <c r="B1498"/>
  <c r="M1497"/>
  <c r="L1497"/>
  <c r="K1497"/>
  <c r="J1497"/>
  <c r="I1497"/>
  <c r="H1497"/>
  <c r="G1497"/>
  <c r="F1497"/>
  <c r="E1497"/>
  <c r="D1497"/>
  <c r="C1497"/>
  <c r="B1497"/>
  <c r="M1496"/>
  <c r="L1496"/>
  <c r="K1496"/>
  <c r="J1496"/>
  <c r="I1496"/>
  <c r="H1496"/>
  <c r="G1496"/>
  <c r="F1496"/>
  <c r="E1496"/>
  <c r="D1496"/>
  <c r="C1496"/>
  <c r="B1496"/>
  <c r="M1495"/>
  <c r="L1495"/>
  <c r="K1495"/>
  <c r="J1495"/>
  <c r="I1495"/>
  <c r="H1495"/>
  <c r="G1495"/>
  <c r="F1495"/>
  <c r="E1495"/>
  <c r="D1495"/>
  <c r="C1495"/>
  <c r="B1495"/>
  <c r="M1494"/>
  <c r="L1494"/>
  <c r="K1494"/>
  <c r="J1494"/>
  <c r="I1494"/>
  <c r="H1494"/>
  <c r="G1494"/>
  <c r="F1494"/>
  <c r="E1494"/>
  <c r="D1494"/>
  <c r="C1494"/>
  <c r="B1494"/>
  <c r="M1493"/>
  <c r="L1493"/>
  <c r="K1493"/>
  <c r="J1493"/>
  <c r="I1493"/>
  <c r="H1493"/>
  <c r="G1493"/>
  <c r="F1493"/>
  <c r="E1493"/>
  <c r="D1493"/>
  <c r="C1493"/>
  <c r="B1493"/>
  <c r="M1492"/>
  <c r="L1492"/>
  <c r="K1492"/>
  <c r="J1492"/>
  <c r="I1492"/>
  <c r="H1492"/>
  <c r="G1492"/>
  <c r="F1492"/>
  <c r="E1492"/>
  <c r="D1492"/>
  <c r="C1492"/>
  <c r="B1492"/>
  <c r="M1491"/>
  <c r="L1491"/>
  <c r="K1491"/>
  <c r="J1491"/>
  <c r="I1491"/>
  <c r="H1491"/>
  <c r="G1491"/>
  <c r="F1491"/>
  <c r="E1491"/>
  <c r="D1491"/>
  <c r="C1491"/>
  <c r="B1491"/>
  <c r="M1490"/>
  <c r="L1490"/>
  <c r="K1490"/>
  <c r="J1490"/>
  <c r="I1490"/>
  <c r="H1490"/>
  <c r="G1490"/>
  <c r="F1490"/>
  <c r="E1490"/>
  <c r="D1490"/>
  <c r="C1490"/>
  <c r="B1490"/>
  <c r="M1489"/>
  <c r="L1489"/>
  <c r="K1489"/>
  <c r="J1489"/>
  <c r="I1489"/>
  <c r="H1489"/>
  <c r="G1489"/>
  <c r="F1489"/>
  <c r="E1489"/>
  <c r="D1489"/>
  <c r="C1489"/>
  <c r="B1489"/>
  <c r="M1488"/>
  <c r="L1488"/>
  <c r="K1488"/>
  <c r="J1488"/>
  <c r="I1488"/>
  <c r="H1488"/>
  <c r="G1488"/>
  <c r="F1488"/>
  <c r="E1488"/>
  <c r="D1488"/>
  <c r="C1488"/>
  <c r="B1488"/>
  <c r="M1487"/>
  <c r="L1487"/>
  <c r="K1487"/>
  <c r="J1487"/>
  <c r="I1487"/>
  <c r="H1487"/>
  <c r="G1487"/>
  <c r="F1487"/>
  <c r="E1487"/>
  <c r="D1487"/>
  <c r="C1487"/>
  <c r="B1487"/>
  <c r="M1486"/>
  <c r="L1486"/>
  <c r="K1486"/>
  <c r="J1486"/>
  <c r="I1486"/>
  <c r="H1486"/>
  <c r="G1486"/>
  <c r="F1486"/>
  <c r="E1486"/>
  <c r="D1486"/>
  <c r="C1486"/>
  <c r="B1486"/>
  <c r="M1485"/>
  <c r="L1485"/>
  <c r="K1485"/>
  <c r="J1485"/>
  <c r="I1485"/>
  <c r="H1485"/>
  <c r="G1485"/>
  <c r="F1485"/>
  <c r="E1485"/>
  <c r="D1485"/>
  <c r="C1485"/>
  <c r="B1485"/>
  <c r="M1484"/>
  <c r="L1484"/>
  <c r="K1484"/>
  <c r="J1484"/>
  <c r="I1484"/>
  <c r="H1484"/>
  <c r="G1484"/>
  <c r="F1484"/>
  <c r="E1484"/>
  <c r="D1484"/>
  <c r="C1484"/>
  <c r="B1484"/>
  <c r="M1483"/>
  <c r="L1483"/>
  <c r="K1483"/>
  <c r="J1483"/>
  <c r="I1483"/>
  <c r="H1483"/>
  <c r="G1483"/>
  <c r="F1483"/>
  <c r="E1483"/>
  <c r="D1483"/>
  <c r="C1483"/>
  <c r="B1483"/>
  <c r="M1473"/>
  <c r="L1473"/>
  <c r="K1473"/>
  <c r="J1473"/>
  <c r="I1473"/>
  <c r="H1473"/>
  <c r="G1473"/>
  <c r="F1473"/>
  <c r="E1473"/>
  <c r="D1473"/>
  <c r="C1473"/>
  <c r="B1473"/>
  <c r="M1472"/>
  <c r="L1472"/>
  <c r="K1472"/>
  <c r="J1472"/>
  <c r="I1472"/>
  <c r="H1472"/>
  <c r="G1472"/>
  <c r="F1472"/>
  <c r="E1472"/>
  <c r="D1472"/>
  <c r="C1472"/>
  <c r="B1472"/>
  <c r="M1471"/>
  <c r="L1471"/>
  <c r="K1471"/>
  <c r="J1471"/>
  <c r="I1471"/>
  <c r="H1471"/>
  <c r="G1471"/>
  <c r="F1471"/>
  <c r="E1471"/>
  <c r="D1471"/>
  <c r="C1471"/>
  <c r="B1471"/>
  <c r="M1470"/>
  <c r="L1470"/>
  <c r="K1470"/>
  <c r="J1470"/>
  <c r="I1470"/>
  <c r="H1470"/>
  <c r="G1470"/>
  <c r="F1470"/>
  <c r="E1470"/>
  <c r="D1470"/>
  <c r="C1470"/>
  <c r="B1470"/>
  <c r="M1469"/>
  <c r="L1469"/>
  <c r="K1469"/>
  <c r="J1469"/>
  <c r="I1469"/>
  <c r="H1469"/>
  <c r="G1469"/>
  <c r="F1469"/>
  <c r="E1469"/>
  <c r="D1469"/>
  <c r="C1469"/>
  <c r="B1469"/>
  <c r="M1468"/>
  <c r="L1468"/>
  <c r="K1468"/>
  <c r="J1468"/>
  <c r="I1468"/>
  <c r="H1468"/>
  <c r="G1468"/>
  <c r="F1468"/>
  <c r="E1468"/>
  <c r="D1468"/>
  <c r="C1468"/>
  <c r="B1468"/>
  <c r="M1467"/>
  <c r="L1467"/>
  <c r="K1467"/>
  <c r="J1467"/>
  <c r="I1467"/>
  <c r="H1467"/>
  <c r="G1467"/>
  <c r="F1467"/>
  <c r="E1467"/>
  <c r="D1467"/>
  <c r="C1467"/>
  <c r="B1467"/>
  <c r="M1466"/>
  <c r="L1466"/>
  <c r="K1466"/>
  <c r="J1466"/>
  <c r="I1466"/>
  <c r="H1466"/>
  <c r="G1466"/>
  <c r="F1466"/>
  <c r="E1466"/>
  <c r="D1466"/>
  <c r="C1466"/>
  <c r="B1466"/>
  <c r="M1465"/>
  <c r="L1465"/>
  <c r="K1465"/>
  <c r="J1465"/>
  <c r="I1465"/>
  <c r="H1465"/>
  <c r="G1465"/>
  <c r="F1465"/>
  <c r="E1465"/>
  <c r="D1465"/>
  <c r="C1465"/>
  <c r="B1465"/>
  <c r="M1464"/>
  <c r="L1464"/>
  <c r="K1464"/>
  <c r="J1464"/>
  <c r="I1464"/>
  <c r="H1464"/>
  <c r="G1464"/>
  <c r="F1464"/>
  <c r="E1464"/>
  <c r="D1464"/>
  <c r="C1464"/>
  <c r="B1464"/>
  <c r="M1463"/>
  <c r="L1463"/>
  <c r="K1463"/>
  <c r="J1463"/>
  <c r="I1463"/>
  <c r="H1463"/>
  <c r="G1463"/>
  <c r="F1463"/>
  <c r="E1463"/>
  <c r="D1463"/>
  <c r="C1463"/>
  <c r="B1463"/>
  <c r="M1462"/>
  <c r="L1462"/>
  <c r="K1462"/>
  <c r="J1462"/>
  <c r="I1462"/>
  <c r="H1462"/>
  <c r="G1462"/>
  <c r="F1462"/>
  <c r="E1462"/>
  <c r="D1462"/>
  <c r="C1462"/>
  <c r="B1462"/>
  <c r="M1461"/>
  <c r="L1461"/>
  <c r="K1461"/>
  <c r="J1461"/>
  <c r="I1461"/>
  <c r="H1461"/>
  <c r="G1461"/>
  <c r="F1461"/>
  <c r="E1461"/>
  <c r="D1461"/>
  <c r="C1461"/>
  <c r="B1461"/>
  <c r="M1460"/>
  <c r="L1460"/>
  <c r="K1460"/>
  <c r="J1460"/>
  <c r="I1460"/>
  <c r="H1460"/>
  <c r="G1460"/>
  <c r="F1460"/>
  <c r="E1460"/>
  <c r="D1460"/>
  <c r="C1460"/>
  <c r="B1460"/>
  <c r="M1459"/>
  <c r="L1459"/>
  <c r="K1459"/>
  <c r="J1459"/>
  <c r="I1459"/>
  <c r="H1459"/>
  <c r="G1459"/>
  <c r="F1459"/>
  <c r="E1459"/>
  <c r="D1459"/>
  <c r="C1459"/>
  <c r="B1459"/>
  <c r="M1458"/>
  <c r="L1458"/>
  <c r="K1458"/>
  <c r="J1458"/>
  <c r="I1458"/>
  <c r="H1458"/>
  <c r="G1458"/>
  <c r="F1458"/>
  <c r="E1458"/>
  <c r="D1458"/>
  <c r="C1458"/>
  <c r="B1458"/>
  <c r="M1457"/>
  <c r="L1457"/>
  <c r="K1457"/>
  <c r="J1457"/>
  <c r="I1457"/>
  <c r="H1457"/>
  <c r="G1457"/>
  <c r="F1457"/>
  <c r="E1457"/>
  <c r="D1457"/>
  <c r="C1457"/>
  <c r="B1457"/>
  <c r="M1456"/>
  <c r="L1456"/>
  <c r="K1456"/>
  <c r="J1456"/>
  <c r="I1456"/>
  <c r="H1456"/>
  <c r="G1456"/>
  <c r="F1456"/>
  <c r="E1456"/>
  <c r="D1456"/>
  <c r="C1456"/>
  <c r="B1456"/>
  <c r="M1455"/>
  <c r="L1455"/>
  <c r="K1455"/>
  <c r="J1455"/>
  <c r="I1455"/>
  <c r="H1455"/>
  <c r="G1455"/>
  <c r="F1455"/>
  <c r="E1455"/>
  <c r="D1455"/>
  <c r="C1455"/>
  <c r="B1455"/>
  <c r="M1454"/>
  <c r="L1454"/>
  <c r="K1454"/>
  <c r="J1454"/>
  <c r="I1454"/>
  <c r="H1454"/>
  <c r="G1454"/>
  <c r="F1454"/>
  <c r="E1454"/>
  <c r="D1454"/>
  <c r="C1454"/>
  <c r="B1454"/>
  <c r="M1453"/>
  <c r="L1453"/>
  <c r="K1453"/>
  <c r="J1453"/>
  <c r="I1453"/>
  <c r="H1453"/>
  <c r="G1453"/>
  <c r="F1453"/>
  <c r="E1453"/>
  <c r="D1453"/>
  <c r="C1453"/>
  <c r="B1453"/>
  <c r="M1452"/>
  <c r="L1452"/>
  <c r="K1452"/>
  <c r="J1452"/>
  <c r="I1452"/>
  <c r="H1452"/>
  <c r="G1452"/>
  <c r="F1452"/>
  <c r="E1452"/>
  <c r="D1452"/>
  <c r="C1452"/>
  <c r="B1452"/>
  <c r="M1451"/>
  <c r="L1451"/>
  <c r="K1451"/>
  <c r="J1451"/>
  <c r="I1451"/>
  <c r="H1451"/>
  <c r="G1451"/>
  <c r="F1451"/>
  <c r="E1451"/>
  <c r="D1451"/>
  <c r="C1451"/>
  <c r="B1451"/>
  <c r="M1450"/>
  <c r="L1450"/>
  <c r="K1450"/>
  <c r="J1450"/>
  <c r="I1450"/>
  <c r="H1450"/>
  <c r="G1450"/>
  <c r="F1450"/>
  <c r="E1450"/>
  <c r="D1450"/>
  <c r="C1450"/>
  <c r="B1450"/>
  <c r="M1449"/>
  <c r="L1449"/>
  <c r="K1449"/>
  <c r="J1449"/>
  <c r="I1449"/>
  <c r="H1449"/>
  <c r="G1449"/>
  <c r="F1449"/>
  <c r="E1449"/>
  <c r="D1449"/>
  <c r="C1449"/>
  <c r="B1449"/>
  <c r="M1448"/>
  <c r="L1448"/>
  <c r="K1448"/>
  <c r="J1448"/>
  <c r="I1448"/>
  <c r="H1448"/>
  <c r="G1448"/>
  <c r="F1448"/>
  <c r="E1448"/>
  <c r="D1448"/>
  <c r="C1448"/>
  <c r="B1448"/>
  <c r="M1447"/>
  <c r="L1447"/>
  <c r="K1447"/>
  <c r="J1447"/>
  <c r="I1447"/>
  <c r="H1447"/>
  <c r="G1447"/>
  <c r="F1447"/>
  <c r="E1447"/>
  <c r="D1447"/>
  <c r="C1447"/>
  <c r="B1447"/>
  <c r="M1446"/>
  <c r="L1446"/>
  <c r="K1446"/>
  <c r="J1446"/>
  <c r="I1446"/>
  <c r="H1446"/>
  <c r="G1446"/>
  <c r="F1446"/>
  <c r="E1446"/>
  <c r="D1446"/>
  <c r="C1446"/>
  <c r="B1446"/>
  <c r="M1445"/>
  <c r="L1445"/>
  <c r="K1445"/>
  <c r="J1445"/>
  <c r="I1445"/>
  <c r="H1445"/>
  <c r="G1445"/>
  <c r="F1445"/>
  <c r="E1445"/>
  <c r="D1445"/>
  <c r="C1445"/>
  <c r="B1445"/>
  <c r="M1444"/>
  <c r="L1444"/>
  <c r="K1444"/>
  <c r="J1444"/>
  <c r="I1444"/>
  <c r="H1444"/>
  <c r="G1444"/>
  <c r="F1444"/>
  <c r="E1444"/>
  <c r="D1444"/>
  <c r="C1444"/>
  <c r="B1444"/>
  <c r="M1443"/>
  <c r="L1443"/>
  <c r="K1443"/>
  <c r="J1443"/>
  <c r="I1443"/>
  <c r="H1443"/>
  <c r="G1443"/>
  <c r="F1443"/>
  <c r="E1443"/>
  <c r="D1443"/>
  <c r="C1443"/>
  <c r="B1443"/>
  <c r="M1433"/>
  <c r="L1433"/>
  <c r="K1433"/>
  <c r="J1433"/>
  <c r="I1433"/>
  <c r="H1433"/>
  <c r="G1433"/>
  <c r="F1433"/>
  <c r="E1433"/>
  <c r="D1433"/>
  <c r="C1433"/>
  <c r="B1433"/>
  <c r="M1432"/>
  <c r="L1432"/>
  <c r="K1432"/>
  <c r="J1432"/>
  <c r="I1432"/>
  <c r="H1432"/>
  <c r="G1432"/>
  <c r="F1432"/>
  <c r="E1432"/>
  <c r="D1432"/>
  <c r="C1432"/>
  <c r="B1432"/>
  <c r="M1431"/>
  <c r="L1431"/>
  <c r="K1431"/>
  <c r="J1431"/>
  <c r="I1431"/>
  <c r="H1431"/>
  <c r="G1431"/>
  <c r="F1431"/>
  <c r="E1431"/>
  <c r="D1431"/>
  <c r="C1431"/>
  <c r="B1431"/>
  <c r="M1430"/>
  <c r="L1430"/>
  <c r="K1430"/>
  <c r="J1430"/>
  <c r="I1430"/>
  <c r="H1430"/>
  <c r="G1430"/>
  <c r="F1430"/>
  <c r="E1430"/>
  <c r="D1430"/>
  <c r="C1430"/>
  <c r="B1430"/>
  <c r="M1429"/>
  <c r="L1429"/>
  <c r="K1429"/>
  <c r="J1429"/>
  <c r="I1429"/>
  <c r="H1429"/>
  <c r="G1429"/>
  <c r="F1429"/>
  <c r="E1429"/>
  <c r="D1429"/>
  <c r="C1429"/>
  <c r="B1429"/>
  <c r="M1428"/>
  <c r="L1428"/>
  <c r="K1428"/>
  <c r="J1428"/>
  <c r="I1428"/>
  <c r="H1428"/>
  <c r="G1428"/>
  <c r="F1428"/>
  <c r="E1428"/>
  <c r="D1428"/>
  <c r="C1428"/>
  <c r="B1428"/>
  <c r="M1427"/>
  <c r="L1427"/>
  <c r="K1427"/>
  <c r="J1427"/>
  <c r="I1427"/>
  <c r="H1427"/>
  <c r="G1427"/>
  <c r="F1427"/>
  <c r="E1427"/>
  <c r="D1427"/>
  <c r="C1427"/>
  <c r="B1427"/>
  <c r="M1426"/>
  <c r="L1426"/>
  <c r="K1426"/>
  <c r="J1426"/>
  <c r="I1426"/>
  <c r="H1426"/>
  <c r="G1426"/>
  <c r="F1426"/>
  <c r="E1426"/>
  <c r="D1426"/>
  <c r="C1426"/>
  <c r="B1426"/>
  <c r="M1425"/>
  <c r="L1425"/>
  <c r="K1425"/>
  <c r="J1425"/>
  <c r="I1425"/>
  <c r="H1425"/>
  <c r="G1425"/>
  <c r="F1425"/>
  <c r="E1425"/>
  <c r="D1425"/>
  <c r="C1425"/>
  <c r="B1425"/>
  <c r="M1424"/>
  <c r="L1424"/>
  <c r="K1424"/>
  <c r="J1424"/>
  <c r="I1424"/>
  <c r="H1424"/>
  <c r="G1424"/>
  <c r="F1424"/>
  <c r="E1424"/>
  <c r="D1424"/>
  <c r="C1424"/>
  <c r="B1424"/>
  <c r="M1423"/>
  <c r="L1423"/>
  <c r="K1423"/>
  <c r="J1423"/>
  <c r="I1423"/>
  <c r="H1423"/>
  <c r="G1423"/>
  <c r="F1423"/>
  <c r="E1423"/>
  <c r="D1423"/>
  <c r="C1423"/>
  <c r="B1423"/>
  <c r="M1422"/>
  <c r="L1422"/>
  <c r="K1422"/>
  <c r="J1422"/>
  <c r="I1422"/>
  <c r="H1422"/>
  <c r="G1422"/>
  <c r="F1422"/>
  <c r="E1422"/>
  <c r="D1422"/>
  <c r="C1422"/>
  <c r="B1422"/>
  <c r="M1421"/>
  <c r="L1421"/>
  <c r="K1421"/>
  <c r="J1421"/>
  <c r="I1421"/>
  <c r="H1421"/>
  <c r="G1421"/>
  <c r="F1421"/>
  <c r="E1421"/>
  <c r="D1421"/>
  <c r="C1421"/>
  <c r="B1421"/>
  <c r="M1420"/>
  <c r="L1420"/>
  <c r="K1420"/>
  <c r="J1420"/>
  <c r="I1420"/>
  <c r="H1420"/>
  <c r="G1420"/>
  <c r="F1420"/>
  <c r="E1420"/>
  <c r="D1420"/>
  <c r="C1420"/>
  <c r="B1420"/>
  <c r="M1419"/>
  <c r="L1419"/>
  <c r="K1419"/>
  <c r="J1419"/>
  <c r="I1419"/>
  <c r="H1419"/>
  <c r="G1419"/>
  <c r="F1419"/>
  <c r="E1419"/>
  <c r="D1419"/>
  <c r="C1419"/>
  <c r="B1419"/>
  <c r="M1418"/>
  <c r="L1418"/>
  <c r="K1418"/>
  <c r="J1418"/>
  <c r="I1418"/>
  <c r="H1418"/>
  <c r="G1418"/>
  <c r="F1418"/>
  <c r="E1418"/>
  <c r="D1418"/>
  <c r="C1418"/>
  <c r="B1418"/>
  <c r="M1417"/>
  <c r="L1417"/>
  <c r="K1417"/>
  <c r="J1417"/>
  <c r="I1417"/>
  <c r="H1417"/>
  <c r="G1417"/>
  <c r="F1417"/>
  <c r="E1417"/>
  <c r="D1417"/>
  <c r="C1417"/>
  <c r="B1417"/>
  <c r="M1416"/>
  <c r="L1416"/>
  <c r="K1416"/>
  <c r="J1416"/>
  <c r="I1416"/>
  <c r="H1416"/>
  <c r="G1416"/>
  <c r="F1416"/>
  <c r="E1416"/>
  <c r="D1416"/>
  <c r="C1416"/>
  <c r="B1416"/>
  <c r="M1415"/>
  <c r="L1415"/>
  <c r="K1415"/>
  <c r="J1415"/>
  <c r="I1415"/>
  <c r="H1415"/>
  <c r="G1415"/>
  <c r="F1415"/>
  <c r="E1415"/>
  <c r="D1415"/>
  <c r="C1415"/>
  <c r="B1415"/>
  <c r="M1414"/>
  <c r="L1414"/>
  <c r="K1414"/>
  <c r="J1414"/>
  <c r="I1414"/>
  <c r="H1414"/>
  <c r="G1414"/>
  <c r="F1414"/>
  <c r="E1414"/>
  <c r="D1414"/>
  <c r="C1414"/>
  <c r="B1414"/>
  <c r="M1413"/>
  <c r="L1413"/>
  <c r="K1413"/>
  <c r="J1413"/>
  <c r="I1413"/>
  <c r="H1413"/>
  <c r="G1413"/>
  <c r="F1413"/>
  <c r="E1413"/>
  <c r="D1413"/>
  <c r="C1413"/>
  <c r="B1413"/>
  <c r="M1412"/>
  <c r="L1412"/>
  <c r="K1412"/>
  <c r="J1412"/>
  <c r="I1412"/>
  <c r="H1412"/>
  <c r="G1412"/>
  <c r="F1412"/>
  <c r="E1412"/>
  <c r="D1412"/>
  <c r="C1412"/>
  <c r="B1412"/>
  <c r="M1411"/>
  <c r="L1411"/>
  <c r="K1411"/>
  <c r="J1411"/>
  <c r="I1411"/>
  <c r="H1411"/>
  <c r="G1411"/>
  <c r="F1411"/>
  <c r="E1411"/>
  <c r="D1411"/>
  <c r="C1411"/>
  <c r="B1411"/>
  <c r="M1410"/>
  <c r="L1410"/>
  <c r="K1410"/>
  <c r="J1410"/>
  <c r="I1410"/>
  <c r="H1410"/>
  <c r="G1410"/>
  <c r="F1410"/>
  <c r="E1410"/>
  <c r="D1410"/>
  <c r="C1410"/>
  <c r="B1410"/>
  <c r="M1409"/>
  <c r="L1409"/>
  <c r="K1409"/>
  <c r="J1409"/>
  <c r="I1409"/>
  <c r="H1409"/>
  <c r="G1409"/>
  <c r="F1409"/>
  <c r="E1409"/>
  <c r="D1409"/>
  <c r="C1409"/>
  <c r="B1409"/>
  <c r="M1408"/>
  <c r="L1408"/>
  <c r="K1408"/>
  <c r="J1408"/>
  <c r="I1408"/>
  <c r="H1408"/>
  <c r="G1408"/>
  <c r="F1408"/>
  <c r="E1408"/>
  <c r="D1408"/>
  <c r="C1408"/>
  <c r="B1408"/>
  <c r="M1407"/>
  <c r="L1407"/>
  <c r="K1407"/>
  <c r="J1407"/>
  <c r="I1407"/>
  <c r="H1407"/>
  <c r="G1407"/>
  <c r="F1407"/>
  <c r="E1407"/>
  <c r="D1407"/>
  <c r="C1407"/>
  <c r="B1407"/>
  <c r="M1406"/>
  <c r="L1406"/>
  <c r="K1406"/>
  <c r="J1406"/>
  <c r="I1406"/>
  <c r="H1406"/>
  <c r="G1406"/>
  <c r="F1406"/>
  <c r="E1406"/>
  <c r="D1406"/>
  <c r="C1406"/>
  <c r="B1406"/>
  <c r="M1405"/>
  <c r="L1405"/>
  <c r="K1405"/>
  <c r="J1405"/>
  <c r="I1405"/>
  <c r="H1405"/>
  <c r="G1405"/>
  <c r="F1405"/>
  <c r="E1405"/>
  <c r="D1405"/>
  <c r="C1405"/>
  <c r="B1405"/>
  <c r="M1404"/>
  <c r="L1404"/>
  <c r="K1404"/>
  <c r="J1404"/>
  <c r="I1404"/>
  <c r="H1404"/>
  <c r="G1404"/>
  <c r="F1404"/>
  <c r="E1404"/>
  <c r="D1404"/>
  <c r="C1404"/>
  <c r="B1404"/>
  <c r="M1403"/>
  <c r="L1403"/>
  <c r="K1403"/>
  <c r="J1403"/>
  <c r="I1403"/>
  <c r="H1403"/>
  <c r="G1403"/>
  <c r="F1403"/>
  <c r="E1403"/>
  <c r="D1403"/>
  <c r="C1403"/>
  <c r="B1403"/>
  <c r="M1393"/>
  <c r="L1393"/>
  <c r="K1393"/>
  <c r="J1393"/>
  <c r="I1393"/>
  <c r="H1393"/>
  <c r="G1393"/>
  <c r="F1393"/>
  <c r="E1393"/>
  <c r="D1393"/>
  <c r="C1393"/>
  <c r="B1393"/>
  <c r="M1392"/>
  <c r="L1392"/>
  <c r="K1392"/>
  <c r="J1392"/>
  <c r="I1392"/>
  <c r="H1392"/>
  <c r="G1392"/>
  <c r="F1392"/>
  <c r="E1392"/>
  <c r="D1392"/>
  <c r="C1392"/>
  <c r="B1392"/>
  <c r="M1391"/>
  <c r="L1391"/>
  <c r="K1391"/>
  <c r="J1391"/>
  <c r="I1391"/>
  <c r="H1391"/>
  <c r="G1391"/>
  <c r="F1391"/>
  <c r="E1391"/>
  <c r="D1391"/>
  <c r="C1391"/>
  <c r="B1391"/>
  <c r="M1390"/>
  <c r="L1390"/>
  <c r="K1390"/>
  <c r="J1390"/>
  <c r="I1390"/>
  <c r="H1390"/>
  <c r="G1390"/>
  <c r="F1390"/>
  <c r="E1390"/>
  <c r="D1390"/>
  <c r="C1390"/>
  <c r="B1390"/>
  <c r="M1389"/>
  <c r="L1389"/>
  <c r="K1389"/>
  <c r="J1389"/>
  <c r="I1389"/>
  <c r="H1389"/>
  <c r="G1389"/>
  <c r="F1389"/>
  <c r="E1389"/>
  <c r="D1389"/>
  <c r="C1389"/>
  <c r="B1389"/>
  <c r="M1388"/>
  <c r="L1388"/>
  <c r="K1388"/>
  <c r="J1388"/>
  <c r="I1388"/>
  <c r="H1388"/>
  <c r="G1388"/>
  <c r="F1388"/>
  <c r="E1388"/>
  <c r="D1388"/>
  <c r="C1388"/>
  <c r="B1388"/>
  <c r="M1387"/>
  <c r="L1387"/>
  <c r="K1387"/>
  <c r="J1387"/>
  <c r="I1387"/>
  <c r="H1387"/>
  <c r="G1387"/>
  <c r="F1387"/>
  <c r="E1387"/>
  <c r="D1387"/>
  <c r="C1387"/>
  <c r="B1387"/>
  <c r="M1386"/>
  <c r="L1386"/>
  <c r="K1386"/>
  <c r="J1386"/>
  <c r="I1386"/>
  <c r="H1386"/>
  <c r="G1386"/>
  <c r="F1386"/>
  <c r="E1386"/>
  <c r="D1386"/>
  <c r="C1386"/>
  <c r="B1386"/>
  <c r="M1385"/>
  <c r="L1385"/>
  <c r="K1385"/>
  <c r="J1385"/>
  <c r="I1385"/>
  <c r="H1385"/>
  <c r="G1385"/>
  <c r="F1385"/>
  <c r="E1385"/>
  <c r="D1385"/>
  <c r="C1385"/>
  <c r="B1385"/>
  <c r="M1384"/>
  <c r="L1384"/>
  <c r="K1384"/>
  <c r="J1384"/>
  <c r="I1384"/>
  <c r="H1384"/>
  <c r="G1384"/>
  <c r="F1384"/>
  <c r="E1384"/>
  <c r="D1384"/>
  <c r="C1384"/>
  <c r="B1384"/>
  <c r="M1383"/>
  <c r="L1383"/>
  <c r="K1383"/>
  <c r="J1383"/>
  <c r="I1383"/>
  <c r="H1383"/>
  <c r="G1383"/>
  <c r="F1383"/>
  <c r="E1383"/>
  <c r="D1383"/>
  <c r="C1383"/>
  <c r="B1383"/>
  <c r="M1382"/>
  <c r="L1382"/>
  <c r="K1382"/>
  <c r="J1382"/>
  <c r="I1382"/>
  <c r="H1382"/>
  <c r="G1382"/>
  <c r="F1382"/>
  <c r="E1382"/>
  <c r="D1382"/>
  <c r="C1382"/>
  <c r="B1382"/>
  <c r="M1381"/>
  <c r="L1381"/>
  <c r="K1381"/>
  <c r="J1381"/>
  <c r="I1381"/>
  <c r="H1381"/>
  <c r="G1381"/>
  <c r="F1381"/>
  <c r="E1381"/>
  <c r="D1381"/>
  <c r="C1381"/>
  <c r="B1381"/>
  <c r="M1380"/>
  <c r="L1380"/>
  <c r="K1380"/>
  <c r="J1380"/>
  <c r="I1380"/>
  <c r="H1380"/>
  <c r="G1380"/>
  <c r="F1380"/>
  <c r="E1380"/>
  <c r="D1380"/>
  <c r="C1380"/>
  <c r="B1380"/>
  <c r="M1379"/>
  <c r="L1379"/>
  <c r="K1379"/>
  <c r="J1379"/>
  <c r="I1379"/>
  <c r="H1379"/>
  <c r="G1379"/>
  <c r="F1379"/>
  <c r="E1379"/>
  <c r="D1379"/>
  <c r="C1379"/>
  <c r="B1379"/>
  <c r="M1378"/>
  <c r="L1378"/>
  <c r="K1378"/>
  <c r="J1378"/>
  <c r="I1378"/>
  <c r="H1378"/>
  <c r="G1378"/>
  <c r="F1378"/>
  <c r="E1378"/>
  <c r="D1378"/>
  <c r="C1378"/>
  <c r="B1378"/>
  <c r="M1377"/>
  <c r="L1377"/>
  <c r="K1377"/>
  <c r="J1377"/>
  <c r="I1377"/>
  <c r="H1377"/>
  <c r="G1377"/>
  <c r="F1377"/>
  <c r="E1377"/>
  <c r="D1377"/>
  <c r="C1377"/>
  <c r="B1377"/>
  <c r="M1376"/>
  <c r="L1376"/>
  <c r="K1376"/>
  <c r="J1376"/>
  <c r="I1376"/>
  <c r="H1376"/>
  <c r="G1376"/>
  <c r="F1376"/>
  <c r="E1376"/>
  <c r="D1376"/>
  <c r="C1376"/>
  <c r="B1376"/>
  <c r="M1375"/>
  <c r="L1375"/>
  <c r="K1375"/>
  <c r="J1375"/>
  <c r="I1375"/>
  <c r="H1375"/>
  <c r="G1375"/>
  <c r="F1375"/>
  <c r="E1375"/>
  <c r="D1375"/>
  <c r="C1375"/>
  <c r="B1375"/>
  <c r="M1374"/>
  <c r="L1374"/>
  <c r="K1374"/>
  <c r="J1374"/>
  <c r="I1374"/>
  <c r="H1374"/>
  <c r="G1374"/>
  <c r="F1374"/>
  <c r="E1374"/>
  <c r="D1374"/>
  <c r="C1374"/>
  <c r="B1374"/>
  <c r="M1373"/>
  <c r="L1373"/>
  <c r="K1373"/>
  <c r="J1373"/>
  <c r="I1373"/>
  <c r="H1373"/>
  <c r="G1373"/>
  <c r="F1373"/>
  <c r="E1373"/>
  <c r="D1373"/>
  <c r="C1373"/>
  <c r="B1373"/>
  <c r="M1372"/>
  <c r="L1372"/>
  <c r="K1372"/>
  <c r="J1372"/>
  <c r="I1372"/>
  <c r="H1372"/>
  <c r="G1372"/>
  <c r="F1372"/>
  <c r="E1372"/>
  <c r="D1372"/>
  <c r="C1372"/>
  <c r="B1372"/>
  <c r="M1371"/>
  <c r="L1371"/>
  <c r="K1371"/>
  <c r="J1371"/>
  <c r="I1371"/>
  <c r="H1371"/>
  <c r="G1371"/>
  <c r="F1371"/>
  <c r="E1371"/>
  <c r="D1371"/>
  <c r="C1371"/>
  <c r="B1371"/>
  <c r="M1370"/>
  <c r="L1370"/>
  <c r="K1370"/>
  <c r="J1370"/>
  <c r="I1370"/>
  <c r="H1370"/>
  <c r="G1370"/>
  <c r="F1370"/>
  <c r="E1370"/>
  <c r="D1370"/>
  <c r="C1370"/>
  <c r="B1370"/>
  <c r="M1369"/>
  <c r="L1369"/>
  <c r="K1369"/>
  <c r="J1369"/>
  <c r="I1369"/>
  <c r="H1369"/>
  <c r="G1369"/>
  <c r="F1369"/>
  <c r="E1369"/>
  <c r="D1369"/>
  <c r="C1369"/>
  <c r="B1369"/>
  <c r="M1368"/>
  <c r="L1368"/>
  <c r="K1368"/>
  <c r="J1368"/>
  <c r="I1368"/>
  <c r="H1368"/>
  <c r="G1368"/>
  <c r="F1368"/>
  <c r="E1368"/>
  <c r="D1368"/>
  <c r="C1368"/>
  <c r="B1368"/>
  <c r="M1367"/>
  <c r="L1367"/>
  <c r="K1367"/>
  <c r="J1367"/>
  <c r="I1367"/>
  <c r="H1367"/>
  <c r="G1367"/>
  <c r="F1367"/>
  <c r="E1367"/>
  <c r="D1367"/>
  <c r="C1367"/>
  <c r="B1367"/>
  <c r="M1366"/>
  <c r="L1366"/>
  <c r="K1366"/>
  <c r="J1366"/>
  <c r="I1366"/>
  <c r="H1366"/>
  <c r="G1366"/>
  <c r="F1366"/>
  <c r="E1366"/>
  <c r="D1366"/>
  <c r="C1366"/>
  <c r="B1366"/>
  <c r="M1365"/>
  <c r="L1365"/>
  <c r="K1365"/>
  <c r="J1365"/>
  <c r="I1365"/>
  <c r="H1365"/>
  <c r="G1365"/>
  <c r="F1365"/>
  <c r="E1365"/>
  <c r="D1365"/>
  <c r="C1365"/>
  <c r="B1365"/>
  <c r="M1364"/>
  <c r="L1364"/>
  <c r="K1364"/>
  <c r="J1364"/>
  <c r="I1364"/>
  <c r="H1364"/>
  <c r="G1364"/>
  <c r="F1364"/>
  <c r="E1364"/>
  <c r="D1364"/>
  <c r="C1364"/>
  <c r="B1364"/>
  <c r="M1363"/>
  <c r="L1363"/>
  <c r="K1363"/>
  <c r="J1363"/>
  <c r="I1363"/>
  <c r="H1363"/>
  <c r="G1363"/>
  <c r="F1363"/>
  <c r="E1363"/>
  <c r="D1363"/>
  <c r="C1363"/>
  <c r="B1363"/>
  <c r="M1353"/>
  <c r="L1353"/>
  <c r="K1353"/>
  <c r="J1353"/>
  <c r="I1353"/>
  <c r="H1353"/>
  <c r="G1353"/>
  <c r="F1353"/>
  <c r="E1353"/>
  <c r="D1353"/>
  <c r="C1353"/>
  <c r="B1353"/>
  <c r="M1352"/>
  <c r="L1352"/>
  <c r="K1352"/>
  <c r="J1352"/>
  <c r="I1352"/>
  <c r="H1352"/>
  <c r="G1352"/>
  <c r="F1352"/>
  <c r="E1352"/>
  <c r="D1352"/>
  <c r="C1352"/>
  <c r="B1352"/>
  <c r="M1351"/>
  <c r="L1351"/>
  <c r="K1351"/>
  <c r="J1351"/>
  <c r="I1351"/>
  <c r="H1351"/>
  <c r="G1351"/>
  <c r="F1351"/>
  <c r="E1351"/>
  <c r="D1351"/>
  <c r="C1351"/>
  <c r="B1351"/>
  <c r="M1350"/>
  <c r="L1350"/>
  <c r="K1350"/>
  <c r="J1350"/>
  <c r="I1350"/>
  <c r="H1350"/>
  <c r="G1350"/>
  <c r="F1350"/>
  <c r="E1350"/>
  <c r="D1350"/>
  <c r="C1350"/>
  <c r="B1350"/>
  <c r="M1349"/>
  <c r="L1349"/>
  <c r="K1349"/>
  <c r="J1349"/>
  <c r="I1349"/>
  <c r="H1349"/>
  <c r="G1349"/>
  <c r="F1349"/>
  <c r="E1349"/>
  <c r="D1349"/>
  <c r="C1349"/>
  <c r="B1349"/>
  <c r="M1348"/>
  <c r="L1348"/>
  <c r="K1348"/>
  <c r="J1348"/>
  <c r="I1348"/>
  <c r="H1348"/>
  <c r="G1348"/>
  <c r="F1348"/>
  <c r="E1348"/>
  <c r="D1348"/>
  <c r="C1348"/>
  <c r="B1348"/>
  <c r="M1347"/>
  <c r="L1347"/>
  <c r="K1347"/>
  <c r="J1347"/>
  <c r="I1347"/>
  <c r="H1347"/>
  <c r="G1347"/>
  <c r="F1347"/>
  <c r="E1347"/>
  <c r="D1347"/>
  <c r="C1347"/>
  <c r="B1347"/>
  <c r="M1346"/>
  <c r="L1346"/>
  <c r="K1346"/>
  <c r="J1346"/>
  <c r="I1346"/>
  <c r="H1346"/>
  <c r="G1346"/>
  <c r="F1346"/>
  <c r="E1346"/>
  <c r="D1346"/>
  <c r="C1346"/>
  <c r="B1346"/>
  <c r="M1345"/>
  <c r="L1345"/>
  <c r="K1345"/>
  <c r="J1345"/>
  <c r="I1345"/>
  <c r="H1345"/>
  <c r="G1345"/>
  <c r="F1345"/>
  <c r="E1345"/>
  <c r="D1345"/>
  <c r="C1345"/>
  <c r="B1345"/>
  <c r="M1344"/>
  <c r="L1344"/>
  <c r="K1344"/>
  <c r="J1344"/>
  <c r="I1344"/>
  <c r="H1344"/>
  <c r="G1344"/>
  <c r="F1344"/>
  <c r="E1344"/>
  <c r="D1344"/>
  <c r="C1344"/>
  <c r="B1344"/>
  <c r="M1343"/>
  <c r="L1343"/>
  <c r="K1343"/>
  <c r="J1343"/>
  <c r="I1343"/>
  <c r="H1343"/>
  <c r="G1343"/>
  <c r="F1343"/>
  <c r="E1343"/>
  <c r="D1343"/>
  <c r="C1343"/>
  <c r="B1343"/>
  <c r="M1342"/>
  <c r="L1342"/>
  <c r="K1342"/>
  <c r="J1342"/>
  <c r="I1342"/>
  <c r="H1342"/>
  <c r="G1342"/>
  <c r="F1342"/>
  <c r="E1342"/>
  <c r="D1342"/>
  <c r="C1342"/>
  <c r="B1342"/>
  <c r="M1341"/>
  <c r="L1341"/>
  <c r="K1341"/>
  <c r="J1341"/>
  <c r="I1341"/>
  <c r="H1341"/>
  <c r="G1341"/>
  <c r="F1341"/>
  <c r="E1341"/>
  <c r="D1341"/>
  <c r="C1341"/>
  <c r="B1341"/>
  <c r="M1340"/>
  <c r="L1340"/>
  <c r="K1340"/>
  <c r="J1340"/>
  <c r="I1340"/>
  <c r="H1340"/>
  <c r="G1340"/>
  <c r="F1340"/>
  <c r="E1340"/>
  <c r="D1340"/>
  <c r="C1340"/>
  <c r="B1340"/>
  <c r="M1339"/>
  <c r="L1339"/>
  <c r="K1339"/>
  <c r="J1339"/>
  <c r="I1339"/>
  <c r="H1339"/>
  <c r="G1339"/>
  <c r="F1339"/>
  <c r="E1339"/>
  <c r="D1339"/>
  <c r="C1339"/>
  <c r="B1339"/>
  <c r="M1338"/>
  <c r="L1338"/>
  <c r="K1338"/>
  <c r="J1338"/>
  <c r="I1338"/>
  <c r="H1338"/>
  <c r="G1338"/>
  <c r="F1338"/>
  <c r="E1338"/>
  <c r="D1338"/>
  <c r="C1338"/>
  <c r="B1338"/>
  <c r="M1337"/>
  <c r="L1337"/>
  <c r="K1337"/>
  <c r="J1337"/>
  <c r="I1337"/>
  <c r="H1337"/>
  <c r="G1337"/>
  <c r="F1337"/>
  <c r="E1337"/>
  <c r="D1337"/>
  <c r="C1337"/>
  <c r="B1337"/>
  <c r="M1336"/>
  <c r="L1336"/>
  <c r="K1336"/>
  <c r="J1336"/>
  <c r="I1336"/>
  <c r="H1336"/>
  <c r="G1336"/>
  <c r="F1336"/>
  <c r="E1336"/>
  <c r="D1336"/>
  <c r="C1336"/>
  <c r="B1336"/>
  <c r="M1335"/>
  <c r="L1335"/>
  <c r="K1335"/>
  <c r="J1335"/>
  <c r="I1335"/>
  <c r="H1335"/>
  <c r="G1335"/>
  <c r="F1335"/>
  <c r="E1335"/>
  <c r="D1335"/>
  <c r="C1335"/>
  <c r="B1335"/>
  <c r="M1334"/>
  <c r="L1334"/>
  <c r="K1334"/>
  <c r="J1334"/>
  <c r="I1334"/>
  <c r="H1334"/>
  <c r="G1334"/>
  <c r="F1334"/>
  <c r="E1334"/>
  <c r="D1334"/>
  <c r="C1334"/>
  <c r="B1334"/>
  <c r="M1333"/>
  <c r="L1333"/>
  <c r="K1333"/>
  <c r="J1333"/>
  <c r="I1333"/>
  <c r="H1333"/>
  <c r="G1333"/>
  <c r="F1333"/>
  <c r="E1333"/>
  <c r="D1333"/>
  <c r="C1333"/>
  <c r="B1333"/>
  <c r="M1332"/>
  <c r="L1332"/>
  <c r="K1332"/>
  <c r="J1332"/>
  <c r="I1332"/>
  <c r="H1332"/>
  <c r="G1332"/>
  <c r="F1332"/>
  <c r="E1332"/>
  <c r="D1332"/>
  <c r="C1332"/>
  <c r="B1332"/>
  <c r="M1331"/>
  <c r="L1331"/>
  <c r="K1331"/>
  <c r="J1331"/>
  <c r="I1331"/>
  <c r="H1331"/>
  <c r="G1331"/>
  <c r="F1331"/>
  <c r="E1331"/>
  <c r="D1331"/>
  <c r="C1331"/>
  <c r="B1331"/>
  <c r="M1330"/>
  <c r="L1330"/>
  <c r="K1330"/>
  <c r="J1330"/>
  <c r="I1330"/>
  <c r="H1330"/>
  <c r="G1330"/>
  <c r="F1330"/>
  <c r="E1330"/>
  <c r="D1330"/>
  <c r="C1330"/>
  <c r="B1330"/>
  <c r="M1329"/>
  <c r="L1329"/>
  <c r="K1329"/>
  <c r="J1329"/>
  <c r="I1329"/>
  <c r="H1329"/>
  <c r="G1329"/>
  <c r="F1329"/>
  <c r="E1329"/>
  <c r="D1329"/>
  <c r="C1329"/>
  <c r="B1329"/>
  <c r="M1328"/>
  <c r="L1328"/>
  <c r="K1328"/>
  <c r="J1328"/>
  <c r="I1328"/>
  <c r="H1328"/>
  <c r="G1328"/>
  <c r="F1328"/>
  <c r="E1328"/>
  <c r="D1328"/>
  <c r="C1328"/>
  <c r="B1328"/>
  <c r="M1327"/>
  <c r="L1327"/>
  <c r="K1327"/>
  <c r="J1327"/>
  <c r="I1327"/>
  <c r="H1327"/>
  <c r="G1327"/>
  <c r="F1327"/>
  <c r="E1327"/>
  <c r="D1327"/>
  <c r="C1327"/>
  <c r="B1327"/>
  <c r="M1326"/>
  <c r="L1326"/>
  <c r="K1326"/>
  <c r="J1326"/>
  <c r="I1326"/>
  <c r="H1326"/>
  <c r="G1326"/>
  <c r="F1326"/>
  <c r="E1326"/>
  <c r="D1326"/>
  <c r="C1326"/>
  <c r="B1326"/>
  <c r="M1325"/>
  <c r="L1325"/>
  <c r="K1325"/>
  <c r="J1325"/>
  <c r="I1325"/>
  <c r="H1325"/>
  <c r="G1325"/>
  <c r="F1325"/>
  <c r="E1325"/>
  <c r="D1325"/>
  <c r="C1325"/>
  <c r="B1325"/>
  <c r="M1324"/>
  <c r="L1324"/>
  <c r="K1324"/>
  <c r="J1324"/>
  <c r="I1324"/>
  <c r="H1324"/>
  <c r="G1324"/>
  <c r="F1324"/>
  <c r="E1324"/>
  <c r="D1324"/>
  <c r="C1324"/>
  <c r="B1324"/>
  <c r="M1323"/>
  <c r="L1323"/>
  <c r="K1323"/>
  <c r="J1323"/>
  <c r="I1323"/>
  <c r="H1323"/>
  <c r="G1323"/>
  <c r="F1323"/>
  <c r="E1323"/>
  <c r="D1323"/>
  <c r="C1323"/>
  <c r="B1323"/>
  <c r="M1313"/>
  <c r="L1313"/>
  <c r="K1313"/>
  <c r="J1313"/>
  <c r="I1313"/>
  <c r="H1313"/>
  <c r="G1313"/>
  <c r="F1313"/>
  <c r="E1313"/>
  <c r="D1313"/>
  <c r="C1313"/>
  <c r="B1313"/>
  <c r="M1312"/>
  <c r="L1312"/>
  <c r="K1312"/>
  <c r="J1312"/>
  <c r="I1312"/>
  <c r="H1312"/>
  <c r="G1312"/>
  <c r="F1312"/>
  <c r="E1312"/>
  <c r="D1312"/>
  <c r="C1312"/>
  <c r="B1312"/>
  <c r="M1311"/>
  <c r="L1311"/>
  <c r="K1311"/>
  <c r="J1311"/>
  <c r="I1311"/>
  <c r="H1311"/>
  <c r="G1311"/>
  <c r="F1311"/>
  <c r="E1311"/>
  <c r="D1311"/>
  <c r="C1311"/>
  <c r="B1311"/>
  <c r="M1310"/>
  <c r="L1310"/>
  <c r="K1310"/>
  <c r="J1310"/>
  <c r="I1310"/>
  <c r="H1310"/>
  <c r="G1310"/>
  <c r="F1310"/>
  <c r="E1310"/>
  <c r="D1310"/>
  <c r="C1310"/>
  <c r="B1310"/>
  <c r="M1309"/>
  <c r="L1309"/>
  <c r="K1309"/>
  <c r="J1309"/>
  <c r="I1309"/>
  <c r="H1309"/>
  <c r="G1309"/>
  <c r="F1309"/>
  <c r="E1309"/>
  <c r="D1309"/>
  <c r="C1309"/>
  <c r="B1309"/>
  <c r="M1308"/>
  <c r="L1308"/>
  <c r="K1308"/>
  <c r="J1308"/>
  <c r="I1308"/>
  <c r="H1308"/>
  <c r="G1308"/>
  <c r="F1308"/>
  <c r="E1308"/>
  <c r="D1308"/>
  <c r="C1308"/>
  <c r="B1308"/>
  <c r="M1307"/>
  <c r="L1307"/>
  <c r="K1307"/>
  <c r="J1307"/>
  <c r="I1307"/>
  <c r="H1307"/>
  <c r="G1307"/>
  <c r="F1307"/>
  <c r="E1307"/>
  <c r="D1307"/>
  <c r="C1307"/>
  <c r="B1307"/>
  <c r="M1306"/>
  <c r="L1306"/>
  <c r="K1306"/>
  <c r="J1306"/>
  <c r="I1306"/>
  <c r="H1306"/>
  <c r="G1306"/>
  <c r="F1306"/>
  <c r="E1306"/>
  <c r="D1306"/>
  <c r="C1306"/>
  <c r="B1306"/>
  <c r="M1305"/>
  <c r="L1305"/>
  <c r="K1305"/>
  <c r="J1305"/>
  <c r="I1305"/>
  <c r="H1305"/>
  <c r="G1305"/>
  <c r="F1305"/>
  <c r="E1305"/>
  <c r="D1305"/>
  <c r="C1305"/>
  <c r="B1305"/>
  <c r="M1304"/>
  <c r="L1304"/>
  <c r="K1304"/>
  <c r="J1304"/>
  <c r="I1304"/>
  <c r="H1304"/>
  <c r="G1304"/>
  <c r="F1304"/>
  <c r="E1304"/>
  <c r="D1304"/>
  <c r="C1304"/>
  <c r="B1304"/>
  <c r="M1303"/>
  <c r="L1303"/>
  <c r="K1303"/>
  <c r="J1303"/>
  <c r="I1303"/>
  <c r="H1303"/>
  <c r="G1303"/>
  <c r="F1303"/>
  <c r="E1303"/>
  <c r="D1303"/>
  <c r="C1303"/>
  <c r="B1303"/>
  <c r="M1302"/>
  <c r="L1302"/>
  <c r="K1302"/>
  <c r="J1302"/>
  <c r="I1302"/>
  <c r="H1302"/>
  <c r="G1302"/>
  <c r="F1302"/>
  <c r="E1302"/>
  <c r="D1302"/>
  <c r="C1302"/>
  <c r="B1302"/>
  <c r="M1301"/>
  <c r="L1301"/>
  <c r="K1301"/>
  <c r="J1301"/>
  <c r="I1301"/>
  <c r="H1301"/>
  <c r="G1301"/>
  <c r="F1301"/>
  <c r="E1301"/>
  <c r="D1301"/>
  <c r="C1301"/>
  <c r="B1301"/>
  <c r="M1300"/>
  <c r="L1300"/>
  <c r="K1300"/>
  <c r="J1300"/>
  <c r="I1300"/>
  <c r="H1300"/>
  <c r="G1300"/>
  <c r="F1300"/>
  <c r="E1300"/>
  <c r="D1300"/>
  <c r="C1300"/>
  <c r="B1300"/>
  <c r="M1299"/>
  <c r="L1299"/>
  <c r="K1299"/>
  <c r="J1299"/>
  <c r="I1299"/>
  <c r="H1299"/>
  <c r="G1299"/>
  <c r="F1299"/>
  <c r="E1299"/>
  <c r="D1299"/>
  <c r="C1299"/>
  <c r="B1299"/>
  <c r="M1298"/>
  <c r="L1298"/>
  <c r="K1298"/>
  <c r="J1298"/>
  <c r="I1298"/>
  <c r="H1298"/>
  <c r="G1298"/>
  <c r="F1298"/>
  <c r="E1298"/>
  <c r="D1298"/>
  <c r="C1298"/>
  <c r="B1298"/>
  <c r="M1297"/>
  <c r="L1297"/>
  <c r="K1297"/>
  <c r="J1297"/>
  <c r="I1297"/>
  <c r="H1297"/>
  <c r="G1297"/>
  <c r="F1297"/>
  <c r="E1297"/>
  <c r="D1297"/>
  <c r="C1297"/>
  <c r="B1297"/>
  <c r="M1296"/>
  <c r="L1296"/>
  <c r="K1296"/>
  <c r="J1296"/>
  <c r="I1296"/>
  <c r="H1296"/>
  <c r="G1296"/>
  <c r="F1296"/>
  <c r="E1296"/>
  <c r="D1296"/>
  <c r="C1296"/>
  <c r="B1296"/>
  <c r="M1295"/>
  <c r="L1295"/>
  <c r="K1295"/>
  <c r="J1295"/>
  <c r="I1295"/>
  <c r="H1295"/>
  <c r="G1295"/>
  <c r="F1295"/>
  <c r="E1295"/>
  <c r="D1295"/>
  <c r="C1295"/>
  <c r="B1295"/>
  <c r="M1294"/>
  <c r="L1294"/>
  <c r="K1294"/>
  <c r="J1294"/>
  <c r="I1294"/>
  <c r="H1294"/>
  <c r="G1294"/>
  <c r="F1294"/>
  <c r="E1294"/>
  <c r="D1294"/>
  <c r="C1294"/>
  <c r="B1294"/>
  <c r="M1293"/>
  <c r="L1293"/>
  <c r="K1293"/>
  <c r="J1293"/>
  <c r="I1293"/>
  <c r="H1293"/>
  <c r="G1293"/>
  <c r="F1293"/>
  <c r="E1293"/>
  <c r="D1293"/>
  <c r="C1293"/>
  <c r="B1293"/>
  <c r="M1292"/>
  <c r="L1292"/>
  <c r="K1292"/>
  <c r="J1292"/>
  <c r="I1292"/>
  <c r="H1292"/>
  <c r="G1292"/>
  <c r="F1292"/>
  <c r="E1292"/>
  <c r="D1292"/>
  <c r="C1292"/>
  <c r="B1292"/>
  <c r="M1291"/>
  <c r="L1291"/>
  <c r="K1291"/>
  <c r="J1291"/>
  <c r="I1291"/>
  <c r="H1291"/>
  <c r="G1291"/>
  <c r="F1291"/>
  <c r="E1291"/>
  <c r="D1291"/>
  <c r="C1291"/>
  <c r="B1291"/>
  <c r="M1290"/>
  <c r="L1290"/>
  <c r="K1290"/>
  <c r="J1290"/>
  <c r="I1290"/>
  <c r="H1290"/>
  <c r="G1290"/>
  <c r="F1290"/>
  <c r="E1290"/>
  <c r="D1290"/>
  <c r="C1290"/>
  <c r="B1290"/>
  <c r="M1289"/>
  <c r="L1289"/>
  <c r="K1289"/>
  <c r="J1289"/>
  <c r="I1289"/>
  <c r="H1289"/>
  <c r="G1289"/>
  <c r="F1289"/>
  <c r="E1289"/>
  <c r="D1289"/>
  <c r="C1289"/>
  <c r="B1289"/>
  <c r="M1288"/>
  <c r="L1288"/>
  <c r="K1288"/>
  <c r="J1288"/>
  <c r="I1288"/>
  <c r="H1288"/>
  <c r="G1288"/>
  <c r="F1288"/>
  <c r="E1288"/>
  <c r="D1288"/>
  <c r="C1288"/>
  <c r="B1288"/>
  <c r="M1287"/>
  <c r="L1287"/>
  <c r="K1287"/>
  <c r="J1287"/>
  <c r="I1287"/>
  <c r="H1287"/>
  <c r="G1287"/>
  <c r="F1287"/>
  <c r="E1287"/>
  <c r="D1287"/>
  <c r="C1287"/>
  <c r="B1287"/>
  <c r="M1286"/>
  <c r="L1286"/>
  <c r="K1286"/>
  <c r="J1286"/>
  <c r="I1286"/>
  <c r="H1286"/>
  <c r="G1286"/>
  <c r="F1286"/>
  <c r="E1286"/>
  <c r="D1286"/>
  <c r="C1286"/>
  <c r="B1286"/>
  <c r="M1285"/>
  <c r="L1285"/>
  <c r="K1285"/>
  <c r="J1285"/>
  <c r="I1285"/>
  <c r="H1285"/>
  <c r="G1285"/>
  <c r="F1285"/>
  <c r="E1285"/>
  <c r="D1285"/>
  <c r="C1285"/>
  <c r="B1285"/>
  <c r="M1284"/>
  <c r="L1284"/>
  <c r="K1284"/>
  <c r="J1284"/>
  <c r="I1284"/>
  <c r="H1284"/>
  <c r="G1284"/>
  <c r="F1284"/>
  <c r="E1284"/>
  <c r="D1284"/>
  <c r="C1284"/>
  <c r="B1284"/>
  <c r="M1283"/>
  <c r="L1283"/>
  <c r="K1283"/>
  <c r="J1283"/>
  <c r="I1283"/>
  <c r="H1283"/>
  <c r="G1283"/>
  <c r="F1283"/>
  <c r="E1283"/>
  <c r="D1283"/>
  <c r="C1283"/>
  <c r="B1283"/>
  <c r="M1273"/>
  <c r="L1273"/>
  <c r="K1273"/>
  <c r="J1273"/>
  <c r="I1273"/>
  <c r="H1273"/>
  <c r="G1273"/>
  <c r="F1273"/>
  <c r="E1273"/>
  <c r="D1273"/>
  <c r="C1273"/>
  <c r="B1273"/>
  <c r="M1272"/>
  <c r="L1272"/>
  <c r="K1272"/>
  <c r="J1272"/>
  <c r="I1272"/>
  <c r="H1272"/>
  <c r="G1272"/>
  <c r="F1272"/>
  <c r="E1272"/>
  <c r="D1272"/>
  <c r="C1272"/>
  <c r="B1272"/>
  <c r="M1271"/>
  <c r="L1271"/>
  <c r="K1271"/>
  <c r="J1271"/>
  <c r="I1271"/>
  <c r="H1271"/>
  <c r="G1271"/>
  <c r="F1271"/>
  <c r="E1271"/>
  <c r="D1271"/>
  <c r="C1271"/>
  <c r="B1271"/>
  <c r="M1270"/>
  <c r="L1270"/>
  <c r="K1270"/>
  <c r="J1270"/>
  <c r="I1270"/>
  <c r="H1270"/>
  <c r="G1270"/>
  <c r="F1270"/>
  <c r="E1270"/>
  <c r="D1270"/>
  <c r="C1270"/>
  <c r="B1270"/>
  <c r="M1269"/>
  <c r="L1269"/>
  <c r="K1269"/>
  <c r="J1269"/>
  <c r="I1269"/>
  <c r="H1269"/>
  <c r="G1269"/>
  <c r="F1269"/>
  <c r="E1269"/>
  <c r="D1269"/>
  <c r="C1269"/>
  <c r="B1269"/>
  <c r="M1268"/>
  <c r="L1268"/>
  <c r="K1268"/>
  <c r="J1268"/>
  <c r="I1268"/>
  <c r="H1268"/>
  <c r="G1268"/>
  <c r="F1268"/>
  <c r="E1268"/>
  <c r="D1268"/>
  <c r="C1268"/>
  <c r="B1268"/>
  <c r="M1267"/>
  <c r="L1267"/>
  <c r="K1267"/>
  <c r="J1267"/>
  <c r="I1267"/>
  <c r="H1267"/>
  <c r="G1267"/>
  <c r="F1267"/>
  <c r="E1267"/>
  <c r="D1267"/>
  <c r="C1267"/>
  <c r="B1267"/>
  <c r="M1266"/>
  <c r="L1266"/>
  <c r="K1266"/>
  <c r="J1266"/>
  <c r="I1266"/>
  <c r="H1266"/>
  <c r="G1266"/>
  <c r="F1266"/>
  <c r="E1266"/>
  <c r="D1266"/>
  <c r="C1266"/>
  <c r="B1266"/>
  <c r="M1265"/>
  <c r="L1265"/>
  <c r="K1265"/>
  <c r="J1265"/>
  <c r="I1265"/>
  <c r="H1265"/>
  <c r="G1265"/>
  <c r="F1265"/>
  <c r="E1265"/>
  <c r="D1265"/>
  <c r="C1265"/>
  <c r="B1265"/>
  <c r="M1264"/>
  <c r="L1264"/>
  <c r="K1264"/>
  <c r="J1264"/>
  <c r="I1264"/>
  <c r="H1264"/>
  <c r="G1264"/>
  <c r="F1264"/>
  <c r="E1264"/>
  <c r="D1264"/>
  <c r="C1264"/>
  <c r="B1264"/>
  <c r="M1263"/>
  <c r="L1263"/>
  <c r="K1263"/>
  <c r="J1263"/>
  <c r="I1263"/>
  <c r="H1263"/>
  <c r="G1263"/>
  <c r="F1263"/>
  <c r="E1263"/>
  <c r="D1263"/>
  <c r="C1263"/>
  <c r="B1263"/>
  <c r="M1262"/>
  <c r="L1262"/>
  <c r="K1262"/>
  <c r="J1262"/>
  <c r="I1262"/>
  <c r="H1262"/>
  <c r="G1262"/>
  <c r="F1262"/>
  <c r="E1262"/>
  <c r="D1262"/>
  <c r="C1262"/>
  <c r="B1262"/>
  <c r="M1261"/>
  <c r="L1261"/>
  <c r="K1261"/>
  <c r="J1261"/>
  <c r="I1261"/>
  <c r="H1261"/>
  <c r="G1261"/>
  <c r="F1261"/>
  <c r="E1261"/>
  <c r="D1261"/>
  <c r="C1261"/>
  <c r="B1261"/>
  <c r="M1260"/>
  <c r="L1260"/>
  <c r="K1260"/>
  <c r="J1260"/>
  <c r="I1260"/>
  <c r="H1260"/>
  <c r="G1260"/>
  <c r="F1260"/>
  <c r="E1260"/>
  <c r="D1260"/>
  <c r="C1260"/>
  <c r="B1260"/>
  <c r="M1259"/>
  <c r="L1259"/>
  <c r="K1259"/>
  <c r="J1259"/>
  <c r="I1259"/>
  <c r="H1259"/>
  <c r="G1259"/>
  <c r="F1259"/>
  <c r="E1259"/>
  <c r="D1259"/>
  <c r="C1259"/>
  <c r="B1259"/>
  <c r="M1258"/>
  <c r="L1258"/>
  <c r="K1258"/>
  <c r="J1258"/>
  <c r="I1258"/>
  <c r="H1258"/>
  <c r="G1258"/>
  <c r="F1258"/>
  <c r="E1258"/>
  <c r="D1258"/>
  <c r="C1258"/>
  <c r="B1258"/>
  <c r="M1257"/>
  <c r="L1257"/>
  <c r="K1257"/>
  <c r="J1257"/>
  <c r="I1257"/>
  <c r="H1257"/>
  <c r="G1257"/>
  <c r="F1257"/>
  <c r="E1257"/>
  <c r="D1257"/>
  <c r="C1257"/>
  <c r="B1257"/>
  <c r="M1256"/>
  <c r="L1256"/>
  <c r="K1256"/>
  <c r="J1256"/>
  <c r="I1256"/>
  <c r="H1256"/>
  <c r="G1256"/>
  <c r="F1256"/>
  <c r="E1256"/>
  <c r="D1256"/>
  <c r="C1256"/>
  <c r="B1256"/>
  <c r="M1255"/>
  <c r="L1255"/>
  <c r="K1255"/>
  <c r="J1255"/>
  <c r="I1255"/>
  <c r="H1255"/>
  <c r="G1255"/>
  <c r="F1255"/>
  <c r="E1255"/>
  <c r="D1255"/>
  <c r="C1255"/>
  <c r="B1255"/>
  <c r="M1254"/>
  <c r="L1254"/>
  <c r="K1254"/>
  <c r="J1254"/>
  <c r="I1254"/>
  <c r="H1254"/>
  <c r="G1254"/>
  <c r="F1254"/>
  <c r="E1254"/>
  <c r="D1254"/>
  <c r="C1254"/>
  <c r="B1254"/>
  <c r="M1253"/>
  <c r="L1253"/>
  <c r="K1253"/>
  <c r="J1253"/>
  <c r="I1253"/>
  <c r="H1253"/>
  <c r="G1253"/>
  <c r="F1253"/>
  <c r="E1253"/>
  <c r="D1253"/>
  <c r="C1253"/>
  <c r="B1253"/>
  <c r="M1252"/>
  <c r="L1252"/>
  <c r="K1252"/>
  <c r="J1252"/>
  <c r="I1252"/>
  <c r="H1252"/>
  <c r="G1252"/>
  <c r="F1252"/>
  <c r="E1252"/>
  <c r="D1252"/>
  <c r="C1252"/>
  <c r="B1252"/>
  <c r="M1251"/>
  <c r="L1251"/>
  <c r="K1251"/>
  <c r="J1251"/>
  <c r="I1251"/>
  <c r="H1251"/>
  <c r="G1251"/>
  <c r="F1251"/>
  <c r="E1251"/>
  <c r="D1251"/>
  <c r="C1251"/>
  <c r="B1251"/>
  <c r="M1250"/>
  <c r="L1250"/>
  <c r="K1250"/>
  <c r="J1250"/>
  <c r="I1250"/>
  <c r="H1250"/>
  <c r="G1250"/>
  <c r="F1250"/>
  <c r="E1250"/>
  <c r="D1250"/>
  <c r="C1250"/>
  <c r="B1250"/>
  <c r="M1249"/>
  <c r="L1249"/>
  <c r="K1249"/>
  <c r="J1249"/>
  <c r="I1249"/>
  <c r="H1249"/>
  <c r="G1249"/>
  <c r="F1249"/>
  <c r="E1249"/>
  <c r="D1249"/>
  <c r="C1249"/>
  <c r="B1249"/>
  <c r="M1248"/>
  <c r="L1248"/>
  <c r="K1248"/>
  <c r="J1248"/>
  <c r="I1248"/>
  <c r="H1248"/>
  <c r="G1248"/>
  <c r="F1248"/>
  <c r="E1248"/>
  <c r="D1248"/>
  <c r="C1248"/>
  <c r="B1248"/>
  <c r="M1247"/>
  <c r="L1247"/>
  <c r="K1247"/>
  <c r="J1247"/>
  <c r="I1247"/>
  <c r="H1247"/>
  <c r="G1247"/>
  <c r="F1247"/>
  <c r="E1247"/>
  <c r="D1247"/>
  <c r="C1247"/>
  <c r="B1247"/>
  <c r="M1246"/>
  <c r="L1246"/>
  <c r="K1246"/>
  <c r="J1246"/>
  <c r="I1246"/>
  <c r="H1246"/>
  <c r="G1246"/>
  <c r="F1246"/>
  <c r="E1246"/>
  <c r="D1246"/>
  <c r="C1246"/>
  <c r="B1246"/>
  <c r="M1245"/>
  <c r="L1245"/>
  <c r="K1245"/>
  <c r="J1245"/>
  <c r="I1245"/>
  <c r="H1245"/>
  <c r="G1245"/>
  <c r="F1245"/>
  <c r="E1245"/>
  <c r="D1245"/>
  <c r="C1245"/>
  <c r="B1245"/>
  <c r="M1244"/>
  <c r="L1244"/>
  <c r="K1244"/>
  <c r="J1244"/>
  <c r="I1244"/>
  <c r="H1244"/>
  <c r="G1244"/>
  <c r="F1244"/>
  <c r="E1244"/>
  <c r="D1244"/>
  <c r="C1244"/>
  <c r="B1244"/>
  <c r="M1243"/>
  <c r="L1243"/>
  <c r="K1243"/>
  <c r="J1243"/>
  <c r="I1243"/>
  <c r="H1243"/>
  <c r="G1243"/>
  <c r="F1243"/>
  <c r="E1243"/>
  <c r="D1243"/>
  <c r="C1243"/>
  <c r="B1243"/>
  <c r="M1233"/>
  <c r="L1233"/>
  <c r="K1233"/>
  <c r="J1233"/>
  <c r="I1233"/>
  <c r="H1233"/>
  <c r="G1233"/>
  <c r="F1233"/>
  <c r="E1233"/>
  <c r="D1233"/>
  <c r="C1233"/>
  <c r="B1233"/>
  <c r="M1232"/>
  <c r="L1232"/>
  <c r="K1232"/>
  <c r="J1232"/>
  <c r="I1232"/>
  <c r="H1232"/>
  <c r="G1232"/>
  <c r="F1232"/>
  <c r="E1232"/>
  <c r="D1232"/>
  <c r="C1232"/>
  <c r="B1232"/>
  <c r="M1231"/>
  <c r="L1231"/>
  <c r="K1231"/>
  <c r="J1231"/>
  <c r="I1231"/>
  <c r="H1231"/>
  <c r="G1231"/>
  <c r="F1231"/>
  <c r="E1231"/>
  <c r="D1231"/>
  <c r="C1231"/>
  <c r="B1231"/>
  <c r="M1230"/>
  <c r="L1230"/>
  <c r="K1230"/>
  <c r="J1230"/>
  <c r="I1230"/>
  <c r="H1230"/>
  <c r="G1230"/>
  <c r="F1230"/>
  <c r="E1230"/>
  <c r="D1230"/>
  <c r="C1230"/>
  <c r="B1230"/>
  <c r="M1229"/>
  <c r="L1229"/>
  <c r="K1229"/>
  <c r="J1229"/>
  <c r="I1229"/>
  <c r="H1229"/>
  <c r="G1229"/>
  <c r="F1229"/>
  <c r="E1229"/>
  <c r="D1229"/>
  <c r="C1229"/>
  <c r="B1229"/>
  <c r="M1228"/>
  <c r="L1228"/>
  <c r="K1228"/>
  <c r="J1228"/>
  <c r="I1228"/>
  <c r="H1228"/>
  <c r="G1228"/>
  <c r="F1228"/>
  <c r="E1228"/>
  <c r="D1228"/>
  <c r="C1228"/>
  <c r="B1228"/>
  <c r="M1227"/>
  <c r="L1227"/>
  <c r="K1227"/>
  <c r="J1227"/>
  <c r="I1227"/>
  <c r="H1227"/>
  <c r="G1227"/>
  <c r="F1227"/>
  <c r="E1227"/>
  <c r="D1227"/>
  <c r="C1227"/>
  <c r="B1227"/>
  <c r="M1226"/>
  <c r="L1226"/>
  <c r="K1226"/>
  <c r="J1226"/>
  <c r="I1226"/>
  <c r="H1226"/>
  <c r="G1226"/>
  <c r="F1226"/>
  <c r="E1226"/>
  <c r="D1226"/>
  <c r="C1226"/>
  <c r="B1226"/>
  <c r="M1225"/>
  <c r="L1225"/>
  <c r="K1225"/>
  <c r="J1225"/>
  <c r="I1225"/>
  <c r="H1225"/>
  <c r="G1225"/>
  <c r="F1225"/>
  <c r="E1225"/>
  <c r="D1225"/>
  <c r="C1225"/>
  <c r="B1225"/>
  <c r="M1224"/>
  <c r="L1224"/>
  <c r="K1224"/>
  <c r="J1224"/>
  <c r="I1224"/>
  <c r="H1224"/>
  <c r="G1224"/>
  <c r="F1224"/>
  <c r="E1224"/>
  <c r="D1224"/>
  <c r="C1224"/>
  <c r="B1224"/>
  <c r="M1223"/>
  <c r="L1223"/>
  <c r="K1223"/>
  <c r="J1223"/>
  <c r="I1223"/>
  <c r="H1223"/>
  <c r="G1223"/>
  <c r="F1223"/>
  <c r="E1223"/>
  <c r="D1223"/>
  <c r="C1223"/>
  <c r="B1223"/>
  <c r="M1222"/>
  <c r="L1222"/>
  <c r="K1222"/>
  <c r="J1222"/>
  <c r="I1222"/>
  <c r="H1222"/>
  <c r="G1222"/>
  <c r="F1222"/>
  <c r="E1222"/>
  <c r="D1222"/>
  <c r="C1222"/>
  <c r="B1222"/>
  <c r="M1221"/>
  <c r="L1221"/>
  <c r="K1221"/>
  <c r="J1221"/>
  <c r="I1221"/>
  <c r="H1221"/>
  <c r="G1221"/>
  <c r="F1221"/>
  <c r="E1221"/>
  <c r="D1221"/>
  <c r="C1221"/>
  <c r="B1221"/>
  <c r="M1220"/>
  <c r="L1220"/>
  <c r="K1220"/>
  <c r="J1220"/>
  <c r="I1220"/>
  <c r="H1220"/>
  <c r="G1220"/>
  <c r="F1220"/>
  <c r="E1220"/>
  <c r="D1220"/>
  <c r="C1220"/>
  <c r="B1220"/>
  <c r="M1219"/>
  <c r="L1219"/>
  <c r="K1219"/>
  <c r="J1219"/>
  <c r="I1219"/>
  <c r="H1219"/>
  <c r="G1219"/>
  <c r="F1219"/>
  <c r="E1219"/>
  <c r="D1219"/>
  <c r="C1219"/>
  <c r="B1219"/>
  <c r="M1218"/>
  <c r="L1218"/>
  <c r="K1218"/>
  <c r="J1218"/>
  <c r="I1218"/>
  <c r="H1218"/>
  <c r="G1218"/>
  <c r="F1218"/>
  <c r="E1218"/>
  <c r="D1218"/>
  <c r="C1218"/>
  <c r="B1218"/>
  <c r="M1217"/>
  <c r="L1217"/>
  <c r="K1217"/>
  <c r="J1217"/>
  <c r="I1217"/>
  <c r="H1217"/>
  <c r="G1217"/>
  <c r="F1217"/>
  <c r="E1217"/>
  <c r="D1217"/>
  <c r="C1217"/>
  <c r="B1217"/>
  <c r="M1216"/>
  <c r="L1216"/>
  <c r="K1216"/>
  <c r="J1216"/>
  <c r="I1216"/>
  <c r="H1216"/>
  <c r="G1216"/>
  <c r="F1216"/>
  <c r="E1216"/>
  <c r="D1216"/>
  <c r="C1216"/>
  <c r="B1216"/>
  <c r="M1215"/>
  <c r="L1215"/>
  <c r="K1215"/>
  <c r="J1215"/>
  <c r="I1215"/>
  <c r="H1215"/>
  <c r="G1215"/>
  <c r="F1215"/>
  <c r="E1215"/>
  <c r="D1215"/>
  <c r="C1215"/>
  <c r="B1215"/>
  <c r="M1214"/>
  <c r="L1214"/>
  <c r="K1214"/>
  <c r="J1214"/>
  <c r="I1214"/>
  <c r="H1214"/>
  <c r="G1214"/>
  <c r="F1214"/>
  <c r="E1214"/>
  <c r="D1214"/>
  <c r="C1214"/>
  <c r="B1214"/>
  <c r="M1213"/>
  <c r="L1213"/>
  <c r="K1213"/>
  <c r="J1213"/>
  <c r="I1213"/>
  <c r="H1213"/>
  <c r="G1213"/>
  <c r="F1213"/>
  <c r="E1213"/>
  <c r="D1213"/>
  <c r="C1213"/>
  <c r="B1213"/>
  <c r="M1212"/>
  <c r="L1212"/>
  <c r="K1212"/>
  <c r="J1212"/>
  <c r="I1212"/>
  <c r="H1212"/>
  <c r="G1212"/>
  <c r="F1212"/>
  <c r="E1212"/>
  <c r="D1212"/>
  <c r="C1212"/>
  <c r="B1212"/>
  <c r="M1211"/>
  <c r="L1211"/>
  <c r="K1211"/>
  <c r="J1211"/>
  <c r="I1211"/>
  <c r="H1211"/>
  <c r="G1211"/>
  <c r="F1211"/>
  <c r="E1211"/>
  <c r="D1211"/>
  <c r="C1211"/>
  <c r="B1211"/>
  <c r="M1210"/>
  <c r="L1210"/>
  <c r="K1210"/>
  <c r="J1210"/>
  <c r="I1210"/>
  <c r="H1210"/>
  <c r="G1210"/>
  <c r="F1210"/>
  <c r="E1210"/>
  <c r="D1210"/>
  <c r="C1210"/>
  <c r="B1210"/>
  <c r="M1209"/>
  <c r="L1209"/>
  <c r="K1209"/>
  <c r="J1209"/>
  <c r="I1209"/>
  <c r="H1209"/>
  <c r="G1209"/>
  <c r="F1209"/>
  <c r="E1209"/>
  <c r="D1209"/>
  <c r="C1209"/>
  <c r="B1209"/>
  <c r="M1208"/>
  <c r="L1208"/>
  <c r="K1208"/>
  <c r="J1208"/>
  <c r="I1208"/>
  <c r="H1208"/>
  <c r="G1208"/>
  <c r="F1208"/>
  <c r="E1208"/>
  <c r="D1208"/>
  <c r="C1208"/>
  <c r="B1208"/>
  <c r="M1207"/>
  <c r="L1207"/>
  <c r="K1207"/>
  <c r="J1207"/>
  <c r="I1207"/>
  <c r="H1207"/>
  <c r="G1207"/>
  <c r="F1207"/>
  <c r="E1207"/>
  <c r="D1207"/>
  <c r="C1207"/>
  <c r="B1207"/>
  <c r="M1206"/>
  <c r="L1206"/>
  <c r="K1206"/>
  <c r="J1206"/>
  <c r="I1206"/>
  <c r="H1206"/>
  <c r="G1206"/>
  <c r="F1206"/>
  <c r="E1206"/>
  <c r="D1206"/>
  <c r="C1206"/>
  <c r="B1206"/>
  <c r="M1205"/>
  <c r="L1205"/>
  <c r="K1205"/>
  <c r="J1205"/>
  <c r="I1205"/>
  <c r="H1205"/>
  <c r="G1205"/>
  <c r="F1205"/>
  <c r="E1205"/>
  <c r="D1205"/>
  <c r="C1205"/>
  <c r="B1205"/>
  <c r="M1204"/>
  <c r="L1204"/>
  <c r="K1204"/>
  <c r="J1204"/>
  <c r="I1204"/>
  <c r="H1204"/>
  <c r="G1204"/>
  <c r="F1204"/>
  <c r="E1204"/>
  <c r="D1204"/>
  <c r="C1204"/>
  <c r="B1204"/>
  <c r="M1203"/>
  <c r="L1203"/>
  <c r="K1203"/>
  <c r="J1203"/>
  <c r="I1203"/>
  <c r="H1203"/>
  <c r="G1203"/>
  <c r="F1203"/>
  <c r="E1203"/>
  <c r="D1203"/>
  <c r="C1203"/>
  <c r="B1203"/>
  <c r="M1193"/>
  <c r="L1193"/>
  <c r="K1193"/>
  <c r="J1193"/>
  <c r="I1193"/>
  <c r="H1193"/>
  <c r="G1193"/>
  <c r="F1193"/>
  <c r="E1193"/>
  <c r="D1193"/>
  <c r="C1193"/>
  <c r="B1193"/>
  <c r="M1192"/>
  <c r="L1192"/>
  <c r="K1192"/>
  <c r="J1192"/>
  <c r="I1192"/>
  <c r="H1192"/>
  <c r="G1192"/>
  <c r="F1192"/>
  <c r="E1192"/>
  <c r="D1192"/>
  <c r="C1192"/>
  <c r="B1192"/>
  <c r="M1191"/>
  <c r="L1191"/>
  <c r="K1191"/>
  <c r="J1191"/>
  <c r="I1191"/>
  <c r="H1191"/>
  <c r="G1191"/>
  <c r="F1191"/>
  <c r="E1191"/>
  <c r="D1191"/>
  <c r="C1191"/>
  <c r="B1191"/>
  <c r="M1190"/>
  <c r="L1190"/>
  <c r="K1190"/>
  <c r="J1190"/>
  <c r="I1190"/>
  <c r="H1190"/>
  <c r="G1190"/>
  <c r="F1190"/>
  <c r="E1190"/>
  <c r="D1190"/>
  <c r="C1190"/>
  <c r="B1190"/>
  <c r="M1189"/>
  <c r="L1189"/>
  <c r="K1189"/>
  <c r="J1189"/>
  <c r="I1189"/>
  <c r="H1189"/>
  <c r="G1189"/>
  <c r="F1189"/>
  <c r="E1189"/>
  <c r="D1189"/>
  <c r="C1189"/>
  <c r="B1189"/>
  <c r="M1188"/>
  <c r="L1188"/>
  <c r="K1188"/>
  <c r="J1188"/>
  <c r="I1188"/>
  <c r="H1188"/>
  <c r="G1188"/>
  <c r="F1188"/>
  <c r="E1188"/>
  <c r="D1188"/>
  <c r="C1188"/>
  <c r="B1188"/>
  <c r="M1187"/>
  <c r="L1187"/>
  <c r="K1187"/>
  <c r="J1187"/>
  <c r="I1187"/>
  <c r="H1187"/>
  <c r="G1187"/>
  <c r="F1187"/>
  <c r="E1187"/>
  <c r="D1187"/>
  <c r="C1187"/>
  <c r="B1187"/>
  <c r="M1186"/>
  <c r="L1186"/>
  <c r="K1186"/>
  <c r="J1186"/>
  <c r="I1186"/>
  <c r="H1186"/>
  <c r="G1186"/>
  <c r="F1186"/>
  <c r="E1186"/>
  <c r="D1186"/>
  <c r="C1186"/>
  <c r="B1186"/>
  <c r="M1185"/>
  <c r="L1185"/>
  <c r="K1185"/>
  <c r="J1185"/>
  <c r="I1185"/>
  <c r="H1185"/>
  <c r="G1185"/>
  <c r="F1185"/>
  <c r="E1185"/>
  <c r="D1185"/>
  <c r="C1185"/>
  <c r="B1185"/>
  <c r="M1184"/>
  <c r="L1184"/>
  <c r="K1184"/>
  <c r="J1184"/>
  <c r="I1184"/>
  <c r="H1184"/>
  <c r="G1184"/>
  <c r="F1184"/>
  <c r="E1184"/>
  <c r="D1184"/>
  <c r="C1184"/>
  <c r="B1184"/>
  <c r="M1183"/>
  <c r="L1183"/>
  <c r="K1183"/>
  <c r="J1183"/>
  <c r="I1183"/>
  <c r="H1183"/>
  <c r="G1183"/>
  <c r="F1183"/>
  <c r="E1183"/>
  <c r="D1183"/>
  <c r="C1183"/>
  <c r="B1183"/>
  <c r="M1182"/>
  <c r="L1182"/>
  <c r="K1182"/>
  <c r="J1182"/>
  <c r="I1182"/>
  <c r="H1182"/>
  <c r="G1182"/>
  <c r="F1182"/>
  <c r="E1182"/>
  <c r="D1182"/>
  <c r="C1182"/>
  <c r="B1182"/>
  <c r="M1181"/>
  <c r="L1181"/>
  <c r="K1181"/>
  <c r="J1181"/>
  <c r="I1181"/>
  <c r="H1181"/>
  <c r="G1181"/>
  <c r="F1181"/>
  <c r="E1181"/>
  <c r="D1181"/>
  <c r="C1181"/>
  <c r="B1181"/>
  <c r="M1180"/>
  <c r="L1180"/>
  <c r="K1180"/>
  <c r="J1180"/>
  <c r="I1180"/>
  <c r="H1180"/>
  <c r="G1180"/>
  <c r="F1180"/>
  <c r="E1180"/>
  <c r="D1180"/>
  <c r="C1180"/>
  <c r="B1180"/>
  <c r="M1179"/>
  <c r="L1179"/>
  <c r="K1179"/>
  <c r="J1179"/>
  <c r="I1179"/>
  <c r="H1179"/>
  <c r="G1179"/>
  <c r="F1179"/>
  <c r="E1179"/>
  <c r="D1179"/>
  <c r="C1179"/>
  <c r="B1179"/>
  <c r="M1178"/>
  <c r="L1178"/>
  <c r="K1178"/>
  <c r="J1178"/>
  <c r="I1178"/>
  <c r="H1178"/>
  <c r="G1178"/>
  <c r="F1178"/>
  <c r="E1178"/>
  <c r="D1178"/>
  <c r="C1178"/>
  <c r="B1178"/>
  <c r="M1177"/>
  <c r="L1177"/>
  <c r="K1177"/>
  <c r="J1177"/>
  <c r="I1177"/>
  <c r="H1177"/>
  <c r="G1177"/>
  <c r="F1177"/>
  <c r="E1177"/>
  <c r="D1177"/>
  <c r="C1177"/>
  <c r="B1177"/>
  <c r="M1176"/>
  <c r="L1176"/>
  <c r="K1176"/>
  <c r="J1176"/>
  <c r="I1176"/>
  <c r="H1176"/>
  <c r="G1176"/>
  <c r="F1176"/>
  <c r="E1176"/>
  <c r="D1176"/>
  <c r="C1176"/>
  <c r="B1176"/>
  <c r="M1175"/>
  <c r="L1175"/>
  <c r="K1175"/>
  <c r="J1175"/>
  <c r="I1175"/>
  <c r="H1175"/>
  <c r="G1175"/>
  <c r="F1175"/>
  <c r="E1175"/>
  <c r="D1175"/>
  <c r="C1175"/>
  <c r="B1175"/>
  <c r="M1174"/>
  <c r="L1174"/>
  <c r="K1174"/>
  <c r="J1174"/>
  <c r="I1174"/>
  <c r="H1174"/>
  <c r="G1174"/>
  <c r="F1174"/>
  <c r="E1174"/>
  <c r="D1174"/>
  <c r="C1174"/>
  <c r="B1174"/>
  <c r="M1173"/>
  <c r="L1173"/>
  <c r="K1173"/>
  <c r="J1173"/>
  <c r="I1173"/>
  <c r="H1173"/>
  <c r="G1173"/>
  <c r="F1173"/>
  <c r="E1173"/>
  <c r="D1173"/>
  <c r="C1173"/>
  <c r="B1173"/>
  <c r="M1172"/>
  <c r="L1172"/>
  <c r="K1172"/>
  <c r="J1172"/>
  <c r="I1172"/>
  <c r="H1172"/>
  <c r="G1172"/>
  <c r="F1172"/>
  <c r="E1172"/>
  <c r="D1172"/>
  <c r="C1172"/>
  <c r="B1172"/>
  <c r="M1171"/>
  <c r="L1171"/>
  <c r="K1171"/>
  <c r="J1171"/>
  <c r="I1171"/>
  <c r="H1171"/>
  <c r="G1171"/>
  <c r="F1171"/>
  <c r="E1171"/>
  <c r="D1171"/>
  <c r="C1171"/>
  <c r="B1171"/>
  <c r="M1170"/>
  <c r="L1170"/>
  <c r="K1170"/>
  <c r="J1170"/>
  <c r="I1170"/>
  <c r="H1170"/>
  <c r="G1170"/>
  <c r="F1170"/>
  <c r="E1170"/>
  <c r="D1170"/>
  <c r="C1170"/>
  <c r="B1170"/>
  <c r="M1169"/>
  <c r="L1169"/>
  <c r="K1169"/>
  <c r="J1169"/>
  <c r="I1169"/>
  <c r="H1169"/>
  <c r="G1169"/>
  <c r="F1169"/>
  <c r="E1169"/>
  <c r="D1169"/>
  <c r="C1169"/>
  <c r="B1169"/>
  <c r="M1168"/>
  <c r="L1168"/>
  <c r="K1168"/>
  <c r="J1168"/>
  <c r="I1168"/>
  <c r="H1168"/>
  <c r="G1168"/>
  <c r="F1168"/>
  <c r="E1168"/>
  <c r="D1168"/>
  <c r="C1168"/>
  <c r="B1168"/>
  <c r="M1167"/>
  <c r="L1167"/>
  <c r="K1167"/>
  <c r="J1167"/>
  <c r="I1167"/>
  <c r="H1167"/>
  <c r="G1167"/>
  <c r="F1167"/>
  <c r="E1167"/>
  <c r="D1167"/>
  <c r="C1167"/>
  <c r="B1167"/>
  <c r="M1166"/>
  <c r="L1166"/>
  <c r="K1166"/>
  <c r="J1166"/>
  <c r="I1166"/>
  <c r="H1166"/>
  <c r="G1166"/>
  <c r="F1166"/>
  <c r="E1166"/>
  <c r="D1166"/>
  <c r="C1166"/>
  <c r="B1166"/>
  <c r="M1165"/>
  <c r="L1165"/>
  <c r="K1165"/>
  <c r="J1165"/>
  <c r="I1165"/>
  <c r="H1165"/>
  <c r="G1165"/>
  <c r="F1165"/>
  <c r="E1165"/>
  <c r="D1165"/>
  <c r="C1165"/>
  <c r="B1165"/>
  <c r="M1164"/>
  <c r="L1164"/>
  <c r="K1164"/>
  <c r="J1164"/>
  <c r="I1164"/>
  <c r="H1164"/>
  <c r="G1164"/>
  <c r="F1164"/>
  <c r="E1164"/>
  <c r="D1164"/>
  <c r="C1164"/>
  <c r="B1164"/>
  <c r="M1163"/>
  <c r="L1163"/>
  <c r="K1163"/>
  <c r="J1163"/>
  <c r="I1163"/>
  <c r="H1163"/>
  <c r="G1163"/>
  <c r="F1163"/>
  <c r="E1163"/>
  <c r="D1163"/>
  <c r="C1163"/>
  <c r="B1163"/>
  <c r="M1073"/>
  <c r="L1073"/>
  <c r="K1073"/>
  <c r="J1073"/>
  <c r="I1073"/>
  <c r="H1073"/>
  <c r="G1073"/>
  <c r="F1073"/>
  <c r="E1073"/>
  <c r="D1073"/>
  <c r="C1073"/>
  <c r="B1073"/>
  <c r="M1072"/>
  <c r="L1072"/>
  <c r="K1072"/>
  <c r="J1072"/>
  <c r="I1072"/>
  <c r="H1072"/>
  <c r="G1072"/>
  <c r="F1072"/>
  <c r="E1072"/>
  <c r="D1072"/>
  <c r="C1072"/>
  <c r="B1072"/>
  <c r="M1071"/>
  <c r="L1071"/>
  <c r="K1071"/>
  <c r="J1071"/>
  <c r="I1071"/>
  <c r="H1071"/>
  <c r="G1071"/>
  <c r="F1071"/>
  <c r="E1071"/>
  <c r="D1071"/>
  <c r="C1071"/>
  <c r="B1071"/>
  <c r="M1070"/>
  <c r="L1070"/>
  <c r="K1070"/>
  <c r="J1070"/>
  <c r="I1070"/>
  <c r="H1070"/>
  <c r="G1070"/>
  <c r="F1070"/>
  <c r="E1070"/>
  <c r="D1070"/>
  <c r="C1070"/>
  <c r="B1070"/>
  <c r="M1069"/>
  <c r="L1069"/>
  <c r="K1069"/>
  <c r="J1069"/>
  <c r="I1069"/>
  <c r="H1069"/>
  <c r="G1069"/>
  <c r="F1069"/>
  <c r="E1069"/>
  <c r="D1069"/>
  <c r="C1069"/>
  <c r="B1069"/>
  <c r="M1068"/>
  <c r="L1068"/>
  <c r="K1068"/>
  <c r="J1068"/>
  <c r="I1068"/>
  <c r="H1068"/>
  <c r="G1068"/>
  <c r="F1068"/>
  <c r="E1068"/>
  <c r="D1068"/>
  <c r="C1068"/>
  <c r="B1068"/>
  <c r="M1067"/>
  <c r="L1067"/>
  <c r="K1067"/>
  <c r="J1067"/>
  <c r="I1067"/>
  <c r="H1067"/>
  <c r="G1067"/>
  <c r="F1067"/>
  <c r="E1067"/>
  <c r="D1067"/>
  <c r="C1067"/>
  <c r="B1067"/>
  <c r="M1066"/>
  <c r="L1066"/>
  <c r="K1066"/>
  <c r="J1066"/>
  <c r="I1066"/>
  <c r="H1066"/>
  <c r="G1066"/>
  <c r="F1066"/>
  <c r="E1066"/>
  <c r="D1066"/>
  <c r="C1066"/>
  <c r="B1066"/>
  <c r="M1065"/>
  <c r="L1065"/>
  <c r="K1065"/>
  <c r="J1065"/>
  <c r="I1065"/>
  <c r="H1065"/>
  <c r="G1065"/>
  <c r="F1065"/>
  <c r="E1065"/>
  <c r="D1065"/>
  <c r="C1065"/>
  <c r="B1065"/>
  <c r="M1064"/>
  <c r="L1064"/>
  <c r="K1064"/>
  <c r="J1064"/>
  <c r="I1064"/>
  <c r="H1064"/>
  <c r="G1064"/>
  <c r="F1064"/>
  <c r="E1064"/>
  <c r="D1064"/>
  <c r="C1064"/>
  <c r="B1064"/>
  <c r="M1063"/>
  <c r="L1063"/>
  <c r="K1063"/>
  <c r="J1063"/>
  <c r="I1063"/>
  <c r="H1063"/>
  <c r="G1063"/>
  <c r="F1063"/>
  <c r="E1063"/>
  <c r="D1063"/>
  <c r="C1063"/>
  <c r="B1063"/>
  <c r="M1062"/>
  <c r="L1062"/>
  <c r="K1062"/>
  <c r="J1062"/>
  <c r="I1062"/>
  <c r="H1062"/>
  <c r="G1062"/>
  <c r="F1062"/>
  <c r="E1062"/>
  <c r="D1062"/>
  <c r="C1062"/>
  <c r="B1062"/>
  <c r="M1061"/>
  <c r="L1061"/>
  <c r="K1061"/>
  <c r="J1061"/>
  <c r="I1061"/>
  <c r="H1061"/>
  <c r="G1061"/>
  <c r="F1061"/>
  <c r="E1061"/>
  <c r="D1061"/>
  <c r="C1061"/>
  <c r="B1061"/>
  <c r="M1060"/>
  <c r="L1060"/>
  <c r="K1060"/>
  <c r="J1060"/>
  <c r="I1060"/>
  <c r="H1060"/>
  <c r="G1060"/>
  <c r="F1060"/>
  <c r="E1060"/>
  <c r="D1060"/>
  <c r="C1060"/>
  <c r="B1060"/>
  <c r="M1059"/>
  <c r="L1059"/>
  <c r="K1059"/>
  <c r="J1059"/>
  <c r="I1059"/>
  <c r="H1059"/>
  <c r="G1059"/>
  <c r="F1059"/>
  <c r="E1059"/>
  <c r="D1059"/>
  <c r="C1059"/>
  <c r="B1059"/>
  <c r="M1058"/>
  <c r="L1058"/>
  <c r="K1058"/>
  <c r="J1058"/>
  <c r="I1058"/>
  <c r="H1058"/>
  <c r="G1058"/>
  <c r="F1058"/>
  <c r="E1058"/>
  <c r="D1058"/>
  <c r="C1058"/>
  <c r="B1058"/>
  <c r="M1057"/>
  <c r="L1057"/>
  <c r="K1057"/>
  <c r="J1057"/>
  <c r="I1057"/>
  <c r="H1057"/>
  <c r="G1057"/>
  <c r="F1057"/>
  <c r="E1057"/>
  <c r="D1057"/>
  <c r="C1057"/>
  <c r="B1057"/>
  <c r="M1056"/>
  <c r="L1056"/>
  <c r="K1056"/>
  <c r="J1056"/>
  <c r="I1056"/>
  <c r="H1056"/>
  <c r="G1056"/>
  <c r="F1056"/>
  <c r="E1056"/>
  <c r="D1056"/>
  <c r="C1056"/>
  <c r="B1056"/>
  <c r="M1055"/>
  <c r="L1055"/>
  <c r="K1055"/>
  <c r="J1055"/>
  <c r="I1055"/>
  <c r="H1055"/>
  <c r="G1055"/>
  <c r="F1055"/>
  <c r="E1055"/>
  <c r="D1055"/>
  <c r="C1055"/>
  <c r="B1055"/>
  <c r="M1054"/>
  <c r="L1054"/>
  <c r="K1054"/>
  <c r="J1054"/>
  <c r="I1054"/>
  <c r="H1054"/>
  <c r="G1054"/>
  <c r="F1054"/>
  <c r="E1054"/>
  <c r="D1054"/>
  <c r="C1054"/>
  <c r="B1054"/>
  <c r="M1053"/>
  <c r="L1053"/>
  <c r="K1053"/>
  <c r="J1053"/>
  <c r="I1053"/>
  <c r="H1053"/>
  <c r="G1053"/>
  <c r="F1053"/>
  <c r="E1053"/>
  <c r="D1053"/>
  <c r="C1053"/>
  <c r="B1053"/>
  <c r="M1052"/>
  <c r="L1052"/>
  <c r="K1052"/>
  <c r="J1052"/>
  <c r="I1052"/>
  <c r="H1052"/>
  <c r="G1052"/>
  <c r="F1052"/>
  <c r="E1052"/>
  <c r="D1052"/>
  <c r="C1052"/>
  <c r="B1052"/>
  <c r="M1051"/>
  <c r="L1051"/>
  <c r="K1051"/>
  <c r="J1051"/>
  <c r="I1051"/>
  <c r="H1051"/>
  <c r="G1051"/>
  <c r="F1051"/>
  <c r="E1051"/>
  <c r="D1051"/>
  <c r="C1051"/>
  <c r="B1051"/>
  <c r="M1050"/>
  <c r="L1050"/>
  <c r="K1050"/>
  <c r="J1050"/>
  <c r="I1050"/>
  <c r="H1050"/>
  <c r="G1050"/>
  <c r="F1050"/>
  <c r="E1050"/>
  <c r="D1050"/>
  <c r="C1050"/>
  <c r="B1050"/>
  <c r="M1049"/>
  <c r="L1049"/>
  <c r="K1049"/>
  <c r="J1049"/>
  <c r="I1049"/>
  <c r="H1049"/>
  <c r="G1049"/>
  <c r="F1049"/>
  <c r="E1049"/>
  <c r="D1049"/>
  <c r="C1049"/>
  <c r="B1049"/>
  <c r="M1048"/>
  <c r="L1048"/>
  <c r="K1048"/>
  <c r="J1048"/>
  <c r="I1048"/>
  <c r="H1048"/>
  <c r="G1048"/>
  <c r="F1048"/>
  <c r="E1048"/>
  <c r="D1048"/>
  <c r="C1048"/>
  <c r="B1048"/>
  <c r="M1047"/>
  <c r="L1047"/>
  <c r="K1047"/>
  <c r="J1047"/>
  <c r="I1047"/>
  <c r="H1047"/>
  <c r="G1047"/>
  <c r="F1047"/>
  <c r="E1047"/>
  <c r="D1047"/>
  <c r="C1047"/>
  <c r="B1047"/>
  <c r="M1046"/>
  <c r="L1046"/>
  <c r="K1046"/>
  <c r="J1046"/>
  <c r="I1046"/>
  <c r="H1046"/>
  <c r="G1046"/>
  <c r="F1046"/>
  <c r="E1046"/>
  <c r="D1046"/>
  <c r="C1046"/>
  <c r="B1046"/>
  <c r="M1045"/>
  <c r="L1045"/>
  <c r="K1045"/>
  <c r="J1045"/>
  <c r="I1045"/>
  <c r="H1045"/>
  <c r="G1045"/>
  <c r="F1045"/>
  <c r="E1045"/>
  <c r="D1045"/>
  <c r="C1045"/>
  <c r="B1045"/>
  <c r="M1044"/>
  <c r="L1044"/>
  <c r="K1044"/>
  <c r="J1044"/>
  <c r="I1044"/>
  <c r="H1044"/>
  <c r="G1044"/>
  <c r="F1044"/>
  <c r="E1044"/>
  <c r="D1044"/>
  <c r="C1044"/>
  <c r="B1044"/>
  <c r="M1043"/>
  <c r="L1043"/>
  <c r="K1043"/>
  <c r="J1043"/>
  <c r="I1043"/>
  <c r="H1043"/>
  <c r="G1043"/>
  <c r="F1043"/>
  <c r="E1043"/>
  <c r="D1043"/>
  <c r="C1043"/>
  <c r="B1043"/>
  <c r="M1033"/>
  <c r="L1033"/>
  <c r="K1033"/>
  <c r="J1033"/>
  <c r="I1033"/>
  <c r="H1033"/>
  <c r="G1033"/>
  <c r="F1033"/>
  <c r="E1033"/>
  <c r="D1033"/>
  <c r="C1033"/>
  <c r="B1033"/>
  <c r="M1032"/>
  <c r="L1032"/>
  <c r="K1032"/>
  <c r="J1032"/>
  <c r="I1032"/>
  <c r="H1032"/>
  <c r="G1032"/>
  <c r="F1032"/>
  <c r="E1032"/>
  <c r="D1032"/>
  <c r="C1032"/>
  <c r="B1032"/>
  <c r="M1031"/>
  <c r="L1031"/>
  <c r="K1031"/>
  <c r="J1031"/>
  <c r="I1031"/>
  <c r="H1031"/>
  <c r="G1031"/>
  <c r="F1031"/>
  <c r="E1031"/>
  <c r="D1031"/>
  <c r="C1031"/>
  <c r="B1031"/>
  <c r="M1030"/>
  <c r="L1030"/>
  <c r="K1030"/>
  <c r="J1030"/>
  <c r="I1030"/>
  <c r="H1030"/>
  <c r="G1030"/>
  <c r="F1030"/>
  <c r="E1030"/>
  <c r="D1030"/>
  <c r="C1030"/>
  <c r="B1030"/>
  <c r="M1029"/>
  <c r="L1029"/>
  <c r="K1029"/>
  <c r="J1029"/>
  <c r="I1029"/>
  <c r="H1029"/>
  <c r="G1029"/>
  <c r="F1029"/>
  <c r="E1029"/>
  <c r="D1029"/>
  <c r="C1029"/>
  <c r="B1029"/>
  <c r="M1028"/>
  <c r="L1028"/>
  <c r="K1028"/>
  <c r="J1028"/>
  <c r="I1028"/>
  <c r="H1028"/>
  <c r="G1028"/>
  <c r="F1028"/>
  <c r="E1028"/>
  <c r="D1028"/>
  <c r="C1028"/>
  <c r="B1028"/>
  <c r="M1027"/>
  <c r="L1027"/>
  <c r="K1027"/>
  <c r="J1027"/>
  <c r="I1027"/>
  <c r="H1027"/>
  <c r="G1027"/>
  <c r="F1027"/>
  <c r="E1027"/>
  <c r="D1027"/>
  <c r="C1027"/>
  <c r="B1027"/>
  <c r="M1026"/>
  <c r="L1026"/>
  <c r="K1026"/>
  <c r="J1026"/>
  <c r="I1026"/>
  <c r="H1026"/>
  <c r="G1026"/>
  <c r="F1026"/>
  <c r="E1026"/>
  <c r="D1026"/>
  <c r="C1026"/>
  <c r="B1026"/>
  <c r="M1025"/>
  <c r="L1025"/>
  <c r="K1025"/>
  <c r="J1025"/>
  <c r="I1025"/>
  <c r="H1025"/>
  <c r="G1025"/>
  <c r="F1025"/>
  <c r="E1025"/>
  <c r="D1025"/>
  <c r="C1025"/>
  <c r="B1025"/>
  <c r="M1024"/>
  <c r="L1024"/>
  <c r="K1024"/>
  <c r="J1024"/>
  <c r="I1024"/>
  <c r="H1024"/>
  <c r="G1024"/>
  <c r="F1024"/>
  <c r="E1024"/>
  <c r="D1024"/>
  <c r="C1024"/>
  <c r="B1024"/>
  <c r="M1023"/>
  <c r="L1023"/>
  <c r="K1023"/>
  <c r="J1023"/>
  <c r="I1023"/>
  <c r="H1023"/>
  <c r="G1023"/>
  <c r="F1023"/>
  <c r="E1023"/>
  <c r="D1023"/>
  <c r="C1023"/>
  <c r="B1023"/>
  <c r="M1022"/>
  <c r="L1022"/>
  <c r="K1022"/>
  <c r="J1022"/>
  <c r="I1022"/>
  <c r="H1022"/>
  <c r="G1022"/>
  <c r="F1022"/>
  <c r="E1022"/>
  <c r="D1022"/>
  <c r="C1022"/>
  <c r="B1022"/>
  <c r="M1021"/>
  <c r="L1021"/>
  <c r="K1021"/>
  <c r="J1021"/>
  <c r="I1021"/>
  <c r="H1021"/>
  <c r="G1021"/>
  <c r="F1021"/>
  <c r="E1021"/>
  <c r="D1021"/>
  <c r="C1021"/>
  <c r="B1021"/>
  <c r="M1020"/>
  <c r="L1020"/>
  <c r="K1020"/>
  <c r="J1020"/>
  <c r="I1020"/>
  <c r="H1020"/>
  <c r="G1020"/>
  <c r="F1020"/>
  <c r="E1020"/>
  <c r="D1020"/>
  <c r="C1020"/>
  <c r="B1020"/>
  <c r="M1019"/>
  <c r="L1019"/>
  <c r="K1019"/>
  <c r="J1019"/>
  <c r="I1019"/>
  <c r="H1019"/>
  <c r="G1019"/>
  <c r="F1019"/>
  <c r="E1019"/>
  <c r="D1019"/>
  <c r="C1019"/>
  <c r="B1019"/>
  <c r="M1018"/>
  <c r="L1018"/>
  <c r="K1018"/>
  <c r="J1018"/>
  <c r="I1018"/>
  <c r="H1018"/>
  <c r="G1018"/>
  <c r="F1018"/>
  <c r="E1018"/>
  <c r="D1018"/>
  <c r="C1018"/>
  <c r="B1018"/>
  <c r="M1017"/>
  <c r="L1017"/>
  <c r="K1017"/>
  <c r="J1017"/>
  <c r="I1017"/>
  <c r="H1017"/>
  <c r="G1017"/>
  <c r="F1017"/>
  <c r="E1017"/>
  <c r="D1017"/>
  <c r="C1017"/>
  <c r="B1017"/>
  <c r="M1016"/>
  <c r="L1016"/>
  <c r="K1016"/>
  <c r="J1016"/>
  <c r="I1016"/>
  <c r="H1016"/>
  <c r="G1016"/>
  <c r="F1016"/>
  <c r="E1016"/>
  <c r="D1016"/>
  <c r="C1016"/>
  <c r="B1016"/>
  <c r="M1015"/>
  <c r="L1015"/>
  <c r="K1015"/>
  <c r="J1015"/>
  <c r="I1015"/>
  <c r="H1015"/>
  <c r="G1015"/>
  <c r="F1015"/>
  <c r="E1015"/>
  <c r="D1015"/>
  <c r="C1015"/>
  <c r="B1015"/>
  <c r="M1014"/>
  <c r="L1014"/>
  <c r="K1014"/>
  <c r="J1014"/>
  <c r="I1014"/>
  <c r="H1014"/>
  <c r="G1014"/>
  <c r="F1014"/>
  <c r="E1014"/>
  <c r="D1014"/>
  <c r="C1014"/>
  <c r="B1014"/>
  <c r="M1013"/>
  <c r="L1013"/>
  <c r="K1013"/>
  <c r="J1013"/>
  <c r="I1013"/>
  <c r="H1013"/>
  <c r="G1013"/>
  <c r="F1013"/>
  <c r="E1013"/>
  <c r="D1013"/>
  <c r="C1013"/>
  <c r="B1013"/>
  <c r="M1012"/>
  <c r="L1012"/>
  <c r="K1012"/>
  <c r="J1012"/>
  <c r="I1012"/>
  <c r="H1012"/>
  <c r="G1012"/>
  <c r="F1012"/>
  <c r="E1012"/>
  <c r="D1012"/>
  <c r="C1012"/>
  <c r="B1012"/>
  <c r="M1011"/>
  <c r="L1011"/>
  <c r="K1011"/>
  <c r="J1011"/>
  <c r="I1011"/>
  <c r="H1011"/>
  <c r="G1011"/>
  <c r="F1011"/>
  <c r="E1011"/>
  <c r="D1011"/>
  <c r="C1011"/>
  <c r="B1011"/>
  <c r="M1010"/>
  <c r="L1010"/>
  <c r="K1010"/>
  <c r="J1010"/>
  <c r="I1010"/>
  <c r="H1010"/>
  <c r="G1010"/>
  <c r="F1010"/>
  <c r="E1010"/>
  <c r="D1010"/>
  <c r="C1010"/>
  <c r="B1010"/>
  <c r="M1009"/>
  <c r="L1009"/>
  <c r="K1009"/>
  <c r="J1009"/>
  <c r="I1009"/>
  <c r="H1009"/>
  <c r="G1009"/>
  <c r="F1009"/>
  <c r="E1009"/>
  <c r="D1009"/>
  <c r="C1009"/>
  <c r="B1009"/>
  <c r="M1008"/>
  <c r="L1008"/>
  <c r="K1008"/>
  <c r="J1008"/>
  <c r="I1008"/>
  <c r="H1008"/>
  <c r="G1008"/>
  <c r="F1008"/>
  <c r="E1008"/>
  <c r="D1008"/>
  <c r="C1008"/>
  <c r="B1008"/>
  <c r="M1007"/>
  <c r="L1007"/>
  <c r="K1007"/>
  <c r="J1007"/>
  <c r="I1007"/>
  <c r="H1007"/>
  <c r="G1007"/>
  <c r="F1007"/>
  <c r="E1007"/>
  <c r="D1007"/>
  <c r="C1007"/>
  <c r="B1007"/>
  <c r="M1006"/>
  <c r="L1006"/>
  <c r="K1006"/>
  <c r="J1006"/>
  <c r="I1006"/>
  <c r="H1006"/>
  <c r="G1006"/>
  <c r="F1006"/>
  <c r="E1006"/>
  <c r="D1006"/>
  <c r="C1006"/>
  <c r="B1006"/>
  <c r="M1005"/>
  <c r="L1005"/>
  <c r="K1005"/>
  <c r="J1005"/>
  <c r="I1005"/>
  <c r="H1005"/>
  <c r="G1005"/>
  <c r="F1005"/>
  <c r="E1005"/>
  <c r="D1005"/>
  <c r="C1005"/>
  <c r="B1005"/>
  <c r="M1004"/>
  <c r="L1004"/>
  <c r="K1004"/>
  <c r="J1004"/>
  <c r="I1004"/>
  <c r="H1004"/>
  <c r="G1004"/>
  <c r="F1004"/>
  <c r="E1004"/>
  <c r="D1004"/>
  <c r="C1004"/>
  <c r="B1004"/>
  <c r="M993"/>
  <c r="L993"/>
  <c r="K993"/>
  <c r="J993"/>
  <c r="I993"/>
  <c r="H993"/>
  <c r="G993"/>
  <c r="F993"/>
  <c r="E993"/>
  <c r="D993"/>
  <c r="C993"/>
  <c r="B993"/>
  <c r="M992"/>
  <c r="L992"/>
  <c r="K992"/>
  <c r="J992"/>
  <c r="I992"/>
  <c r="H992"/>
  <c r="G992"/>
  <c r="F992"/>
  <c r="E992"/>
  <c r="D992"/>
  <c r="C992"/>
  <c r="B992"/>
  <c r="M991"/>
  <c r="L991"/>
  <c r="K991"/>
  <c r="J991"/>
  <c r="I991"/>
  <c r="H991"/>
  <c r="G991"/>
  <c r="F991"/>
  <c r="E991"/>
  <c r="D991"/>
  <c r="C991"/>
  <c r="B991"/>
  <c r="M990"/>
  <c r="L990"/>
  <c r="K990"/>
  <c r="J990"/>
  <c r="I990"/>
  <c r="H990"/>
  <c r="G990"/>
  <c r="F990"/>
  <c r="E990"/>
  <c r="D990"/>
  <c r="C990"/>
  <c r="B990"/>
  <c r="M989"/>
  <c r="L989"/>
  <c r="K989"/>
  <c r="J989"/>
  <c r="I989"/>
  <c r="H989"/>
  <c r="G989"/>
  <c r="F989"/>
  <c r="E989"/>
  <c r="D989"/>
  <c r="C989"/>
  <c r="B989"/>
  <c r="M988"/>
  <c r="L988"/>
  <c r="K988"/>
  <c r="J988"/>
  <c r="I988"/>
  <c r="H988"/>
  <c r="G988"/>
  <c r="F988"/>
  <c r="E988"/>
  <c r="D988"/>
  <c r="C988"/>
  <c r="B988"/>
  <c r="M987"/>
  <c r="L987"/>
  <c r="K987"/>
  <c r="J987"/>
  <c r="I987"/>
  <c r="H987"/>
  <c r="G987"/>
  <c r="F987"/>
  <c r="E987"/>
  <c r="D987"/>
  <c r="C987"/>
  <c r="B987"/>
  <c r="M986"/>
  <c r="L986"/>
  <c r="K986"/>
  <c r="J986"/>
  <c r="I986"/>
  <c r="H986"/>
  <c r="G986"/>
  <c r="F986"/>
  <c r="E986"/>
  <c r="D986"/>
  <c r="C986"/>
  <c r="B986"/>
  <c r="M985"/>
  <c r="L985"/>
  <c r="K985"/>
  <c r="J985"/>
  <c r="I985"/>
  <c r="H985"/>
  <c r="G985"/>
  <c r="F985"/>
  <c r="E985"/>
  <c r="D985"/>
  <c r="C985"/>
  <c r="B985"/>
  <c r="M984"/>
  <c r="L984"/>
  <c r="K984"/>
  <c r="J984"/>
  <c r="I984"/>
  <c r="H984"/>
  <c r="G984"/>
  <c r="F984"/>
  <c r="E984"/>
  <c r="D984"/>
  <c r="C984"/>
  <c r="B984"/>
  <c r="M983"/>
  <c r="L983"/>
  <c r="K983"/>
  <c r="J983"/>
  <c r="I983"/>
  <c r="H983"/>
  <c r="G983"/>
  <c r="F983"/>
  <c r="E983"/>
  <c r="D983"/>
  <c r="C983"/>
  <c r="B983"/>
  <c r="M982"/>
  <c r="L982"/>
  <c r="K982"/>
  <c r="J982"/>
  <c r="I982"/>
  <c r="H982"/>
  <c r="G982"/>
  <c r="F982"/>
  <c r="E982"/>
  <c r="D982"/>
  <c r="C982"/>
  <c r="B982"/>
  <c r="M981"/>
  <c r="L981"/>
  <c r="K981"/>
  <c r="J981"/>
  <c r="I981"/>
  <c r="H981"/>
  <c r="G981"/>
  <c r="F981"/>
  <c r="E981"/>
  <c r="D981"/>
  <c r="C981"/>
  <c r="B981"/>
  <c r="M980"/>
  <c r="L980"/>
  <c r="K980"/>
  <c r="J980"/>
  <c r="I980"/>
  <c r="H980"/>
  <c r="G980"/>
  <c r="F980"/>
  <c r="E980"/>
  <c r="D980"/>
  <c r="C980"/>
  <c r="B980"/>
  <c r="M979"/>
  <c r="L979"/>
  <c r="K979"/>
  <c r="J979"/>
  <c r="I979"/>
  <c r="H979"/>
  <c r="G979"/>
  <c r="F979"/>
  <c r="E979"/>
  <c r="D979"/>
  <c r="C979"/>
  <c r="B979"/>
  <c r="M978"/>
  <c r="L978"/>
  <c r="K978"/>
  <c r="J978"/>
  <c r="I978"/>
  <c r="H978"/>
  <c r="G978"/>
  <c r="F978"/>
  <c r="E978"/>
  <c r="D978"/>
  <c r="C978"/>
  <c r="B978"/>
  <c r="M977"/>
  <c r="L977"/>
  <c r="K977"/>
  <c r="J977"/>
  <c r="I977"/>
  <c r="H977"/>
  <c r="G977"/>
  <c r="F977"/>
  <c r="E977"/>
  <c r="D977"/>
  <c r="C977"/>
  <c r="B977"/>
  <c r="M976"/>
  <c r="L976"/>
  <c r="K976"/>
  <c r="J976"/>
  <c r="I976"/>
  <c r="H976"/>
  <c r="G976"/>
  <c r="F976"/>
  <c r="E976"/>
  <c r="D976"/>
  <c r="C976"/>
  <c r="B976"/>
  <c r="M975"/>
  <c r="L975"/>
  <c r="K975"/>
  <c r="J975"/>
  <c r="I975"/>
  <c r="H975"/>
  <c r="G975"/>
  <c r="F975"/>
  <c r="E975"/>
  <c r="D975"/>
  <c r="C975"/>
  <c r="B975"/>
  <c r="M974"/>
  <c r="L974"/>
  <c r="K974"/>
  <c r="J974"/>
  <c r="I974"/>
  <c r="H974"/>
  <c r="G974"/>
  <c r="F974"/>
  <c r="E974"/>
  <c r="D974"/>
  <c r="C974"/>
  <c r="B974"/>
  <c r="M973"/>
  <c r="L973"/>
  <c r="K973"/>
  <c r="J973"/>
  <c r="I973"/>
  <c r="H973"/>
  <c r="G973"/>
  <c r="F973"/>
  <c r="E973"/>
  <c r="D973"/>
  <c r="C973"/>
  <c r="B973"/>
  <c r="M972"/>
  <c r="L972"/>
  <c r="K972"/>
  <c r="J972"/>
  <c r="I972"/>
  <c r="H972"/>
  <c r="G972"/>
  <c r="F972"/>
  <c r="E972"/>
  <c r="D972"/>
  <c r="C972"/>
  <c r="B972"/>
  <c r="M971"/>
  <c r="L971"/>
  <c r="K971"/>
  <c r="J971"/>
  <c r="I971"/>
  <c r="H971"/>
  <c r="G971"/>
  <c r="F971"/>
  <c r="E971"/>
  <c r="D971"/>
  <c r="C971"/>
  <c r="B971"/>
  <c r="M970"/>
  <c r="L970"/>
  <c r="K970"/>
  <c r="J970"/>
  <c r="I970"/>
  <c r="H970"/>
  <c r="G970"/>
  <c r="F970"/>
  <c r="E970"/>
  <c r="D970"/>
  <c r="C970"/>
  <c r="B970"/>
  <c r="M969"/>
  <c r="L969"/>
  <c r="K969"/>
  <c r="J969"/>
  <c r="I969"/>
  <c r="H969"/>
  <c r="G969"/>
  <c r="F969"/>
  <c r="E969"/>
  <c r="D969"/>
  <c r="C969"/>
  <c r="B969"/>
  <c r="M968"/>
  <c r="L968"/>
  <c r="K968"/>
  <c r="J968"/>
  <c r="I968"/>
  <c r="H968"/>
  <c r="G968"/>
  <c r="F968"/>
  <c r="E968"/>
  <c r="D968"/>
  <c r="C968"/>
  <c r="B968"/>
  <c r="M967"/>
  <c r="L967"/>
  <c r="K967"/>
  <c r="J967"/>
  <c r="I967"/>
  <c r="H967"/>
  <c r="G967"/>
  <c r="F967"/>
  <c r="E967"/>
  <c r="D967"/>
  <c r="C967"/>
  <c r="B967"/>
  <c r="M966"/>
  <c r="L966"/>
  <c r="K966"/>
  <c r="J966"/>
  <c r="I966"/>
  <c r="H966"/>
  <c r="G966"/>
  <c r="F966"/>
  <c r="E966"/>
  <c r="D966"/>
  <c r="C966"/>
  <c r="B966"/>
  <c r="M965"/>
  <c r="L965"/>
  <c r="K965"/>
  <c r="J965"/>
  <c r="I965"/>
  <c r="H965"/>
  <c r="G965"/>
  <c r="F965"/>
  <c r="E965"/>
  <c r="D965"/>
  <c r="C965"/>
  <c r="B965"/>
  <c r="M964"/>
  <c r="L964"/>
  <c r="K964"/>
  <c r="J964"/>
  <c r="I964"/>
  <c r="H964"/>
  <c r="G964"/>
  <c r="F964"/>
  <c r="E964"/>
  <c r="D964"/>
  <c r="C964"/>
  <c r="B964"/>
  <c r="M963"/>
  <c r="L963"/>
  <c r="K963"/>
  <c r="J963"/>
  <c r="I963"/>
  <c r="H963"/>
  <c r="G963"/>
  <c r="F963"/>
  <c r="E963"/>
  <c r="D963"/>
  <c r="C963"/>
  <c r="B963"/>
  <c r="M953"/>
  <c r="L953"/>
  <c r="K953"/>
  <c r="J953"/>
  <c r="I953"/>
  <c r="H953"/>
  <c r="G953"/>
  <c r="F953"/>
  <c r="E953"/>
  <c r="D953"/>
  <c r="C953"/>
  <c r="B953"/>
  <c r="M952"/>
  <c r="L952"/>
  <c r="K952"/>
  <c r="J952"/>
  <c r="I952"/>
  <c r="H952"/>
  <c r="G952"/>
  <c r="F952"/>
  <c r="E952"/>
  <c r="D952"/>
  <c r="C952"/>
  <c r="B952"/>
  <c r="M951"/>
  <c r="L951"/>
  <c r="K951"/>
  <c r="J951"/>
  <c r="I951"/>
  <c r="H951"/>
  <c r="G951"/>
  <c r="F951"/>
  <c r="E951"/>
  <c r="D951"/>
  <c r="C951"/>
  <c r="B951"/>
  <c r="M950"/>
  <c r="L950"/>
  <c r="K950"/>
  <c r="J950"/>
  <c r="I950"/>
  <c r="H950"/>
  <c r="G950"/>
  <c r="F950"/>
  <c r="E950"/>
  <c r="D950"/>
  <c r="C950"/>
  <c r="B950"/>
  <c r="M949"/>
  <c r="L949"/>
  <c r="K949"/>
  <c r="J949"/>
  <c r="I949"/>
  <c r="H949"/>
  <c r="G949"/>
  <c r="F949"/>
  <c r="E949"/>
  <c r="D949"/>
  <c r="C949"/>
  <c r="B949"/>
  <c r="M948"/>
  <c r="L948"/>
  <c r="K948"/>
  <c r="J948"/>
  <c r="I948"/>
  <c r="H948"/>
  <c r="G948"/>
  <c r="F948"/>
  <c r="E948"/>
  <c r="D948"/>
  <c r="C948"/>
  <c r="B948"/>
  <c r="M947"/>
  <c r="L947"/>
  <c r="K947"/>
  <c r="J947"/>
  <c r="I947"/>
  <c r="H947"/>
  <c r="G947"/>
  <c r="F947"/>
  <c r="E947"/>
  <c r="D947"/>
  <c r="C947"/>
  <c r="B947"/>
  <c r="M946"/>
  <c r="L946"/>
  <c r="K946"/>
  <c r="J946"/>
  <c r="I946"/>
  <c r="H946"/>
  <c r="G946"/>
  <c r="F946"/>
  <c r="E946"/>
  <c r="D946"/>
  <c r="C946"/>
  <c r="B946"/>
  <c r="M945"/>
  <c r="L945"/>
  <c r="K945"/>
  <c r="J945"/>
  <c r="I945"/>
  <c r="H945"/>
  <c r="G945"/>
  <c r="F945"/>
  <c r="E945"/>
  <c r="D945"/>
  <c r="C945"/>
  <c r="B945"/>
  <c r="M944"/>
  <c r="L944"/>
  <c r="K944"/>
  <c r="J944"/>
  <c r="I944"/>
  <c r="H944"/>
  <c r="G944"/>
  <c r="F944"/>
  <c r="E944"/>
  <c r="D944"/>
  <c r="C944"/>
  <c r="B944"/>
  <c r="M943"/>
  <c r="L943"/>
  <c r="K943"/>
  <c r="J943"/>
  <c r="I943"/>
  <c r="H943"/>
  <c r="G943"/>
  <c r="F943"/>
  <c r="E943"/>
  <c r="D943"/>
  <c r="C943"/>
  <c r="B943"/>
  <c r="M942"/>
  <c r="L942"/>
  <c r="K942"/>
  <c r="J942"/>
  <c r="I942"/>
  <c r="H942"/>
  <c r="G942"/>
  <c r="F942"/>
  <c r="E942"/>
  <c r="D942"/>
  <c r="C942"/>
  <c r="B942"/>
  <c r="M941"/>
  <c r="L941"/>
  <c r="K941"/>
  <c r="J941"/>
  <c r="I941"/>
  <c r="H941"/>
  <c r="G941"/>
  <c r="F941"/>
  <c r="E941"/>
  <c r="D941"/>
  <c r="C941"/>
  <c r="B941"/>
  <c r="M940"/>
  <c r="L940"/>
  <c r="K940"/>
  <c r="J940"/>
  <c r="I940"/>
  <c r="H940"/>
  <c r="G940"/>
  <c r="F940"/>
  <c r="E940"/>
  <c r="D940"/>
  <c r="C940"/>
  <c r="B940"/>
  <c r="M939"/>
  <c r="L939"/>
  <c r="K939"/>
  <c r="J939"/>
  <c r="I939"/>
  <c r="H939"/>
  <c r="G939"/>
  <c r="F939"/>
  <c r="E939"/>
  <c r="D939"/>
  <c r="C939"/>
  <c r="B939"/>
  <c r="M938"/>
  <c r="L938"/>
  <c r="K938"/>
  <c r="J938"/>
  <c r="I938"/>
  <c r="H938"/>
  <c r="G938"/>
  <c r="F938"/>
  <c r="E938"/>
  <c r="D938"/>
  <c r="C938"/>
  <c r="B938"/>
  <c r="M937"/>
  <c r="L937"/>
  <c r="K937"/>
  <c r="J937"/>
  <c r="I937"/>
  <c r="H937"/>
  <c r="G937"/>
  <c r="F937"/>
  <c r="E937"/>
  <c r="D937"/>
  <c r="C937"/>
  <c r="B937"/>
  <c r="M936"/>
  <c r="L936"/>
  <c r="K936"/>
  <c r="J936"/>
  <c r="I936"/>
  <c r="H936"/>
  <c r="G936"/>
  <c r="F936"/>
  <c r="E936"/>
  <c r="D936"/>
  <c r="C936"/>
  <c r="B936"/>
  <c r="M935"/>
  <c r="L935"/>
  <c r="K935"/>
  <c r="J935"/>
  <c r="I935"/>
  <c r="H935"/>
  <c r="G935"/>
  <c r="F935"/>
  <c r="E935"/>
  <c r="D935"/>
  <c r="C935"/>
  <c r="B935"/>
  <c r="M934"/>
  <c r="L934"/>
  <c r="K934"/>
  <c r="J934"/>
  <c r="I934"/>
  <c r="H934"/>
  <c r="G934"/>
  <c r="F934"/>
  <c r="E934"/>
  <c r="D934"/>
  <c r="C934"/>
  <c r="B934"/>
  <c r="M933"/>
  <c r="L933"/>
  <c r="K933"/>
  <c r="J933"/>
  <c r="I933"/>
  <c r="H933"/>
  <c r="G933"/>
  <c r="F933"/>
  <c r="E933"/>
  <c r="D933"/>
  <c r="C933"/>
  <c r="B933"/>
  <c r="M932"/>
  <c r="L932"/>
  <c r="K932"/>
  <c r="J932"/>
  <c r="I932"/>
  <c r="H932"/>
  <c r="G932"/>
  <c r="F932"/>
  <c r="E932"/>
  <c r="D932"/>
  <c r="C932"/>
  <c r="B932"/>
  <c r="M931"/>
  <c r="L931"/>
  <c r="K931"/>
  <c r="J931"/>
  <c r="I931"/>
  <c r="H931"/>
  <c r="G931"/>
  <c r="F931"/>
  <c r="E931"/>
  <c r="D931"/>
  <c r="C931"/>
  <c r="B931"/>
  <c r="M930"/>
  <c r="L930"/>
  <c r="K930"/>
  <c r="J930"/>
  <c r="I930"/>
  <c r="H930"/>
  <c r="G930"/>
  <c r="F930"/>
  <c r="E930"/>
  <c r="D930"/>
  <c r="C930"/>
  <c r="B930"/>
  <c r="M929"/>
  <c r="L929"/>
  <c r="K929"/>
  <c r="J929"/>
  <c r="I929"/>
  <c r="H929"/>
  <c r="G929"/>
  <c r="F929"/>
  <c r="E929"/>
  <c r="D929"/>
  <c r="C929"/>
  <c r="B929"/>
  <c r="M928"/>
  <c r="L928"/>
  <c r="K928"/>
  <c r="J928"/>
  <c r="I928"/>
  <c r="H928"/>
  <c r="G928"/>
  <c r="F928"/>
  <c r="E928"/>
  <c r="D928"/>
  <c r="C928"/>
  <c r="B928"/>
  <c r="M927"/>
  <c r="L927"/>
  <c r="K927"/>
  <c r="J927"/>
  <c r="I927"/>
  <c r="H927"/>
  <c r="G927"/>
  <c r="F927"/>
  <c r="E927"/>
  <c r="D927"/>
  <c r="C927"/>
  <c r="B927"/>
  <c r="M926"/>
  <c r="L926"/>
  <c r="K926"/>
  <c r="J926"/>
  <c r="I926"/>
  <c r="H926"/>
  <c r="G926"/>
  <c r="F926"/>
  <c r="E926"/>
  <c r="D926"/>
  <c r="C926"/>
  <c r="B926"/>
  <c r="M925"/>
  <c r="L925"/>
  <c r="K925"/>
  <c r="J925"/>
  <c r="I925"/>
  <c r="H925"/>
  <c r="G925"/>
  <c r="F925"/>
  <c r="E925"/>
  <c r="D925"/>
  <c r="C925"/>
  <c r="B925"/>
  <c r="M924"/>
  <c r="L924"/>
  <c r="K924"/>
  <c r="J924"/>
  <c r="I924"/>
  <c r="H924"/>
  <c r="G924"/>
  <c r="F924"/>
  <c r="E924"/>
  <c r="D924"/>
  <c r="C924"/>
  <c r="B924"/>
  <c r="M923"/>
  <c r="L923"/>
  <c r="K923"/>
  <c r="J923"/>
  <c r="I923"/>
  <c r="H923"/>
  <c r="G923"/>
  <c r="F923"/>
  <c r="E923"/>
  <c r="D923"/>
  <c r="C923"/>
  <c r="B923"/>
  <c r="M913"/>
  <c r="L913"/>
  <c r="K913"/>
  <c r="J913"/>
  <c r="I913"/>
  <c r="H913"/>
  <c r="G913"/>
  <c r="F913"/>
  <c r="E913"/>
  <c r="D913"/>
  <c r="C913"/>
  <c r="B913"/>
  <c r="M912"/>
  <c r="L912"/>
  <c r="K912"/>
  <c r="J912"/>
  <c r="I912"/>
  <c r="H912"/>
  <c r="G912"/>
  <c r="F912"/>
  <c r="E912"/>
  <c r="D912"/>
  <c r="C912"/>
  <c r="B912"/>
  <c r="M911"/>
  <c r="L911"/>
  <c r="K911"/>
  <c r="J911"/>
  <c r="I911"/>
  <c r="H911"/>
  <c r="G911"/>
  <c r="F911"/>
  <c r="E911"/>
  <c r="D911"/>
  <c r="C911"/>
  <c r="B911"/>
  <c r="M910"/>
  <c r="L910"/>
  <c r="K910"/>
  <c r="J910"/>
  <c r="I910"/>
  <c r="H910"/>
  <c r="G910"/>
  <c r="F910"/>
  <c r="E910"/>
  <c r="D910"/>
  <c r="C910"/>
  <c r="B910"/>
  <c r="M909"/>
  <c r="L909"/>
  <c r="K909"/>
  <c r="J909"/>
  <c r="I909"/>
  <c r="H909"/>
  <c r="G909"/>
  <c r="F909"/>
  <c r="E909"/>
  <c r="D909"/>
  <c r="C909"/>
  <c r="B909"/>
  <c r="M908"/>
  <c r="L908"/>
  <c r="K908"/>
  <c r="J908"/>
  <c r="I908"/>
  <c r="H908"/>
  <c r="G908"/>
  <c r="F908"/>
  <c r="E908"/>
  <c r="D908"/>
  <c r="C908"/>
  <c r="B908"/>
  <c r="M907"/>
  <c r="L907"/>
  <c r="K907"/>
  <c r="J907"/>
  <c r="I907"/>
  <c r="H907"/>
  <c r="G907"/>
  <c r="F907"/>
  <c r="E907"/>
  <c r="D907"/>
  <c r="C907"/>
  <c r="B907"/>
  <c r="M906"/>
  <c r="L906"/>
  <c r="K906"/>
  <c r="J906"/>
  <c r="I906"/>
  <c r="H906"/>
  <c r="G906"/>
  <c r="F906"/>
  <c r="E906"/>
  <c r="D906"/>
  <c r="C906"/>
  <c r="B906"/>
  <c r="M905"/>
  <c r="L905"/>
  <c r="K905"/>
  <c r="J905"/>
  <c r="I905"/>
  <c r="H905"/>
  <c r="G905"/>
  <c r="F905"/>
  <c r="E905"/>
  <c r="D905"/>
  <c r="C905"/>
  <c r="B905"/>
  <c r="M904"/>
  <c r="L904"/>
  <c r="K904"/>
  <c r="J904"/>
  <c r="I904"/>
  <c r="H904"/>
  <c r="G904"/>
  <c r="F904"/>
  <c r="E904"/>
  <c r="D904"/>
  <c r="C904"/>
  <c r="B904"/>
  <c r="M903"/>
  <c r="L903"/>
  <c r="K903"/>
  <c r="J903"/>
  <c r="I903"/>
  <c r="H903"/>
  <c r="G903"/>
  <c r="F903"/>
  <c r="E903"/>
  <c r="D903"/>
  <c r="C903"/>
  <c r="B903"/>
  <c r="M902"/>
  <c r="L902"/>
  <c r="K902"/>
  <c r="J902"/>
  <c r="I902"/>
  <c r="H902"/>
  <c r="G902"/>
  <c r="F902"/>
  <c r="E902"/>
  <c r="D902"/>
  <c r="C902"/>
  <c r="B902"/>
  <c r="M901"/>
  <c r="L901"/>
  <c r="K901"/>
  <c r="J901"/>
  <c r="I901"/>
  <c r="H901"/>
  <c r="G901"/>
  <c r="F901"/>
  <c r="E901"/>
  <c r="D901"/>
  <c r="C901"/>
  <c r="B901"/>
  <c r="M900"/>
  <c r="L900"/>
  <c r="K900"/>
  <c r="J900"/>
  <c r="I900"/>
  <c r="H900"/>
  <c r="G900"/>
  <c r="F900"/>
  <c r="E900"/>
  <c r="D900"/>
  <c r="C900"/>
  <c r="B900"/>
  <c r="M899"/>
  <c r="L899"/>
  <c r="K899"/>
  <c r="J899"/>
  <c r="I899"/>
  <c r="H899"/>
  <c r="G899"/>
  <c r="F899"/>
  <c r="E899"/>
  <c r="D899"/>
  <c r="C899"/>
  <c r="B899"/>
  <c r="M898"/>
  <c r="L898"/>
  <c r="K898"/>
  <c r="J898"/>
  <c r="I898"/>
  <c r="H898"/>
  <c r="G898"/>
  <c r="F898"/>
  <c r="E898"/>
  <c r="D898"/>
  <c r="C898"/>
  <c r="B898"/>
  <c r="M897"/>
  <c r="L897"/>
  <c r="K897"/>
  <c r="J897"/>
  <c r="I897"/>
  <c r="H897"/>
  <c r="G897"/>
  <c r="F897"/>
  <c r="E897"/>
  <c r="D897"/>
  <c r="C897"/>
  <c r="B897"/>
  <c r="M896"/>
  <c r="L896"/>
  <c r="K896"/>
  <c r="J896"/>
  <c r="I896"/>
  <c r="H896"/>
  <c r="G896"/>
  <c r="F896"/>
  <c r="E896"/>
  <c r="D896"/>
  <c r="C896"/>
  <c r="B896"/>
  <c r="M895"/>
  <c r="L895"/>
  <c r="K895"/>
  <c r="J895"/>
  <c r="I895"/>
  <c r="H895"/>
  <c r="G895"/>
  <c r="F895"/>
  <c r="E895"/>
  <c r="D895"/>
  <c r="C895"/>
  <c r="B895"/>
  <c r="M894"/>
  <c r="L894"/>
  <c r="K894"/>
  <c r="J894"/>
  <c r="I894"/>
  <c r="H894"/>
  <c r="G894"/>
  <c r="F894"/>
  <c r="E894"/>
  <c r="D894"/>
  <c r="C894"/>
  <c r="B894"/>
  <c r="M893"/>
  <c r="L893"/>
  <c r="K893"/>
  <c r="J893"/>
  <c r="I893"/>
  <c r="H893"/>
  <c r="G893"/>
  <c r="F893"/>
  <c r="E893"/>
  <c r="D893"/>
  <c r="C893"/>
  <c r="B893"/>
  <c r="M892"/>
  <c r="L892"/>
  <c r="K892"/>
  <c r="J892"/>
  <c r="I892"/>
  <c r="H892"/>
  <c r="G892"/>
  <c r="F892"/>
  <c r="E892"/>
  <c r="D892"/>
  <c r="C892"/>
  <c r="B892"/>
  <c r="M891"/>
  <c r="L891"/>
  <c r="K891"/>
  <c r="J891"/>
  <c r="I891"/>
  <c r="H891"/>
  <c r="G891"/>
  <c r="F891"/>
  <c r="E891"/>
  <c r="D891"/>
  <c r="C891"/>
  <c r="B891"/>
  <c r="M890"/>
  <c r="L890"/>
  <c r="K890"/>
  <c r="J890"/>
  <c r="I890"/>
  <c r="H890"/>
  <c r="G890"/>
  <c r="F890"/>
  <c r="E890"/>
  <c r="D890"/>
  <c r="C890"/>
  <c r="B890"/>
  <c r="M889"/>
  <c r="L889"/>
  <c r="K889"/>
  <c r="J889"/>
  <c r="I889"/>
  <c r="H889"/>
  <c r="G889"/>
  <c r="F889"/>
  <c r="E889"/>
  <c r="D889"/>
  <c r="C889"/>
  <c r="B889"/>
  <c r="M888"/>
  <c r="L888"/>
  <c r="K888"/>
  <c r="J888"/>
  <c r="I888"/>
  <c r="H888"/>
  <c r="G888"/>
  <c r="F888"/>
  <c r="E888"/>
  <c r="D888"/>
  <c r="C888"/>
  <c r="B888"/>
  <c r="M887"/>
  <c r="L887"/>
  <c r="K887"/>
  <c r="J887"/>
  <c r="I887"/>
  <c r="H887"/>
  <c r="G887"/>
  <c r="F887"/>
  <c r="E887"/>
  <c r="D887"/>
  <c r="C887"/>
  <c r="B887"/>
  <c r="M886"/>
  <c r="L886"/>
  <c r="K886"/>
  <c r="J886"/>
  <c r="I886"/>
  <c r="H886"/>
  <c r="G886"/>
  <c r="F886"/>
  <c r="E886"/>
  <c r="D886"/>
  <c r="C886"/>
  <c r="B886"/>
  <c r="M885"/>
  <c r="L885"/>
  <c r="K885"/>
  <c r="J885"/>
  <c r="I885"/>
  <c r="H885"/>
  <c r="G885"/>
  <c r="F885"/>
  <c r="E885"/>
  <c r="D885"/>
  <c r="C885"/>
  <c r="B885"/>
  <c r="M884"/>
  <c r="L884"/>
  <c r="K884"/>
  <c r="J884"/>
  <c r="I884"/>
  <c r="H884"/>
  <c r="G884"/>
  <c r="F884"/>
  <c r="E884"/>
  <c r="D884"/>
  <c r="C884"/>
  <c r="B884"/>
  <c r="M883"/>
  <c r="L883"/>
  <c r="K883"/>
  <c r="J883"/>
  <c r="I883"/>
  <c r="H883"/>
  <c r="G883"/>
  <c r="F883"/>
  <c r="E883"/>
  <c r="D883"/>
  <c r="C883"/>
  <c r="B883"/>
  <c r="M873"/>
  <c r="L873"/>
  <c r="K873"/>
  <c r="J873"/>
  <c r="I873"/>
  <c r="H873"/>
  <c r="G873"/>
  <c r="F873"/>
  <c r="E873"/>
  <c r="D873"/>
  <c r="C873"/>
  <c r="B873"/>
  <c r="M872"/>
  <c r="L872"/>
  <c r="K872"/>
  <c r="J872"/>
  <c r="I872"/>
  <c r="H872"/>
  <c r="G872"/>
  <c r="F872"/>
  <c r="E872"/>
  <c r="D872"/>
  <c r="C872"/>
  <c r="B872"/>
  <c r="M871"/>
  <c r="L871"/>
  <c r="K871"/>
  <c r="J871"/>
  <c r="I871"/>
  <c r="H871"/>
  <c r="G871"/>
  <c r="F871"/>
  <c r="E871"/>
  <c r="D871"/>
  <c r="C871"/>
  <c r="B871"/>
  <c r="M870"/>
  <c r="L870"/>
  <c r="K870"/>
  <c r="J870"/>
  <c r="I870"/>
  <c r="H870"/>
  <c r="G870"/>
  <c r="F870"/>
  <c r="E870"/>
  <c r="D870"/>
  <c r="C870"/>
  <c r="B870"/>
  <c r="M869"/>
  <c r="L869"/>
  <c r="K869"/>
  <c r="J869"/>
  <c r="I869"/>
  <c r="H869"/>
  <c r="G869"/>
  <c r="F869"/>
  <c r="E869"/>
  <c r="D869"/>
  <c r="C869"/>
  <c r="B869"/>
  <c r="M868"/>
  <c r="L868"/>
  <c r="K868"/>
  <c r="J868"/>
  <c r="I868"/>
  <c r="H868"/>
  <c r="G868"/>
  <c r="F868"/>
  <c r="E868"/>
  <c r="D868"/>
  <c r="C868"/>
  <c r="B868"/>
  <c r="M867"/>
  <c r="L867"/>
  <c r="K867"/>
  <c r="J867"/>
  <c r="I867"/>
  <c r="H867"/>
  <c r="G867"/>
  <c r="F867"/>
  <c r="E867"/>
  <c r="D867"/>
  <c r="C867"/>
  <c r="B867"/>
  <c r="M866"/>
  <c r="L866"/>
  <c r="K866"/>
  <c r="J866"/>
  <c r="I866"/>
  <c r="H866"/>
  <c r="G866"/>
  <c r="F866"/>
  <c r="E866"/>
  <c r="D866"/>
  <c r="C866"/>
  <c r="B866"/>
  <c r="M865"/>
  <c r="L865"/>
  <c r="K865"/>
  <c r="J865"/>
  <c r="I865"/>
  <c r="H865"/>
  <c r="G865"/>
  <c r="F865"/>
  <c r="E865"/>
  <c r="D865"/>
  <c r="C865"/>
  <c r="B865"/>
  <c r="M864"/>
  <c r="L864"/>
  <c r="K864"/>
  <c r="J864"/>
  <c r="I864"/>
  <c r="H864"/>
  <c r="G864"/>
  <c r="F864"/>
  <c r="E864"/>
  <c r="D864"/>
  <c r="C864"/>
  <c r="B864"/>
  <c r="M863"/>
  <c r="L863"/>
  <c r="K863"/>
  <c r="J863"/>
  <c r="I863"/>
  <c r="H863"/>
  <c r="G863"/>
  <c r="F863"/>
  <c r="E863"/>
  <c r="D863"/>
  <c r="C863"/>
  <c r="B863"/>
  <c r="M862"/>
  <c r="L862"/>
  <c r="K862"/>
  <c r="J862"/>
  <c r="I862"/>
  <c r="H862"/>
  <c r="G862"/>
  <c r="F862"/>
  <c r="E862"/>
  <c r="D862"/>
  <c r="C862"/>
  <c r="B862"/>
  <c r="M861"/>
  <c r="L861"/>
  <c r="K861"/>
  <c r="J861"/>
  <c r="I861"/>
  <c r="H861"/>
  <c r="G861"/>
  <c r="F861"/>
  <c r="E861"/>
  <c r="D861"/>
  <c r="C861"/>
  <c r="B861"/>
  <c r="M860"/>
  <c r="L860"/>
  <c r="K860"/>
  <c r="J860"/>
  <c r="I860"/>
  <c r="H860"/>
  <c r="G860"/>
  <c r="F860"/>
  <c r="E860"/>
  <c r="D860"/>
  <c r="C860"/>
  <c r="B860"/>
  <c r="M859"/>
  <c r="L859"/>
  <c r="K859"/>
  <c r="J859"/>
  <c r="I859"/>
  <c r="H859"/>
  <c r="G859"/>
  <c r="F859"/>
  <c r="E859"/>
  <c r="D859"/>
  <c r="C859"/>
  <c r="B859"/>
  <c r="M858"/>
  <c r="L858"/>
  <c r="K858"/>
  <c r="J858"/>
  <c r="I858"/>
  <c r="H858"/>
  <c r="G858"/>
  <c r="F858"/>
  <c r="E858"/>
  <c r="D858"/>
  <c r="C858"/>
  <c r="B858"/>
  <c r="M857"/>
  <c r="L857"/>
  <c r="K857"/>
  <c r="J857"/>
  <c r="I857"/>
  <c r="H857"/>
  <c r="G857"/>
  <c r="F857"/>
  <c r="E857"/>
  <c r="D857"/>
  <c r="C857"/>
  <c r="B857"/>
  <c r="M856"/>
  <c r="L856"/>
  <c r="K856"/>
  <c r="J856"/>
  <c r="I856"/>
  <c r="H856"/>
  <c r="G856"/>
  <c r="F856"/>
  <c r="E856"/>
  <c r="D856"/>
  <c r="C856"/>
  <c r="B856"/>
  <c r="M855"/>
  <c r="L855"/>
  <c r="K855"/>
  <c r="J855"/>
  <c r="I855"/>
  <c r="H855"/>
  <c r="G855"/>
  <c r="F855"/>
  <c r="E855"/>
  <c r="D855"/>
  <c r="C855"/>
  <c r="B855"/>
  <c r="M854"/>
  <c r="L854"/>
  <c r="K854"/>
  <c r="J854"/>
  <c r="I854"/>
  <c r="H854"/>
  <c r="G854"/>
  <c r="F854"/>
  <c r="E854"/>
  <c r="D854"/>
  <c r="C854"/>
  <c r="B854"/>
  <c r="M853"/>
  <c r="L853"/>
  <c r="K853"/>
  <c r="J853"/>
  <c r="I853"/>
  <c r="H853"/>
  <c r="G853"/>
  <c r="F853"/>
  <c r="E853"/>
  <c r="D853"/>
  <c r="C853"/>
  <c r="B853"/>
  <c r="M852"/>
  <c r="L852"/>
  <c r="K852"/>
  <c r="J852"/>
  <c r="I852"/>
  <c r="H852"/>
  <c r="G852"/>
  <c r="F852"/>
  <c r="E852"/>
  <c r="D852"/>
  <c r="C852"/>
  <c r="B852"/>
  <c r="M851"/>
  <c r="L851"/>
  <c r="K851"/>
  <c r="J851"/>
  <c r="I851"/>
  <c r="H851"/>
  <c r="G851"/>
  <c r="F851"/>
  <c r="E851"/>
  <c r="D851"/>
  <c r="C851"/>
  <c r="B851"/>
  <c r="M850"/>
  <c r="L850"/>
  <c r="K850"/>
  <c r="J850"/>
  <c r="I850"/>
  <c r="H850"/>
  <c r="G850"/>
  <c r="F850"/>
  <c r="E850"/>
  <c r="D850"/>
  <c r="C850"/>
  <c r="B850"/>
  <c r="M849"/>
  <c r="L849"/>
  <c r="K849"/>
  <c r="J849"/>
  <c r="I849"/>
  <c r="H849"/>
  <c r="G849"/>
  <c r="F849"/>
  <c r="E849"/>
  <c r="D849"/>
  <c r="C849"/>
  <c r="B849"/>
  <c r="M848"/>
  <c r="L848"/>
  <c r="K848"/>
  <c r="J848"/>
  <c r="I848"/>
  <c r="H848"/>
  <c r="G848"/>
  <c r="F848"/>
  <c r="E848"/>
  <c r="D848"/>
  <c r="C848"/>
  <c r="B848"/>
  <c r="M847"/>
  <c r="L847"/>
  <c r="K847"/>
  <c r="J847"/>
  <c r="I847"/>
  <c r="H847"/>
  <c r="G847"/>
  <c r="F847"/>
  <c r="E847"/>
  <c r="D847"/>
  <c r="C847"/>
  <c r="B847"/>
  <c r="M846"/>
  <c r="L846"/>
  <c r="K846"/>
  <c r="J846"/>
  <c r="I846"/>
  <c r="H846"/>
  <c r="G846"/>
  <c r="F846"/>
  <c r="E846"/>
  <c r="D846"/>
  <c r="C846"/>
  <c r="B846"/>
  <c r="M845"/>
  <c r="L845"/>
  <c r="K845"/>
  <c r="J845"/>
  <c r="I845"/>
  <c r="H845"/>
  <c r="G845"/>
  <c r="F845"/>
  <c r="E845"/>
  <c r="D845"/>
  <c r="C845"/>
  <c r="B845"/>
  <c r="M844"/>
  <c r="L844"/>
  <c r="K844"/>
  <c r="J844"/>
  <c r="I844"/>
  <c r="H844"/>
  <c r="G844"/>
  <c r="F844"/>
  <c r="E844"/>
  <c r="D844"/>
  <c r="C844"/>
  <c r="B844"/>
  <c r="M843"/>
  <c r="L843"/>
  <c r="K843"/>
  <c r="J843"/>
  <c r="I843"/>
  <c r="H843"/>
  <c r="G843"/>
  <c r="F843"/>
  <c r="E843"/>
  <c r="D843"/>
  <c r="C843"/>
  <c r="B843"/>
  <c r="M833"/>
  <c r="L833"/>
  <c r="K833"/>
  <c r="J833"/>
  <c r="I833"/>
  <c r="H833"/>
  <c r="G833"/>
  <c r="F833"/>
  <c r="E833"/>
  <c r="D833"/>
  <c r="C833"/>
  <c r="B833"/>
  <c r="M832"/>
  <c r="L832"/>
  <c r="K832"/>
  <c r="J832"/>
  <c r="I832"/>
  <c r="H832"/>
  <c r="G832"/>
  <c r="F832"/>
  <c r="E832"/>
  <c r="D832"/>
  <c r="C832"/>
  <c r="B832"/>
  <c r="M831"/>
  <c r="L831"/>
  <c r="K831"/>
  <c r="J831"/>
  <c r="I831"/>
  <c r="H831"/>
  <c r="G831"/>
  <c r="F831"/>
  <c r="E831"/>
  <c r="D831"/>
  <c r="C831"/>
  <c r="B831"/>
  <c r="M830"/>
  <c r="L830"/>
  <c r="K830"/>
  <c r="J830"/>
  <c r="I830"/>
  <c r="H830"/>
  <c r="G830"/>
  <c r="F830"/>
  <c r="E830"/>
  <c r="D830"/>
  <c r="C830"/>
  <c r="B830"/>
  <c r="M829"/>
  <c r="L829"/>
  <c r="K829"/>
  <c r="J829"/>
  <c r="I829"/>
  <c r="H829"/>
  <c r="G829"/>
  <c r="F829"/>
  <c r="E829"/>
  <c r="D829"/>
  <c r="C829"/>
  <c r="B829"/>
  <c r="M828"/>
  <c r="L828"/>
  <c r="K828"/>
  <c r="J828"/>
  <c r="I828"/>
  <c r="H828"/>
  <c r="G828"/>
  <c r="F828"/>
  <c r="E828"/>
  <c r="D828"/>
  <c r="C828"/>
  <c r="B828"/>
  <c r="M827"/>
  <c r="L827"/>
  <c r="K827"/>
  <c r="J827"/>
  <c r="I827"/>
  <c r="H827"/>
  <c r="G827"/>
  <c r="F827"/>
  <c r="E827"/>
  <c r="D827"/>
  <c r="C827"/>
  <c r="B827"/>
  <c r="M826"/>
  <c r="L826"/>
  <c r="K826"/>
  <c r="J826"/>
  <c r="I826"/>
  <c r="H826"/>
  <c r="G826"/>
  <c r="F826"/>
  <c r="E826"/>
  <c r="D826"/>
  <c r="C826"/>
  <c r="B826"/>
  <c r="M825"/>
  <c r="L825"/>
  <c r="K825"/>
  <c r="J825"/>
  <c r="I825"/>
  <c r="H825"/>
  <c r="G825"/>
  <c r="F825"/>
  <c r="E825"/>
  <c r="D825"/>
  <c r="C825"/>
  <c r="B825"/>
  <c r="M824"/>
  <c r="L824"/>
  <c r="K824"/>
  <c r="J824"/>
  <c r="I824"/>
  <c r="H824"/>
  <c r="G824"/>
  <c r="F824"/>
  <c r="E824"/>
  <c r="D824"/>
  <c r="C824"/>
  <c r="B824"/>
  <c r="M823"/>
  <c r="L823"/>
  <c r="K823"/>
  <c r="J823"/>
  <c r="I823"/>
  <c r="H823"/>
  <c r="G823"/>
  <c r="F823"/>
  <c r="E823"/>
  <c r="D823"/>
  <c r="C823"/>
  <c r="B823"/>
  <c r="M822"/>
  <c r="L822"/>
  <c r="K822"/>
  <c r="J822"/>
  <c r="I822"/>
  <c r="H822"/>
  <c r="G822"/>
  <c r="F822"/>
  <c r="E822"/>
  <c r="D822"/>
  <c r="C822"/>
  <c r="B822"/>
  <c r="M821"/>
  <c r="L821"/>
  <c r="K821"/>
  <c r="J821"/>
  <c r="I821"/>
  <c r="H821"/>
  <c r="G821"/>
  <c r="F821"/>
  <c r="E821"/>
  <c r="D821"/>
  <c r="C821"/>
  <c r="B821"/>
  <c r="M820"/>
  <c r="L820"/>
  <c r="K820"/>
  <c r="J820"/>
  <c r="I820"/>
  <c r="H820"/>
  <c r="G820"/>
  <c r="F820"/>
  <c r="E820"/>
  <c r="D820"/>
  <c r="C820"/>
  <c r="B820"/>
  <c r="M819"/>
  <c r="L819"/>
  <c r="K819"/>
  <c r="J819"/>
  <c r="I819"/>
  <c r="H819"/>
  <c r="G819"/>
  <c r="F819"/>
  <c r="E819"/>
  <c r="D819"/>
  <c r="C819"/>
  <c r="B819"/>
  <c r="M818"/>
  <c r="L818"/>
  <c r="K818"/>
  <c r="J818"/>
  <c r="I818"/>
  <c r="H818"/>
  <c r="G818"/>
  <c r="F818"/>
  <c r="E818"/>
  <c r="D818"/>
  <c r="C818"/>
  <c r="B818"/>
  <c r="M817"/>
  <c r="L817"/>
  <c r="K817"/>
  <c r="J817"/>
  <c r="I817"/>
  <c r="H817"/>
  <c r="G817"/>
  <c r="F817"/>
  <c r="E817"/>
  <c r="D817"/>
  <c r="C817"/>
  <c r="B817"/>
  <c r="M816"/>
  <c r="L816"/>
  <c r="K816"/>
  <c r="J816"/>
  <c r="I816"/>
  <c r="H816"/>
  <c r="G816"/>
  <c r="F816"/>
  <c r="E816"/>
  <c r="D816"/>
  <c r="C816"/>
  <c r="B816"/>
  <c r="M815"/>
  <c r="L815"/>
  <c r="K815"/>
  <c r="J815"/>
  <c r="I815"/>
  <c r="H815"/>
  <c r="G815"/>
  <c r="F815"/>
  <c r="E815"/>
  <c r="D815"/>
  <c r="C815"/>
  <c r="B815"/>
  <c r="M814"/>
  <c r="L814"/>
  <c r="K814"/>
  <c r="J814"/>
  <c r="I814"/>
  <c r="H814"/>
  <c r="G814"/>
  <c r="F814"/>
  <c r="E814"/>
  <c r="D814"/>
  <c r="C814"/>
  <c r="B814"/>
  <c r="M813"/>
  <c r="L813"/>
  <c r="K813"/>
  <c r="J813"/>
  <c r="I813"/>
  <c r="H813"/>
  <c r="G813"/>
  <c r="F813"/>
  <c r="E813"/>
  <c r="D813"/>
  <c r="C813"/>
  <c r="B813"/>
  <c r="M812"/>
  <c r="L812"/>
  <c r="K812"/>
  <c r="J812"/>
  <c r="I812"/>
  <c r="H812"/>
  <c r="G812"/>
  <c r="F812"/>
  <c r="E812"/>
  <c r="D812"/>
  <c r="C812"/>
  <c r="B812"/>
  <c r="M811"/>
  <c r="L811"/>
  <c r="K811"/>
  <c r="J811"/>
  <c r="I811"/>
  <c r="H811"/>
  <c r="G811"/>
  <c r="F811"/>
  <c r="E811"/>
  <c r="D811"/>
  <c r="C811"/>
  <c r="B811"/>
  <c r="M810"/>
  <c r="L810"/>
  <c r="K810"/>
  <c r="J810"/>
  <c r="I810"/>
  <c r="H810"/>
  <c r="G810"/>
  <c r="F810"/>
  <c r="E810"/>
  <c r="D810"/>
  <c r="C810"/>
  <c r="B810"/>
  <c r="M809"/>
  <c r="L809"/>
  <c r="K809"/>
  <c r="J809"/>
  <c r="I809"/>
  <c r="H809"/>
  <c r="G809"/>
  <c r="F809"/>
  <c r="E809"/>
  <c r="D809"/>
  <c r="C809"/>
  <c r="B809"/>
  <c r="M808"/>
  <c r="L808"/>
  <c r="K808"/>
  <c r="J808"/>
  <c r="I808"/>
  <c r="H808"/>
  <c r="G808"/>
  <c r="F808"/>
  <c r="E808"/>
  <c r="D808"/>
  <c r="C808"/>
  <c r="B808"/>
  <c r="M807"/>
  <c r="L807"/>
  <c r="K807"/>
  <c r="J807"/>
  <c r="I807"/>
  <c r="H807"/>
  <c r="G807"/>
  <c r="F807"/>
  <c r="E807"/>
  <c r="D807"/>
  <c r="C807"/>
  <c r="B807"/>
  <c r="M806"/>
  <c r="L806"/>
  <c r="K806"/>
  <c r="J806"/>
  <c r="I806"/>
  <c r="H806"/>
  <c r="G806"/>
  <c r="F806"/>
  <c r="E806"/>
  <c r="D806"/>
  <c r="C806"/>
  <c r="B806"/>
  <c r="M805"/>
  <c r="L805"/>
  <c r="K805"/>
  <c r="J805"/>
  <c r="I805"/>
  <c r="H805"/>
  <c r="G805"/>
  <c r="F805"/>
  <c r="E805"/>
  <c r="D805"/>
  <c r="C805"/>
  <c r="B805"/>
  <c r="M804"/>
  <c r="L804"/>
  <c r="K804"/>
  <c r="J804"/>
  <c r="I804"/>
  <c r="H804"/>
  <c r="G804"/>
  <c r="F804"/>
  <c r="E804"/>
  <c r="D804"/>
  <c r="C804"/>
  <c r="B804"/>
  <c r="M792"/>
  <c r="L792"/>
  <c r="K792"/>
  <c r="J792"/>
  <c r="I792"/>
  <c r="H792"/>
  <c r="G792"/>
  <c r="F792"/>
  <c r="E792"/>
  <c r="D792"/>
  <c r="C792"/>
  <c r="B792"/>
  <c r="M791"/>
  <c r="L791"/>
  <c r="K791"/>
  <c r="J791"/>
  <c r="I791"/>
  <c r="H791"/>
  <c r="G791"/>
  <c r="F791"/>
  <c r="E791"/>
  <c r="D791"/>
  <c r="C791"/>
  <c r="B791"/>
  <c r="M790"/>
  <c r="L790"/>
  <c r="K790"/>
  <c r="J790"/>
  <c r="I790"/>
  <c r="H790"/>
  <c r="G790"/>
  <c r="F790"/>
  <c r="E790"/>
  <c r="D790"/>
  <c r="C790"/>
  <c r="B790"/>
  <c r="M789"/>
  <c r="L789"/>
  <c r="K789"/>
  <c r="J789"/>
  <c r="I789"/>
  <c r="H789"/>
  <c r="G789"/>
  <c r="F789"/>
  <c r="E789"/>
  <c r="D789"/>
  <c r="C789"/>
  <c r="B789"/>
  <c r="M788"/>
  <c r="L788"/>
  <c r="K788"/>
  <c r="J788"/>
  <c r="I788"/>
  <c r="H788"/>
  <c r="G788"/>
  <c r="F788"/>
  <c r="E788"/>
  <c r="D788"/>
  <c r="C788"/>
  <c r="B788"/>
  <c r="M787"/>
  <c r="L787"/>
  <c r="K787"/>
  <c r="J787"/>
  <c r="I787"/>
  <c r="H787"/>
  <c r="G787"/>
  <c r="F787"/>
  <c r="E787"/>
  <c r="D787"/>
  <c r="C787"/>
  <c r="B787"/>
  <c r="M786"/>
  <c r="L786"/>
  <c r="K786"/>
  <c r="J786"/>
  <c r="I786"/>
  <c r="H786"/>
  <c r="G786"/>
  <c r="F786"/>
  <c r="E786"/>
  <c r="D786"/>
  <c r="C786"/>
  <c r="B786"/>
  <c r="M785"/>
  <c r="L785"/>
  <c r="K785"/>
  <c r="J785"/>
  <c r="I785"/>
  <c r="H785"/>
  <c r="G785"/>
  <c r="F785"/>
  <c r="E785"/>
  <c r="D785"/>
  <c r="C785"/>
  <c r="B785"/>
  <c r="M784"/>
  <c r="L784"/>
  <c r="K784"/>
  <c r="J784"/>
  <c r="I784"/>
  <c r="H784"/>
  <c r="G784"/>
  <c r="F784"/>
  <c r="E784"/>
  <c r="D784"/>
  <c r="C784"/>
  <c r="B784"/>
  <c r="M783"/>
  <c r="L783"/>
  <c r="K783"/>
  <c r="J783"/>
  <c r="I783"/>
  <c r="H783"/>
  <c r="G783"/>
  <c r="F783"/>
  <c r="E783"/>
  <c r="D783"/>
  <c r="C783"/>
  <c r="B783"/>
  <c r="M782"/>
  <c r="L782"/>
  <c r="K782"/>
  <c r="J782"/>
  <c r="I782"/>
  <c r="H782"/>
  <c r="G782"/>
  <c r="F782"/>
  <c r="E782"/>
  <c r="D782"/>
  <c r="C782"/>
  <c r="B782"/>
  <c r="M781"/>
  <c r="L781"/>
  <c r="K781"/>
  <c r="J781"/>
  <c r="I781"/>
  <c r="H781"/>
  <c r="G781"/>
  <c r="F781"/>
  <c r="E781"/>
  <c r="D781"/>
  <c r="C781"/>
  <c r="B781"/>
  <c r="M780"/>
  <c r="L780"/>
  <c r="K780"/>
  <c r="J780"/>
  <c r="I780"/>
  <c r="H780"/>
  <c r="G780"/>
  <c r="F780"/>
  <c r="E780"/>
  <c r="D780"/>
  <c r="C780"/>
  <c r="B780"/>
  <c r="M779"/>
  <c r="L779"/>
  <c r="K779"/>
  <c r="J779"/>
  <c r="I779"/>
  <c r="H779"/>
  <c r="G779"/>
  <c r="F779"/>
  <c r="E779"/>
  <c r="D779"/>
  <c r="C779"/>
  <c r="B779"/>
  <c r="M778"/>
  <c r="L778"/>
  <c r="K778"/>
  <c r="J778"/>
  <c r="I778"/>
  <c r="H778"/>
  <c r="G778"/>
  <c r="F778"/>
  <c r="E778"/>
  <c r="D778"/>
  <c r="C778"/>
  <c r="B778"/>
  <c r="M777"/>
  <c r="L777"/>
  <c r="K777"/>
  <c r="J777"/>
  <c r="I777"/>
  <c r="H777"/>
  <c r="G777"/>
  <c r="F777"/>
  <c r="E777"/>
  <c r="D777"/>
  <c r="C777"/>
  <c r="B777"/>
  <c r="M776"/>
  <c r="L776"/>
  <c r="K776"/>
  <c r="J776"/>
  <c r="I776"/>
  <c r="H776"/>
  <c r="G776"/>
  <c r="F776"/>
  <c r="E776"/>
  <c r="D776"/>
  <c r="C776"/>
  <c r="B776"/>
  <c r="M775"/>
  <c r="L775"/>
  <c r="K775"/>
  <c r="J775"/>
  <c r="I775"/>
  <c r="H775"/>
  <c r="G775"/>
  <c r="F775"/>
  <c r="E775"/>
  <c r="D775"/>
  <c r="C775"/>
  <c r="B775"/>
  <c r="M774"/>
  <c r="L774"/>
  <c r="K774"/>
  <c r="J774"/>
  <c r="I774"/>
  <c r="H774"/>
  <c r="G774"/>
  <c r="F774"/>
  <c r="E774"/>
  <c r="D774"/>
  <c r="C774"/>
  <c r="B774"/>
  <c r="M773"/>
  <c r="L773"/>
  <c r="K773"/>
  <c r="J773"/>
  <c r="I773"/>
  <c r="H773"/>
  <c r="G773"/>
  <c r="F773"/>
  <c r="E773"/>
  <c r="D773"/>
  <c r="C773"/>
  <c r="B773"/>
  <c r="M772"/>
  <c r="L772"/>
  <c r="K772"/>
  <c r="J772"/>
  <c r="I772"/>
  <c r="H772"/>
  <c r="G772"/>
  <c r="F772"/>
  <c r="E772"/>
  <c r="D772"/>
  <c r="C772"/>
  <c r="B772"/>
  <c r="M771"/>
  <c r="L771"/>
  <c r="K771"/>
  <c r="J771"/>
  <c r="I771"/>
  <c r="H771"/>
  <c r="G771"/>
  <c r="F771"/>
  <c r="E771"/>
  <c r="D771"/>
  <c r="C771"/>
  <c r="B771"/>
  <c r="M770"/>
  <c r="L770"/>
  <c r="K770"/>
  <c r="J770"/>
  <c r="I770"/>
  <c r="H770"/>
  <c r="G770"/>
  <c r="F770"/>
  <c r="E770"/>
  <c r="D770"/>
  <c r="C770"/>
  <c r="B770"/>
  <c r="M769"/>
  <c r="L769"/>
  <c r="K769"/>
  <c r="J769"/>
  <c r="I769"/>
  <c r="H769"/>
  <c r="G769"/>
  <c r="F769"/>
  <c r="E769"/>
  <c r="D769"/>
  <c r="C769"/>
  <c r="B769"/>
  <c r="M768"/>
  <c r="L768"/>
  <c r="K768"/>
  <c r="J768"/>
  <c r="I768"/>
  <c r="H768"/>
  <c r="G768"/>
  <c r="F768"/>
  <c r="E768"/>
  <c r="D768"/>
  <c r="C768"/>
  <c r="B768"/>
  <c r="M767"/>
  <c r="L767"/>
  <c r="K767"/>
  <c r="J767"/>
  <c r="I767"/>
  <c r="H767"/>
  <c r="G767"/>
  <c r="F767"/>
  <c r="E767"/>
  <c r="D767"/>
  <c r="C767"/>
  <c r="B767"/>
  <c r="M766"/>
  <c r="L766"/>
  <c r="K766"/>
  <c r="J766"/>
  <c r="I766"/>
  <c r="H766"/>
  <c r="G766"/>
  <c r="F766"/>
  <c r="E766"/>
  <c r="D766"/>
  <c r="C766"/>
  <c r="B766"/>
  <c r="M765"/>
  <c r="L765"/>
  <c r="K765"/>
  <c r="J765"/>
  <c r="I765"/>
  <c r="H765"/>
  <c r="G765"/>
  <c r="F765"/>
  <c r="E765"/>
  <c r="D765"/>
  <c r="C765"/>
  <c r="B765"/>
  <c r="M764"/>
  <c r="L764"/>
  <c r="K764"/>
  <c r="J764"/>
  <c r="I764"/>
  <c r="H764"/>
  <c r="G764"/>
  <c r="F764"/>
  <c r="E764"/>
  <c r="D764"/>
  <c r="C764"/>
  <c r="B764"/>
  <c r="M753"/>
  <c r="L753"/>
  <c r="K753"/>
  <c r="J753"/>
  <c r="I753"/>
  <c r="H753"/>
  <c r="G753"/>
  <c r="F753"/>
  <c r="E753"/>
  <c r="D753"/>
  <c r="C753"/>
  <c r="B753"/>
  <c r="M752"/>
  <c r="L752"/>
  <c r="K752"/>
  <c r="J752"/>
  <c r="I752"/>
  <c r="H752"/>
  <c r="G752"/>
  <c r="F752"/>
  <c r="E752"/>
  <c r="D752"/>
  <c r="C752"/>
  <c r="B752"/>
  <c r="M751"/>
  <c r="L751"/>
  <c r="K751"/>
  <c r="J751"/>
  <c r="I751"/>
  <c r="H751"/>
  <c r="G751"/>
  <c r="F751"/>
  <c r="E751"/>
  <c r="D751"/>
  <c r="C751"/>
  <c r="B751"/>
  <c r="M750"/>
  <c r="L750"/>
  <c r="K750"/>
  <c r="J750"/>
  <c r="I750"/>
  <c r="H750"/>
  <c r="G750"/>
  <c r="F750"/>
  <c r="E750"/>
  <c r="D750"/>
  <c r="C750"/>
  <c r="B750"/>
  <c r="M749"/>
  <c r="L749"/>
  <c r="K749"/>
  <c r="J749"/>
  <c r="I749"/>
  <c r="H749"/>
  <c r="G749"/>
  <c r="F749"/>
  <c r="E749"/>
  <c r="D749"/>
  <c r="C749"/>
  <c r="B749"/>
  <c r="M748"/>
  <c r="L748"/>
  <c r="K748"/>
  <c r="J748"/>
  <c r="I748"/>
  <c r="H748"/>
  <c r="G748"/>
  <c r="F748"/>
  <c r="E748"/>
  <c r="D748"/>
  <c r="C748"/>
  <c r="B748"/>
  <c r="M747"/>
  <c r="L747"/>
  <c r="K747"/>
  <c r="J747"/>
  <c r="I747"/>
  <c r="H747"/>
  <c r="G747"/>
  <c r="F747"/>
  <c r="E747"/>
  <c r="D747"/>
  <c r="C747"/>
  <c r="B747"/>
  <c r="M746"/>
  <c r="L746"/>
  <c r="K746"/>
  <c r="J746"/>
  <c r="I746"/>
  <c r="H746"/>
  <c r="G746"/>
  <c r="F746"/>
  <c r="E746"/>
  <c r="D746"/>
  <c r="C746"/>
  <c r="B746"/>
  <c r="M745"/>
  <c r="L745"/>
  <c r="K745"/>
  <c r="J745"/>
  <c r="I745"/>
  <c r="H745"/>
  <c r="G745"/>
  <c r="F745"/>
  <c r="E745"/>
  <c r="D745"/>
  <c r="C745"/>
  <c r="B745"/>
  <c r="M744"/>
  <c r="L744"/>
  <c r="K744"/>
  <c r="J744"/>
  <c r="I744"/>
  <c r="H744"/>
  <c r="G744"/>
  <c r="F744"/>
  <c r="E744"/>
  <c r="D744"/>
  <c r="C744"/>
  <c r="B744"/>
  <c r="M743"/>
  <c r="L743"/>
  <c r="K743"/>
  <c r="J743"/>
  <c r="I743"/>
  <c r="H743"/>
  <c r="G743"/>
  <c r="F743"/>
  <c r="E743"/>
  <c r="D743"/>
  <c r="C743"/>
  <c r="B743"/>
  <c r="M742"/>
  <c r="L742"/>
  <c r="K742"/>
  <c r="J742"/>
  <c r="I742"/>
  <c r="H742"/>
  <c r="G742"/>
  <c r="F742"/>
  <c r="E742"/>
  <c r="D742"/>
  <c r="C742"/>
  <c r="B742"/>
  <c r="M741"/>
  <c r="L741"/>
  <c r="K741"/>
  <c r="J741"/>
  <c r="I741"/>
  <c r="H741"/>
  <c r="G741"/>
  <c r="F741"/>
  <c r="E741"/>
  <c r="D741"/>
  <c r="C741"/>
  <c r="B741"/>
  <c r="M740"/>
  <c r="L740"/>
  <c r="K740"/>
  <c r="J740"/>
  <c r="I740"/>
  <c r="H740"/>
  <c r="G740"/>
  <c r="F740"/>
  <c r="E740"/>
  <c r="D740"/>
  <c r="C740"/>
  <c r="B740"/>
  <c r="M739"/>
  <c r="L739"/>
  <c r="K739"/>
  <c r="J739"/>
  <c r="I739"/>
  <c r="H739"/>
  <c r="G739"/>
  <c r="F739"/>
  <c r="E739"/>
  <c r="D739"/>
  <c r="C739"/>
  <c r="B739"/>
  <c r="M738"/>
  <c r="L738"/>
  <c r="K738"/>
  <c r="J738"/>
  <c r="I738"/>
  <c r="H738"/>
  <c r="G738"/>
  <c r="F738"/>
  <c r="E738"/>
  <c r="D738"/>
  <c r="C738"/>
  <c r="B738"/>
  <c r="M737"/>
  <c r="L737"/>
  <c r="K737"/>
  <c r="J737"/>
  <c r="I737"/>
  <c r="H737"/>
  <c r="G737"/>
  <c r="F737"/>
  <c r="E737"/>
  <c r="D737"/>
  <c r="C737"/>
  <c r="B737"/>
  <c r="M736"/>
  <c r="L736"/>
  <c r="K736"/>
  <c r="J736"/>
  <c r="I736"/>
  <c r="H736"/>
  <c r="G736"/>
  <c r="F736"/>
  <c r="E736"/>
  <c r="D736"/>
  <c r="C736"/>
  <c r="B736"/>
  <c r="M735"/>
  <c r="L735"/>
  <c r="K735"/>
  <c r="J735"/>
  <c r="I735"/>
  <c r="H735"/>
  <c r="G735"/>
  <c r="F735"/>
  <c r="E735"/>
  <c r="D735"/>
  <c r="C735"/>
  <c r="B735"/>
  <c r="M734"/>
  <c r="L734"/>
  <c r="K734"/>
  <c r="J734"/>
  <c r="I734"/>
  <c r="H734"/>
  <c r="G734"/>
  <c r="F734"/>
  <c r="E734"/>
  <c r="D734"/>
  <c r="C734"/>
  <c r="B734"/>
  <c r="M733"/>
  <c r="L733"/>
  <c r="K733"/>
  <c r="J733"/>
  <c r="I733"/>
  <c r="H733"/>
  <c r="G733"/>
  <c r="F733"/>
  <c r="E733"/>
  <c r="D733"/>
  <c r="C733"/>
  <c r="B733"/>
  <c r="M732"/>
  <c r="L732"/>
  <c r="K732"/>
  <c r="J732"/>
  <c r="I732"/>
  <c r="H732"/>
  <c r="G732"/>
  <c r="F732"/>
  <c r="E732"/>
  <c r="D732"/>
  <c r="C732"/>
  <c r="B732"/>
  <c r="M731"/>
  <c r="L731"/>
  <c r="K731"/>
  <c r="J731"/>
  <c r="I731"/>
  <c r="H731"/>
  <c r="G731"/>
  <c r="F731"/>
  <c r="E731"/>
  <c r="D731"/>
  <c r="C731"/>
  <c r="B731"/>
  <c r="M730"/>
  <c r="L730"/>
  <c r="K730"/>
  <c r="J730"/>
  <c r="I730"/>
  <c r="H730"/>
  <c r="G730"/>
  <c r="F730"/>
  <c r="E730"/>
  <c r="D730"/>
  <c r="C730"/>
  <c r="B730"/>
  <c r="M729"/>
  <c r="L729"/>
  <c r="K729"/>
  <c r="J729"/>
  <c r="I729"/>
  <c r="H729"/>
  <c r="G729"/>
  <c r="F729"/>
  <c r="E729"/>
  <c r="D729"/>
  <c r="C729"/>
  <c r="B729"/>
  <c r="M728"/>
  <c r="L728"/>
  <c r="K728"/>
  <c r="J728"/>
  <c r="I728"/>
  <c r="H728"/>
  <c r="G728"/>
  <c r="F728"/>
  <c r="E728"/>
  <c r="D728"/>
  <c r="C728"/>
  <c r="B728"/>
  <c r="M727"/>
  <c r="L727"/>
  <c r="K727"/>
  <c r="J727"/>
  <c r="I727"/>
  <c r="H727"/>
  <c r="G727"/>
  <c r="F727"/>
  <c r="E727"/>
  <c r="D727"/>
  <c r="C727"/>
  <c r="B727"/>
  <c r="M726"/>
  <c r="L726"/>
  <c r="K726"/>
  <c r="J726"/>
  <c r="I726"/>
  <c r="H726"/>
  <c r="G726"/>
  <c r="F726"/>
  <c r="E726"/>
  <c r="D726"/>
  <c r="C726"/>
  <c r="B726"/>
  <c r="M725"/>
  <c r="L725"/>
  <c r="K725"/>
  <c r="J725"/>
  <c r="I725"/>
  <c r="H725"/>
  <c r="G725"/>
  <c r="F725"/>
  <c r="E725"/>
  <c r="D725"/>
  <c r="C725"/>
  <c r="B725"/>
  <c r="M724"/>
  <c r="L724"/>
  <c r="K724"/>
  <c r="J724"/>
  <c r="I724"/>
  <c r="H724"/>
  <c r="G724"/>
  <c r="F724"/>
  <c r="E724"/>
  <c r="D724"/>
  <c r="C724"/>
  <c r="B724"/>
  <c r="M723"/>
  <c r="L723"/>
  <c r="K723"/>
  <c r="J723"/>
  <c r="I723"/>
  <c r="H723"/>
  <c r="G723"/>
  <c r="F723"/>
  <c r="E723"/>
  <c r="D723"/>
  <c r="C723"/>
  <c r="B723"/>
  <c r="M713"/>
  <c r="L713"/>
  <c r="K713"/>
  <c r="J713"/>
  <c r="I713"/>
  <c r="H713"/>
  <c r="G713"/>
  <c r="F713"/>
  <c r="E713"/>
  <c r="D713"/>
  <c r="C713"/>
  <c r="B713"/>
  <c r="M712"/>
  <c r="L712"/>
  <c r="K712"/>
  <c r="J712"/>
  <c r="I712"/>
  <c r="H712"/>
  <c r="G712"/>
  <c r="F712"/>
  <c r="E712"/>
  <c r="D712"/>
  <c r="C712"/>
  <c r="B712"/>
  <c r="M711"/>
  <c r="L711"/>
  <c r="K711"/>
  <c r="J711"/>
  <c r="I711"/>
  <c r="H711"/>
  <c r="G711"/>
  <c r="F711"/>
  <c r="E711"/>
  <c r="D711"/>
  <c r="C711"/>
  <c r="B711"/>
  <c r="M710"/>
  <c r="L710"/>
  <c r="K710"/>
  <c r="J710"/>
  <c r="I710"/>
  <c r="H710"/>
  <c r="G710"/>
  <c r="F710"/>
  <c r="E710"/>
  <c r="D710"/>
  <c r="C710"/>
  <c r="B710"/>
  <c r="M709"/>
  <c r="L709"/>
  <c r="K709"/>
  <c r="J709"/>
  <c r="I709"/>
  <c r="H709"/>
  <c r="G709"/>
  <c r="F709"/>
  <c r="E709"/>
  <c r="D709"/>
  <c r="C709"/>
  <c r="B709"/>
  <c r="M708"/>
  <c r="L708"/>
  <c r="K708"/>
  <c r="J708"/>
  <c r="I708"/>
  <c r="H708"/>
  <c r="G708"/>
  <c r="F708"/>
  <c r="E708"/>
  <c r="D708"/>
  <c r="C708"/>
  <c r="B708"/>
  <c r="M707"/>
  <c r="L707"/>
  <c r="K707"/>
  <c r="J707"/>
  <c r="I707"/>
  <c r="H707"/>
  <c r="G707"/>
  <c r="F707"/>
  <c r="E707"/>
  <c r="D707"/>
  <c r="C707"/>
  <c r="B707"/>
  <c r="M706"/>
  <c r="L706"/>
  <c r="K706"/>
  <c r="J706"/>
  <c r="I706"/>
  <c r="H706"/>
  <c r="G706"/>
  <c r="F706"/>
  <c r="E706"/>
  <c r="D706"/>
  <c r="C706"/>
  <c r="B706"/>
  <c r="M705"/>
  <c r="L705"/>
  <c r="K705"/>
  <c r="J705"/>
  <c r="I705"/>
  <c r="H705"/>
  <c r="G705"/>
  <c r="F705"/>
  <c r="E705"/>
  <c r="D705"/>
  <c r="C705"/>
  <c r="B705"/>
  <c r="M704"/>
  <c r="L704"/>
  <c r="K704"/>
  <c r="J704"/>
  <c r="I704"/>
  <c r="H704"/>
  <c r="G704"/>
  <c r="F704"/>
  <c r="E704"/>
  <c r="D704"/>
  <c r="C704"/>
  <c r="B704"/>
  <c r="M703"/>
  <c r="L703"/>
  <c r="K703"/>
  <c r="J703"/>
  <c r="I703"/>
  <c r="H703"/>
  <c r="G703"/>
  <c r="F703"/>
  <c r="E703"/>
  <c r="D703"/>
  <c r="C703"/>
  <c r="B703"/>
  <c r="M702"/>
  <c r="L702"/>
  <c r="K702"/>
  <c r="J702"/>
  <c r="I702"/>
  <c r="H702"/>
  <c r="G702"/>
  <c r="F702"/>
  <c r="E702"/>
  <c r="D702"/>
  <c r="C702"/>
  <c r="B702"/>
  <c r="M701"/>
  <c r="L701"/>
  <c r="K701"/>
  <c r="J701"/>
  <c r="I701"/>
  <c r="H701"/>
  <c r="G701"/>
  <c r="F701"/>
  <c r="E701"/>
  <c r="D701"/>
  <c r="C701"/>
  <c r="B701"/>
  <c r="M700"/>
  <c r="L700"/>
  <c r="K700"/>
  <c r="J700"/>
  <c r="I700"/>
  <c r="H700"/>
  <c r="G700"/>
  <c r="F700"/>
  <c r="E700"/>
  <c r="D700"/>
  <c r="C700"/>
  <c r="B700"/>
  <c r="M699"/>
  <c r="L699"/>
  <c r="K699"/>
  <c r="J699"/>
  <c r="I699"/>
  <c r="H699"/>
  <c r="G699"/>
  <c r="F699"/>
  <c r="E699"/>
  <c r="D699"/>
  <c r="C699"/>
  <c r="B699"/>
  <c r="M698"/>
  <c r="L698"/>
  <c r="K698"/>
  <c r="J698"/>
  <c r="I698"/>
  <c r="H698"/>
  <c r="G698"/>
  <c r="F698"/>
  <c r="E698"/>
  <c r="D698"/>
  <c r="C698"/>
  <c r="B698"/>
  <c r="M697"/>
  <c r="L697"/>
  <c r="K697"/>
  <c r="J697"/>
  <c r="I697"/>
  <c r="H697"/>
  <c r="G697"/>
  <c r="F697"/>
  <c r="E697"/>
  <c r="D697"/>
  <c r="C697"/>
  <c r="B697"/>
  <c r="M696"/>
  <c r="L696"/>
  <c r="K696"/>
  <c r="J696"/>
  <c r="I696"/>
  <c r="H696"/>
  <c r="G696"/>
  <c r="F696"/>
  <c r="E696"/>
  <c r="D696"/>
  <c r="C696"/>
  <c r="B696"/>
  <c r="M695"/>
  <c r="L695"/>
  <c r="K695"/>
  <c r="J695"/>
  <c r="I695"/>
  <c r="H695"/>
  <c r="G695"/>
  <c r="F695"/>
  <c r="E695"/>
  <c r="D695"/>
  <c r="C695"/>
  <c r="B695"/>
  <c r="M694"/>
  <c r="L694"/>
  <c r="K694"/>
  <c r="J694"/>
  <c r="I694"/>
  <c r="H694"/>
  <c r="G694"/>
  <c r="F694"/>
  <c r="E694"/>
  <c r="D694"/>
  <c r="C694"/>
  <c r="B694"/>
  <c r="M693"/>
  <c r="L693"/>
  <c r="K693"/>
  <c r="J693"/>
  <c r="I693"/>
  <c r="H693"/>
  <c r="G693"/>
  <c r="F693"/>
  <c r="E693"/>
  <c r="D693"/>
  <c r="C693"/>
  <c r="B693"/>
  <c r="M692"/>
  <c r="L692"/>
  <c r="K692"/>
  <c r="J692"/>
  <c r="I692"/>
  <c r="H692"/>
  <c r="G692"/>
  <c r="F692"/>
  <c r="E692"/>
  <c r="D692"/>
  <c r="C692"/>
  <c r="B692"/>
  <c r="M691"/>
  <c r="L691"/>
  <c r="K691"/>
  <c r="J691"/>
  <c r="I691"/>
  <c r="H691"/>
  <c r="G691"/>
  <c r="F691"/>
  <c r="E691"/>
  <c r="D691"/>
  <c r="C691"/>
  <c r="B691"/>
  <c r="M690"/>
  <c r="L690"/>
  <c r="K690"/>
  <c r="J690"/>
  <c r="I690"/>
  <c r="H690"/>
  <c r="G690"/>
  <c r="F690"/>
  <c r="E690"/>
  <c r="D690"/>
  <c r="C690"/>
  <c r="B690"/>
  <c r="M689"/>
  <c r="L689"/>
  <c r="K689"/>
  <c r="J689"/>
  <c r="I689"/>
  <c r="H689"/>
  <c r="G689"/>
  <c r="F689"/>
  <c r="E689"/>
  <c r="D689"/>
  <c r="C689"/>
  <c r="B689"/>
  <c r="M688"/>
  <c r="L688"/>
  <c r="K688"/>
  <c r="J688"/>
  <c r="I688"/>
  <c r="H688"/>
  <c r="G688"/>
  <c r="F688"/>
  <c r="E688"/>
  <c r="D688"/>
  <c r="C688"/>
  <c r="B688"/>
  <c r="M687"/>
  <c r="L687"/>
  <c r="K687"/>
  <c r="J687"/>
  <c r="I687"/>
  <c r="H687"/>
  <c r="G687"/>
  <c r="F687"/>
  <c r="E687"/>
  <c r="D687"/>
  <c r="C687"/>
  <c r="B687"/>
  <c r="M686"/>
  <c r="L686"/>
  <c r="K686"/>
  <c r="J686"/>
  <c r="I686"/>
  <c r="H686"/>
  <c r="G686"/>
  <c r="F686"/>
  <c r="E686"/>
  <c r="D686"/>
  <c r="C686"/>
  <c r="B686"/>
  <c r="M685"/>
  <c r="L685"/>
  <c r="K685"/>
  <c r="J685"/>
  <c r="I685"/>
  <c r="H685"/>
  <c r="G685"/>
  <c r="F685"/>
  <c r="E685"/>
  <c r="D685"/>
  <c r="C685"/>
  <c r="B685"/>
  <c r="M684"/>
  <c r="L684"/>
  <c r="K684"/>
  <c r="J684"/>
  <c r="I684"/>
  <c r="H684"/>
  <c r="G684"/>
  <c r="F684"/>
  <c r="E684"/>
  <c r="D684"/>
  <c r="C684"/>
  <c r="B684"/>
  <c r="M683"/>
  <c r="L683"/>
  <c r="K683"/>
  <c r="J683"/>
  <c r="I683"/>
  <c r="H683"/>
  <c r="G683"/>
  <c r="F683"/>
  <c r="E683"/>
  <c r="D683"/>
  <c r="C683"/>
  <c r="B683"/>
  <c r="M673"/>
  <c r="L673"/>
  <c r="K673"/>
  <c r="J673"/>
  <c r="I673"/>
  <c r="H673"/>
  <c r="G673"/>
  <c r="F673"/>
  <c r="E673"/>
  <c r="D673"/>
  <c r="C673"/>
  <c r="B673"/>
  <c r="M672"/>
  <c r="L672"/>
  <c r="K672"/>
  <c r="J672"/>
  <c r="I672"/>
  <c r="H672"/>
  <c r="G672"/>
  <c r="F672"/>
  <c r="E672"/>
  <c r="D672"/>
  <c r="C672"/>
  <c r="B672"/>
  <c r="M671"/>
  <c r="L671"/>
  <c r="K671"/>
  <c r="J671"/>
  <c r="I671"/>
  <c r="H671"/>
  <c r="G671"/>
  <c r="F671"/>
  <c r="E671"/>
  <c r="D671"/>
  <c r="C671"/>
  <c r="B671"/>
  <c r="M670"/>
  <c r="L670"/>
  <c r="K670"/>
  <c r="J670"/>
  <c r="I670"/>
  <c r="H670"/>
  <c r="G670"/>
  <c r="F670"/>
  <c r="E670"/>
  <c r="D670"/>
  <c r="C670"/>
  <c r="B670"/>
  <c r="M669"/>
  <c r="L669"/>
  <c r="K669"/>
  <c r="J669"/>
  <c r="I669"/>
  <c r="H669"/>
  <c r="G669"/>
  <c r="F669"/>
  <c r="E669"/>
  <c r="D669"/>
  <c r="C669"/>
  <c r="B669"/>
  <c r="M668"/>
  <c r="L668"/>
  <c r="K668"/>
  <c r="J668"/>
  <c r="I668"/>
  <c r="H668"/>
  <c r="G668"/>
  <c r="F668"/>
  <c r="E668"/>
  <c r="D668"/>
  <c r="C668"/>
  <c r="B668"/>
  <c r="M667"/>
  <c r="L667"/>
  <c r="K667"/>
  <c r="J667"/>
  <c r="I667"/>
  <c r="H667"/>
  <c r="G667"/>
  <c r="F667"/>
  <c r="E667"/>
  <c r="D667"/>
  <c r="C667"/>
  <c r="B667"/>
  <c r="M666"/>
  <c r="L666"/>
  <c r="K666"/>
  <c r="J666"/>
  <c r="I666"/>
  <c r="H666"/>
  <c r="G666"/>
  <c r="F666"/>
  <c r="E666"/>
  <c r="D666"/>
  <c r="C666"/>
  <c r="B666"/>
  <c r="M665"/>
  <c r="L665"/>
  <c r="K665"/>
  <c r="J665"/>
  <c r="I665"/>
  <c r="H665"/>
  <c r="G665"/>
  <c r="F665"/>
  <c r="E665"/>
  <c r="D665"/>
  <c r="C665"/>
  <c r="B665"/>
  <c r="M664"/>
  <c r="L664"/>
  <c r="K664"/>
  <c r="J664"/>
  <c r="I664"/>
  <c r="H664"/>
  <c r="G664"/>
  <c r="F664"/>
  <c r="E664"/>
  <c r="D664"/>
  <c r="C664"/>
  <c r="B664"/>
  <c r="M663"/>
  <c r="L663"/>
  <c r="K663"/>
  <c r="J663"/>
  <c r="I663"/>
  <c r="H663"/>
  <c r="G663"/>
  <c r="F663"/>
  <c r="E663"/>
  <c r="D663"/>
  <c r="C663"/>
  <c r="B663"/>
  <c r="M662"/>
  <c r="L662"/>
  <c r="K662"/>
  <c r="J662"/>
  <c r="I662"/>
  <c r="H662"/>
  <c r="G662"/>
  <c r="F662"/>
  <c r="E662"/>
  <c r="D662"/>
  <c r="C662"/>
  <c r="B662"/>
  <c r="M661"/>
  <c r="L661"/>
  <c r="K661"/>
  <c r="J661"/>
  <c r="I661"/>
  <c r="H661"/>
  <c r="G661"/>
  <c r="F661"/>
  <c r="E661"/>
  <c r="D661"/>
  <c r="C661"/>
  <c r="B661"/>
  <c r="M660"/>
  <c r="L660"/>
  <c r="K660"/>
  <c r="J660"/>
  <c r="I660"/>
  <c r="H660"/>
  <c r="G660"/>
  <c r="F660"/>
  <c r="E660"/>
  <c r="D660"/>
  <c r="C660"/>
  <c r="B660"/>
  <c r="M659"/>
  <c r="L659"/>
  <c r="K659"/>
  <c r="J659"/>
  <c r="I659"/>
  <c r="H659"/>
  <c r="G659"/>
  <c r="F659"/>
  <c r="E659"/>
  <c r="D659"/>
  <c r="C659"/>
  <c r="B659"/>
  <c r="M658"/>
  <c r="L658"/>
  <c r="K658"/>
  <c r="J658"/>
  <c r="I658"/>
  <c r="H658"/>
  <c r="G658"/>
  <c r="F658"/>
  <c r="E658"/>
  <c r="D658"/>
  <c r="C658"/>
  <c r="B658"/>
  <c r="M657"/>
  <c r="L657"/>
  <c r="K657"/>
  <c r="J657"/>
  <c r="I657"/>
  <c r="H657"/>
  <c r="G657"/>
  <c r="F657"/>
  <c r="E657"/>
  <c r="D657"/>
  <c r="C657"/>
  <c r="B657"/>
  <c r="M656"/>
  <c r="L656"/>
  <c r="K656"/>
  <c r="J656"/>
  <c r="I656"/>
  <c r="H656"/>
  <c r="G656"/>
  <c r="F656"/>
  <c r="E656"/>
  <c r="D656"/>
  <c r="C656"/>
  <c r="B656"/>
  <c r="M655"/>
  <c r="L655"/>
  <c r="K655"/>
  <c r="J655"/>
  <c r="I655"/>
  <c r="H655"/>
  <c r="G655"/>
  <c r="F655"/>
  <c r="E655"/>
  <c r="D655"/>
  <c r="C655"/>
  <c r="B655"/>
  <c r="M654"/>
  <c r="L654"/>
  <c r="K654"/>
  <c r="J654"/>
  <c r="I654"/>
  <c r="H654"/>
  <c r="G654"/>
  <c r="F654"/>
  <c r="E654"/>
  <c r="D654"/>
  <c r="C654"/>
  <c r="B654"/>
  <c r="M653"/>
  <c r="L653"/>
  <c r="K653"/>
  <c r="J653"/>
  <c r="I653"/>
  <c r="H653"/>
  <c r="G653"/>
  <c r="F653"/>
  <c r="E653"/>
  <c r="D653"/>
  <c r="C653"/>
  <c r="B653"/>
  <c r="M652"/>
  <c r="L652"/>
  <c r="K652"/>
  <c r="J652"/>
  <c r="I652"/>
  <c r="H652"/>
  <c r="G652"/>
  <c r="F652"/>
  <c r="E652"/>
  <c r="D652"/>
  <c r="C652"/>
  <c r="B652"/>
  <c r="M651"/>
  <c r="L651"/>
  <c r="K651"/>
  <c r="J651"/>
  <c r="I651"/>
  <c r="H651"/>
  <c r="G651"/>
  <c r="F651"/>
  <c r="E651"/>
  <c r="D651"/>
  <c r="C651"/>
  <c r="B651"/>
  <c r="M650"/>
  <c r="L650"/>
  <c r="K650"/>
  <c r="J650"/>
  <c r="I650"/>
  <c r="H650"/>
  <c r="G650"/>
  <c r="F650"/>
  <c r="E650"/>
  <c r="D650"/>
  <c r="C650"/>
  <c r="B650"/>
  <c r="M649"/>
  <c r="L649"/>
  <c r="K649"/>
  <c r="J649"/>
  <c r="I649"/>
  <c r="H649"/>
  <c r="G649"/>
  <c r="F649"/>
  <c r="E649"/>
  <c r="D649"/>
  <c r="C649"/>
  <c r="B649"/>
  <c r="M648"/>
  <c r="L648"/>
  <c r="K648"/>
  <c r="J648"/>
  <c r="I648"/>
  <c r="H648"/>
  <c r="G648"/>
  <c r="F648"/>
  <c r="E648"/>
  <c r="D648"/>
  <c r="C648"/>
  <c r="B648"/>
  <c r="M647"/>
  <c r="L647"/>
  <c r="K647"/>
  <c r="J647"/>
  <c r="I647"/>
  <c r="H647"/>
  <c r="G647"/>
  <c r="F647"/>
  <c r="E647"/>
  <c r="D647"/>
  <c r="C647"/>
  <c r="B647"/>
  <c r="M646"/>
  <c r="L646"/>
  <c r="K646"/>
  <c r="J646"/>
  <c r="I646"/>
  <c r="H646"/>
  <c r="G646"/>
  <c r="F646"/>
  <c r="E646"/>
  <c r="D646"/>
  <c r="C646"/>
  <c r="B646"/>
  <c r="M645"/>
  <c r="L645"/>
  <c r="K645"/>
  <c r="J645"/>
  <c r="I645"/>
  <c r="H645"/>
  <c r="G645"/>
  <c r="F645"/>
  <c r="E645"/>
  <c r="D645"/>
  <c r="C645"/>
  <c r="B645"/>
  <c r="M644"/>
  <c r="L644"/>
  <c r="K644"/>
  <c r="J644"/>
  <c r="I644"/>
  <c r="H644"/>
  <c r="G644"/>
  <c r="F644"/>
  <c r="E644"/>
  <c r="D644"/>
  <c r="C644"/>
  <c r="B644"/>
  <c r="M643"/>
  <c r="L643"/>
  <c r="K643"/>
  <c r="J643"/>
  <c r="I643"/>
  <c r="H643"/>
  <c r="G643"/>
  <c r="F643"/>
  <c r="E643"/>
  <c r="D643"/>
  <c r="C643"/>
  <c r="B643"/>
  <c r="AB593" l="1"/>
  <c r="AA593"/>
  <c r="Z593"/>
  <c r="Y593"/>
  <c r="X593"/>
  <c r="W593"/>
  <c r="V593"/>
  <c r="U593"/>
  <c r="T593"/>
  <c r="S593"/>
  <c r="R593"/>
  <c r="Q593"/>
  <c r="AB592"/>
  <c r="AA592"/>
  <c r="Z592"/>
  <c r="Y592"/>
  <c r="X592"/>
  <c r="W592"/>
  <c r="V592"/>
  <c r="U592"/>
  <c r="T592"/>
  <c r="S592"/>
  <c r="R592"/>
  <c r="Q592"/>
  <c r="AB591"/>
  <c r="AA591"/>
  <c r="Z591"/>
  <c r="Y591"/>
  <c r="X591"/>
  <c r="W591"/>
  <c r="V591"/>
  <c r="U591"/>
  <c r="T591"/>
  <c r="S591"/>
  <c r="R591"/>
  <c r="Q591"/>
  <c r="AB590"/>
  <c r="AA590"/>
  <c r="Z590"/>
  <c r="Y590"/>
  <c r="X590"/>
  <c r="W590"/>
  <c r="V590"/>
  <c r="U590"/>
  <c r="T590"/>
  <c r="S590"/>
  <c r="R590"/>
  <c r="Q590"/>
  <c r="AB589"/>
  <c r="AA589"/>
  <c r="Z589"/>
  <c r="Y589"/>
  <c r="X589"/>
  <c r="W589"/>
  <c r="V589"/>
  <c r="U589"/>
  <c r="T589"/>
  <c r="S589"/>
  <c r="R589"/>
  <c r="Q589"/>
  <c r="AB588"/>
  <c r="AA588"/>
  <c r="Z588"/>
  <c r="Y588"/>
  <c r="X588"/>
  <c r="W588"/>
  <c r="V588"/>
  <c r="U588"/>
  <c r="T588"/>
  <c r="S588"/>
  <c r="R588"/>
  <c r="Q588"/>
  <c r="AB587"/>
  <c r="AA587"/>
  <c r="Z587"/>
  <c r="Y587"/>
  <c r="X587"/>
  <c r="W587"/>
  <c r="V587"/>
  <c r="U587"/>
  <c r="T587"/>
  <c r="S587"/>
  <c r="R587"/>
  <c r="Q587"/>
  <c r="AB586"/>
  <c r="AA586"/>
  <c r="Z586"/>
  <c r="Y586"/>
  <c r="X586"/>
  <c r="W586"/>
  <c r="V586"/>
  <c r="U586"/>
  <c r="T586"/>
  <c r="S586"/>
  <c r="R586"/>
  <c r="Q586"/>
  <c r="AB585"/>
  <c r="AA585"/>
  <c r="Z585"/>
  <c r="Y585"/>
  <c r="X585"/>
  <c r="W585"/>
  <c r="V585"/>
  <c r="U585"/>
  <c r="T585"/>
  <c r="S585"/>
  <c r="R585"/>
  <c r="Q585"/>
  <c r="AB584"/>
  <c r="AA584"/>
  <c r="Z584"/>
  <c r="Y584"/>
  <c r="X584"/>
  <c r="W584"/>
  <c r="V584"/>
  <c r="U584"/>
  <c r="T584"/>
  <c r="S584"/>
  <c r="R584"/>
  <c r="Q584"/>
  <c r="AB583"/>
  <c r="AA583"/>
  <c r="Z583"/>
  <c r="Y583"/>
  <c r="X583"/>
  <c r="W583"/>
  <c r="V583"/>
  <c r="U583"/>
  <c r="T583"/>
  <c r="S583"/>
  <c r="R583"/>
  <c r="Q583"/>
  <c r="AB582"/>
  <c r="AA582"/>
  <c r="Z582"/>
  <c r="Y582"/>
  <c r="X582"/>
  <c r="W582"/>
  <c r="V582"/>
  <c r="U582"/>
  <c r="T582"/>
  <c r="S582"/>
  <c r="R582"/>
  <c r="Q582"/>
  <c r="AB581"/>
  <c r="AA581"/>
  <c r="Z581"/>
  <c r="Y581"/>
  <c r="X581"/>
  <c r="W581"/>
  <c r="V581"/>
  <c r="U581"/>
  <c r="T581"/>
  <c r="S581"/>
  <c r="R581"/>
  <c r="Q581"/>
  <c r="AB580"/>
  <c r="AA580"/>
  <c r="Z580"/>
  <c r="Y580"/>
  <c r="X580"/>
  <c r="W580"/>
  <c r="V580"/>
  <c r="U580"/>
  <c r="T580"/>
  <c r="S580"/>
  <c r="R580"/>
  <c r="Q580"/>
  <c r="AB579"/>
  <c r="AA579"/>
  <c r="Z579"/>
  <c r="Y579"/>
  <c r="X579"/>
  <c r="W579"/>
  <c r="V579"/>
  <c r="U579"/>
  <c r="T579"/>
  <c r="S579"/>
  <c r="R579"/>
  <c r="Q579"/>
  <c r="AB578"/>
  <c r="AA578"/>
  <c r="Z578"/>
  <c r="Y578"/>
  <c r="X578"/>
  <c r="W578"/>
  <c r="V578"/>
  <c r="U578"/>
  <c r="T578"/>
  <c r="S578"/>
  <c r="R578"/>
  <c r="Q578"/>
  <c r="AB577"/>
  <c r="AA577"/>
  <c r="Z577"/>
  <c r="Y577"/>
  <c r="X577"/>
  <c r="W577"/>
  <c r="V577"/>
  <c r="U577"/>
  <c r="T577"/>
  <c r="S577"/>
  <c r="R577"/>
  <c r="Q577"/>
  <c r="AB576"/>
  <c r="AA576"/>
  <c r="Z576"/>
  <c r="Y576"/>
  <c r="X576"/>
  <c r="W576"/>
  <c r="V576"/>
  <c r="U576"/>
  <c r="T576"/>
  <c r="S576"/>
  <c r="R576"/>
  <c r="Q576"/>
  <c r="AB575"/>
  <c r="AA575"/>
  <c r="Z575"/>
  <c r="Y575"/>
  <c r="X575"/>
  <c r="W575"/>
  <c r="V575"/>
  <c r="U575"/>
  <c r="T575"/>
  <c r="S575"/>
  <c r="R575"/>
  <c r="Q575"/>
  <c r="AB574"/>
  <c r="AA574"/>
  <c r="Z574"/>
  <c r="Y574"/>
  <c r="X574"/>
  <c r="W574"/>
  <c r="V574"/>
  <c r="U574"/>
  <c r="T574"/>
  <c r="S574"/>
  <c r="R574"/>
  <c r="Q574"/>
  <c r="AB573"/>
  <c r="AA573"/>
  <c r="Z573"/>
  <c r="Y573"/>
  <c r="X573"/>
  <c r="W573"/>
  <c r="V573"/>
  <c r="U573"/>
  <c r="T573"/>
  <c r="S573"/>
  <c r="R573"/>
  <c r="Q573"/>
  <c r="AB572"/>
  <c r="AA572"/>
  <c r="Z572"/>
  <c r="Y572"/>
  <c r="X572"/>
  <c r="W572"/>
  <c r="V572"/>
  <c r="U572"/>
  <c r="T572"/>
  <c r="S572"/>
  <c r="R572"/>
  <c r="Q572"/>
  <c r="AB571"/>
  <c r="AA571"/>
  <c r="Z571"/>
  <c r="Y571"/>
  <c r="X571"/>
  <c r="W571"/>
  <c r="V571"/>
  <c r="U571"/>
  <c r="T571"/>
  <c r="S571"/>
  <c r="R571"/>
  <c r="Q571"/>
  <c r="AB570"/>
  <c r="AA570"/>
  <c r="Z570"/>
  <c r="Y570"/>
  <c r="X570"/>
  <c r="W570"/>
  <c r="V570"/>
  <c r="U570"/>
  <c r="T570"/>
  <c r="S570"/>
  <c r="R570"/>
  <c r="Q570"/>
  <c r="AB569"/>
  <c r="AA569"/>
  <c r="Z569"/>
  <c r="Y569"/>
  <c r="X569"/>
  <c r="W569"/>
  <c r="V569"/>
  <c r="U569"/>
  <c r="T569"/>
  <c r="S569"/>
  <c r="R569"/>
  <c r="Q569"/>
  <c r="AB568"/>
  <c r="AA568"/>
  <c r="Z568"/>
  <c r="Y568"/>
  <c r="X568"/>
  <c r="W568"/>
  <c r="V568"/>
  <c r="U568"/>
  <c r="T568"/>
  <c r="S568"/>
  <c r="R568"/>
  <c r="Q568"/>
  <c r="AB567"/>
  <c r="AA567"/>
  <c r="Z567"/>
  <c r="Y567"/>
  <c r="X567"/>
  <c r="W567"/>
  <c r="V567"/>
  <c r="U567"/>
  <c r="T567"/>
  <c r="S567"/>
  <c r="R567"/>
  <c r="Q567"/>
  <c r="AB566"/>
  <c r="AA566"/>
  <c r="Z566"/>
  <c r="Y566"/>
  <c r="X566"/>
  <c r="W566"/>
  <c r="V566"/>
  <c r="U566"/>
  <c r="T566"/>
  <c r="S566"/>
  <c r="R566"/>
  <c r="Q566"/>
  <c r="AB565"/>
  <c r="AA565"/>
  <c r="Z565"/>
  <c r="Y565"/>
  <c r="X565"/>
  <c r="W565"/>
  <c r="V565"/>
  <c r="U565"/>
  <c r="T565"/>
  <c r="S565"/>
  <c r="R565"/>
  <c r="Q565"/>
  <c r="AB564"/>
  <c r="AA564"/>
  <c r="Z564"/>
  <c r="Y564"/>
  <c r="X564"/>
  <c r="W564"/>
  <c r="V564"/>
  <c r="U564"/>
  <c r="T564"/>
  <c r="S564"/>
  <c r="R564"/>
  <c r="Q564"/>
  <c r="AB563"/>
  <c r="AA563"/>
  <c r="Z563"/>
  <c r="Y563"/>
  <c r="X563"/>
  <c r="W563"/>
  <c r="V563"/>
  <c r="U563"/>
  <c r="T563"/>
  <c r="S563"/>
  <c r="R563"/>
  <c r="Q563"/>
  <c r="T195" i="22" l="1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AB168"/>
  <c r="AA168"/>
  <c r="Z168"/>
  <c r="Y168"/>
  <c r="X168"/>
  <c r="W168"/>
  <c r="V168"/>
  <c r="U168"/>
  <c r="T168"/>
  <c r="AE167"/>
  <c r="AD167"/>
  <c r="AC167"/>
  <c r="AB167"/>
  <c r="AA167"/>
  <c r="Z167"/>
  <c r="Y167"/>
  <c r="X167"/>
  <c r="W167"/>
  <c r="V167"/>
  <c r="U167"/>
  <c r="T167"/>
  <c r="AE166"/>
  <c r="AD166"/>
  <c r="AC166"/>
  <c r="AB166"/>
  <c r="AA166"/>
  <c r="Z166"/>
  <c r="Y166"/>
  <c r="X166"/>
  <c r="W166"/>
  <c r="V166"/>
  <c r="U166"/>
  <c r="T166"/>
  <c r="T162"/>
  <c r="AH195"/>
  <c r="AH194"/>
  <c r="AH193"/>
  <c r="AH192"/>
  <c r="AH191"/>
  <c r="AH190"/>
  <c r="AH189"/>
  <c r="AH188"/>
  <c r="AH187"/>
  <c r="AH186"/>
  <c r="AH185"/>
  <c r="AH184"/>
  <c r="AH183"/>
  <c r="AH182"/>
  <c r="AH181"/>
  <c r="AH180"/>
  <c r="AH179"/>
  <c r="AH178"/>
  <c r="AH177"/>
  <c r="AH176"/>
  <c r="AH175"/>
  <c r="AH174"/>
  <c r="AH173"/>
  <c r="AH172"/>
  <c r="AH171"/>
  <c r="AH170"/>
  <c r="AH169"/>
  <c r="AO168"/>
  <c r="AN168"/>
  <c r="AM168"/>
  <c r="AL168"/>
  <c r="AK168"/>
  <c r="AJ168"/>
  <c r="AI168"/>
  <c r="AH168"/>
  <c r="AS167"/>
  <c r="AR167"/>
  <c r="AQ167"/>
  <c r="AP167"/>
  <c r="AO167"/>
  <c r="AN167"/>
  <c r="AM167"/>
  <c r="AL167"/>
  <c r="AK167"/>
  <c r="AJ167"/>
  <c r="AI167"/>
  <c r="AH167"/>
  <c r="AS166"/>
  <c r="AR166"/>
  <c r="AQ166"/>
  <c r="AP166"/>
  <c r="AO166"/>
  <c r="AN166"/>
  <c r="AM166"/>
  <c r="AL166"/>
  <c r="AK166"/>
  <c r="AJ166"/>
  <c r="AI166"/>
  <c r="AH166"/>
  <c r="AS165"/>
  <c r="AR165"/>
  <c r="AQ165"/>
  <c r="AP165"/>
  <c r="AO165"/>
  <c r="AN165"/>
  <c r="AM165"/>
  <c r="AL165"/>
  <c r="AK165"/>
  <c r="AJ165"/>
  <c r="AI165"/>
  <c r="AH165"/>
  <c r="AS164"/>
  <c r="AR164"/>
  <c r="AQ164"/>
  <c r="AP164"/>
  <c r="AO164"/>
  <c r="AN164"/>
  <c r="AM164"/>
  <c r="AL164"/>
  <c r="AK164"/>
  <c r="AJ164"/>
  <c r="AI164"/>
  <c r="AH164"/>
  <c r="AS163"/>
  <c r="AR163"/>
  <c r="AQ163"/>
  <c r="AP163"/>
  <c r="AO163"/>
  <c r="AN163"/>
  <c r="AM163"/>
  <c r="AL163"/>
  <c r="AK163"/>
  <c r="AJ163"/>
  <c r="AI163"/>
  <c r="AH163"/>
  <c r="AS162"/>
  <c r="AR162"/>
  <c r="AQ162"/>
  <c r="AP162"/>
  <c r="AO162"/>
  <c r="AN162"/>
  <c r="AM162"/>
  <c r="AL162"/>
  <c r="AK162"/>
  <c r="AJ162"/>
  <c r="AI162"/>
  <c r="AH162"/>
  <c r="AS161"/>
  <c r="AR161"/>
  <c r="AQ161"/>
  <c r="AP161"/>
  <c r="AO161"/>
  <c r="AN161"/>
  <c r="AM161"/>
  <c r="AL161"/>
  <c r="AK161"/>
  <c r="AJ161"/>
  <c r="AI161"/>
  <c r="AH161"/>
  <c r="AS160"/>
  <c r="AR160"/>
  <c r="AQ160"/>
  <c r="AP160"/>
  <c r="AO160"/>
  <c r="AN160"/>
  <c r="AM160"/>
  <c r="AL160"/>
  <c r="AK160"/>
  <c r="AJ160"/>
  <c r="AI160"/>
  <c r="AH160"/>
  <c r="T73" i="35" l="1"/>
  <c r="S73"/>
  <c r="P73"/>
  <c r="T72"/>
  <c r="S72"/>
  <c r="P72"/>
  <c r="T71"/>
  <c r="S71"/>
  <c r="P71"/>
  <c r="T70"/>
  <c r="S70"/>
  <c r="P70"/>
  <c r="T69"/>
  <c r="S69"/>
  <c r="P69"/>
  <c r="T68"/>
  <c r="S68"/>
  <c r="P68"/>
  <c r="T67"/>
  <c r="S67"/>
  <c r="P67"/>
  <c r="T66"/>
  <c r="S66"/>
  <c r="P66"/>
  <c r="T65"/>
  <c r="S65"/>
  <c r="P65"/>
  <c r="T64"/>
  <c r="S64"/>
  <c r="P64"/>
  <c r="T63"/>
  <c r="S63"/>
  <c r="P63"/>
  <c r="T62"/>
  <c r="S62"/>
  <c r="P62"/>
  <c r="T61"/>
  <c r="S61"/>
  <c r="P61"/>
  <c r="T60"/>
  <c r="S60"/>
  <c r="P60"/>
  <c r="T59"/>
  <c r="S59"/>
  <c r="P59"/>
  <c r="T58"/>
  <c r="S58"/>
  <c r="P58"/>
  <c r="T57"/>
  <c r="S57"/>
  <c r="P57"/>
  <c r="T56"/>
  <c r="S56"/>
  <c r="P56"/>
  <c r="T55"/>
  <c r="S55"/>
  <c r="P55"/>
  <c r="T54"/>
  <c r="S54"/>
  <c r="P54"/>
  <c r="T53"/>
  <c r="S53"/>
  <c r="P53"/>
  <c r="T52"/>
  <c r="S52"/>
  <c r="P52"/>
  <c r="T51"/>
  <c r="S51"/>
  <c r="P51"/>
  <c r="T50"/>
  <c r="S50"/>
  <c r="P50"/>
  <c r="T49"/>
  <c r="S49"/>
  <c r="P49"/>
  <c r="T48"/>
  <c r="S48"/>
  <c r="P48"/>
  <c r="T47"/>
  <c r="S47"/>
  <c r="P47"/>
  <c r="T46"/>
  <c r="S46"/>
  <c r="P46"/>
  <c r="S45"/>
  <c r="Q45"/>
  <c r="P45"/>
  <c r="S44"/>
  <c r="Q44"/>
  <c r="P44"/>
  <c r="S43"/>
  <c r="Q43"/>
  <c r="P43"/>
  <c r="S42"/>
  <c r="Q42"/>
  <c r="P42"/>
  <c r="S41"/>
  <c r="Q41"/>
  <c r="P41"/>
  <c r="S40"/>
  <c r="Q40"/>
  <c r="P40"/>
  <c r="S39"/>
  <c r="Q39"/>
  <c r="P39"/>
  <c r="S38"/>
  <c r="Q38"/>
  <c r="P38"/>
  <c r="S37"/>
  <c r="Q37"/>
  <c r="P37"/>
  <c r="S36"/>
  <c r="Q36"/>
  <c r="P36"/>
  <c r="Q35"/>
  <c r="P35"/>
  <c r="Q34"/>
  <c r="P34"/>
  <c r="Q33"/>
  <c r="P33"/>
  <c r="Q32"/>
  <c r="P32"/>
  <c r="Q31"/>
  <c r="P31"/>
  <c r="P30"/>
  <c r="P29"/>
  <c r="T73" i="34"/>
  <c r="S73"/>
  <c r="P73"/>
  <c r="T72"/>
  <c r="S72"/>
  <c r="P72"/>
  <c r="T71"/>
  <c r="S71"/>
  <c r="P71"/>
  <c r="T70"/>
  <c r="S70"/>
  <c r="P70"/>
  <c r="T69"/>
  <c r="S69"/>
  <c r="P69"/>
  <c r="T68"/>
  <c r="S68"/>
  <c r="P68"/>
  <c r="T67"/>
  <c r="S67"/>
  <c r="P67"/>
  <c r="T66"/>
  <c r="S66"/>
  <c r="P66"/>
  <c r="T65"/>
  <c r="S65"/>
  <c r="P65"/>
  <c r="T64"/>
  <c r="S64"/>
  <c r="P64"/>
  <c r="T63"/>
  <c r="S63"/>
  <c r="P63"/>
  <c r="T62"/>
  <c r="S62"/>
  <c r="P62"/>
  <c r="T61"/>
  <c r="S61"/>
  <c r="P61"/>
  <c r="T60"/>
  <c r="S60"/>
  <c r="P60"/>
  <c r="T59"/>
  <c r="S59"/>
  <c r="P59"/>
  <c r="T58"/>
  <c r="S58"/>
  <c r="P58"/>
  <c r="T57"/>
  <c r="S57"/>
  <c r="P57"/>
  <c r="T56"/>
  <c r="S56"/>
  <c r="P56"/>
  <c r="T55"/>
  <c r="S55"/>
  <c r="P55"/>
  <c r="T54"/>
  <c r="S54"/>
  <c r="P54"/>
  <c r="T53"/>
  <c r="S53"/>
  <c r="P53"/>
  <c r="T52"/>
  <c r="S52"/>
  <c r="P52"/>
  <c r="T51"/>
  <c r="S51"/>
  <c r="P51"/>
  <c r="T50"/>
  <c r="S50"/>
  <c r="P50"/>
  <c r="T49"/>
  <c r="S49"/>
  <c r="P49"/>
  <c r="T48"/>
  <c r="S48"/>
  <c r="P48"/>
  <c r="T47"/>
  <c r="S47"/>
  <c r="P47"/>
  <c r="T46"/>
  <c r="S46"/>
  <c r="P46"/>
  <c r="T45"/>
  <c r="S45"/>
  <c r="P45"/>
  <c r="S44"/>
  <c r="Q44"/>
  <c r="P44"/>
  <c r="S43"/>
  <c r="Q43"/>
  <c r="P43"/>
  <c r="S42"/>
  <c r="Q42"/>
  <c r="P42"/>
  <c r="S41"/>
  <c r="Q41"/>
  <c r="P41"/>
  <c r="S40"/>
  <c r="Q40"/>
  <c r="P40"/>
  <c r="S39"/>
  <c r="Q39"/>
  <c r="P39"/>
  <c r="S38"/>
  <c r="Q38"/>
  <c r="P38"/>
  <c r="S37"/>
  <c r="Q37"/>
  <c r="P37"/>
  <c r="S36"/>
  <c r="Q36"/>
  <c r="P36"/>
  <c r="Q35"/>
  <c r="P35"/>
  <c r="Q34"/>
  <c r="P34"/>
  <c r="Q33"/>
  <c r="P33"/>
  <c r="Q32"/>
  <c r="P32"/>
  <c r="Q31"/>
  <c r="P31"/>
  <c r="P30"/>
  <c r="P29"/>
  <c r="T73" i="33"/>
  <c r="S73"/>
  <c r="P73"/>
  <c r="T72"/>
  <c r="S72"/>
  <c r="P72"/>
  <c r="T71"/>
  <c r="S71"/>
  <c r="P71"/>
  <c r="T70"/>
  <c r="S70"/>
  <c r="P70"/>
  <c r="T69"/>
  <c r="S69"/>
  <c r="P69"/>
  <c r="T68"/>
  <c r="S68"/>
  <c r="P68"/>
  <c r="T67"/>
  <c r="S67"/>
  <c r="P67"/>
  <c r="T66"/>
  <c r="S66"/>
  <c r="P66"/>
  <c r="T65"/>
  <c r="S65"/>
  <c r="P65"/>
  <c r="T64"/>
  <c r="S64"/>
  <c r="P64"/>
  <c r="T63"/>
  <c r="S63"/>
  <c r="P63"/>
  <c r="T62"/>
  <c r="S62"/>
  <c r="P62"/>
  <c r="T61"/>
  <c r="S61"/>
  <c r="P61"/>
  <c r="T60"/>
  <c r="S60"/>
  <c r="P60"/>
  <c r="T59"/>
  <c r="S59"/>
  <c r="P59"/>
  <c r="T58"/>
  <c r="S58"/>
  <c r="P58"/>
  <c r="T57"/>
  <c r="S57"/>
  <c r="P57"/>
  <c r="T56"/>
  <c r="S56"/>
  <c r="P56"/>
  <c r="T55"/>
  <c r="S55"/>
  <c r="P55"/>
  <c r="T54"/>
  <c r="S54"/>
  <c r="P54"/>
  <c r="T53"/>
  <c r="S53"/>
  <c r="P53"/>
  <c r="T52"/>
  <c r="S52"/>
  <c r="P52"/>
  <c r="T51"/>
  <c r="S51"/>
  <c r="P51"/>
  <c r="T50"/>
  <c r="S50"/>
  <c r="P50"/>
  <c r="T49"/>
  <c r="S49"/>
  <c r="P49"/>
  <c r="T48"/>
  <c r="S48"/>
  <c r="P48"/>
  <c r="T47"/>
  <c r="S47"/>
  <c r="P47"/>
  <c r="T46"/>
  <c r="S46"/>
  <c r="P46"/>
  <c r="S45"/>
  <c r="Q45"/>
  <c r="P45"/>
  <c r="S44"/>
  <c r="Q44"/>
  <c r="P44"/>
  <c r="S43"/>
  <c r="Q43"/>
  <c r="P43"/>
  <c r="S42"/>
  <c r="Q42"/>
  <c r="P42"/>
  <c r="S41"/>
  <c r="Q41"/>
  <c r="P41"/>
  <c r="S40"/>
  <c r="Q40"/>
  <c r="P40"/>
  <c r="S39"/>
  <c r="Q39"/>
  <c r="P39"/>
  <c r="S38"/>
  <c r="Q38"/>
  <c r="P38"/>
  <c r="S37"/>
  <c r="Q37"/>
  <c r="P37"/>
  <c r="S36"/>
  <c r="Q36"/>
  <c r="P36"/>
  <c r="Q35"/>
  <c r="P35"/>
  <c r="Q34"/>
  <c r="P34"/>
  <c r="Q33"/>
  <c r="P33"/>
  <c r="Q32"/>
  <c r="P32"/>
  <c r="Q31"/>
  <c r="P31"/>
  <c r="P30"/>
  <c r="P29"/>
  <c r="T73" i="32"/>
  <c r="S73"/>
  <c r="P73"/>
  <c r="T72"/>
  <c r="S72"/>
  <c r="P72"/>
  <c r="T71"/>
  <c r="S71"/>
  <c r="P71"/>
  <c r="T70"/>
  <c r="S70"/>
  <c r="P70"/>
  <c r="T69"/>
  <c r="S69"/>
  <c r="P69"/>
  <c r="T68"/>
  <c r="S68"/>
  <c r="P68"/>
  <c r="T67"/>
  <c r="S67"/>
  <c r="P67"/>
  <c r="T66"/>
  <c r="S66"/>
  <c r="P66"/>
  <c r="T65"/>
  <c r="S65"/>
  <c r="P65"/>
  <c r="T64"/>
  <c r="S64"/>
  <c r="P64"/>
  <c r="T63"/>
  <c r="S63"/>
  <c r="P63"/>
  <c r="T62"/>
  <c r="S62"/>
  <c r="P62"/>
  <c r="T61"/>
  <c r="S61"/>
  <c r="P61"/>
  <c r="T60"/>
  <c r="S60"/>
  <c r="P60"/>
  <c r="T59"/>
  <c r="S59"/>
  <c r="P59"/>
  <c r="T58"/>
  <c r="S58"/>
  <c r="P58"/>
  <c r="T57"/>
  <c r="S57"/>
  <c r="P57"/>
  <c r="T56"/>
  <c r="S56"/>
  <c r="P56"/>
  <c r="T55"/>
  <c r="S55"/>
  <c r="P55"/>
  <c r="T54"/>
  <c r="S54"/>
  <c r="P54"/>
  <c r="T53"/>
  <c r="S53"/>
  <c r="P53"/>
  <c r="T52"/>
  <c r="S52"/>
  <c r="P52"/>
  <c r="T51"/>
  <c r="S51"/>
  <c r="P51"/>
  <c r="T50"/>
  <c r="S50"/>
  <c r="P50"/>
  <c r="T49"/>
  <c r="S49"/>
  <c r="P49"/>
  <c r="T48"/>
  <c r="S48"/>
  <c r="P48"/>
  <c r="T47"/>
  <c r="S47"/>
  <c r="P47"/>
  <c r="T46"/>
  <c r="S46"/>
  <c r="P46"/>
  <c r="S45"/>
  <c r="Q45"/>
  <c r="P45"/>
  <c r="S44"/>
  <c r="Q44"/>
  <c r="P44"/>
  <c r="S43"/>
  <c r="Q43"/>
  <c r="P43"/>
  <c r="S42"/>
  <c r="Q42"/>
  <c r="P42"/>
  <c r="S41"/>
  <c r="Q41"/>
  <c r="P41"/>
  <c r="S40"/>
  <c r="Q40"/>
  <c r="P40"/>
  <c r="S39"/>
  <c r="Q39"/>
  <c r="P39"/>
  <c r="S38"/>
  <c r="Q38"/>
  <c r="P38"/>
  <c r="S37"/>
  <c r="Q37"/>
  <c r="P37"/>
  <c r="S36"/>
  <c r="Q36"/>
  <c r="P36"/>
  <c r="Q35"/>
  <c r="P35"/>
  <c r="Q34"/>
  <c r="P34"/>
  <c r="Q33"/>
  <c r="P33"/>
  <c r="Q32"/>
  <c r="P32"/>
  <c r="Q31"/>
  <c r="P31"/>
  <c r="P30"/>
  <c r="P29"/>
  <c r="Y73" i="6"/>
  <c r="X73"/>
  <c r="U73"/>
  <c r="Y72"/>
  <c r="X72"/>
  <c r="U72"/>
  <c r="Y71"/>
  <c r="X71"/>
  <c r="U71"/>
  <c r="Y70"/>
  <c r="X70"/>
  <c r="U70"/>
  <c r="Y69"/>
  <c r="X69"/>
  <c r="U69"/>
  <c r="Y68"/>
  <c r="X68"/>
  <c r="U68"/>
  <c r="Y67"/>
  <c r="X67"/>
  <c r="U67"/>
  <c r="Y66"/>
  <c r="X66"/>
  <c r="U66"/>
  <c r="Y65"/>
  <c r="X65"/>
  <c r="U65"/>
  <c r="Y64"/>
  <c r="X64"/>
  <c r="U64"/>
  <c r="Y63"/>
  <c r="X63"/>
  <c r="U63"/>
  <c r="Y62"/>
  <c r="X62"/>
  <c r="U62"/>
  <c r="Y61"/>
  <c r="X61"/>
  <c r="U61"/>
  <c r="Y60"/>
  <c r="X60"/>
  <c r="U60"/>
  <c r="Y59"/>
  <c r="X59"/>
  <c r="U59"/>
  <c r="Y58"/>
  <c r="X58"/>
  <c r="U58"/>
  <c r="Y57"/>
  <c r="X57"/>
  <c r="U57"/>
  <c r="Y56"/>
  <c r="X56"/>
  <c r="U56"/>
  <c r="Y55"/>
  <c r="X55"/>
  <c r="U55"/>
  <c r="Y54"/>
  <c r="X54"/>
  <c r="U54"/>
  <c r="Y53"/>
  <c r="X53"/>
  <c r="U53"/>
  <c r="Y52"/>
  <c r="X52"/>
  <c r="U52"/>
  <c r="Y51"/>
  <c r="X51"/>
  <c r="U51"/>
  <c r="Y50"/>
  <c r="X50"/>
  <c r="U50"/>
  <c r="Y49"/>
  <c r="X49"/>
  <c r="U49"/>
  <c r="Y48"/>
  <c r="X48"/>
  <c r="U48"/>
  <c r="Y47"/>
  <c r="X47"/>
  <c r="U47"/>
  <c r="Y46"/>
  <c r="X46"/>
  <c r="U46"/>
  <c r="X45"/>
  <c r="V45"/>
  <c r="U45"/>
  <c r="X44"/>
  <c r="V44"/>
  <c r="U44"/>
  <c r="X43"/>
  <c r="V43"/>
  <c r="U43"/>
  <c r="X42"/>
  <c r="V42"/>
  <c r="U42"/>
  <c r="X41"/>
  <c r="V41"/>
  <c r="U41"/>
  <c r="X40"/>
  <c r="V40"/>
  <c r="U40"/>
  <c r="X39"/>
  <c r="V39"/>
  <c r="U39"/>
  <c r="X38"/>
  <c r="V38"/>
  <c r="U38"/>
  <c r="X37"/>
  <c r="U37"/>
  <c r="X36"/>
  <c r="U36"/>
  <c r="U35"/>
  <c r="V34"/>
  <c r="U34"/>
  <c r="V33"/>
  <c r="U33"/>
  <c r="V32"/>
  <c r="U32"/>
  <c r="V31"/>
  <c r="U31"/>
  <c r="U30"/>
  <c r="U29"/>
  <c r="T73" i="31"/>
  <c r="S73"/>
  <c r="P73"/>
  <c r="T72"/>
  <c r="S72"/>
  <c r="P72"/>
  <c r="T71"/>
  <c r="S71"/>
  <c r="P71"/>
  <c r="T70"/>
  <c r="S70"/>
  <c r="P70"/>
  <c r="T69"/>
  <c r="S69"/>
  <c r="P69"/>
  <c r="T68"/>
  <c r="S68"/>
  <c r="P68"/>
  <c r="T67"/>
  <c r="S67"/>
  <c r="P67"/>
  <c r="T66"/>
  <c r="S66"/>
  <c r="P66"/>
  <c r="T65"/>
  <c r="S65"/>
  <c r="P65"/>
  <c r="T64"/>
  <c r="S64"/>
  <c r="P64"/>
  <c r="T63"/>
  <c r="S63"/>
  <c r="P63"/>
  <c r="T62"/>
  <c r="S62"/>
  <c r="P62"/>
  <c r="T61"/>
  <c r="S61"/>
  <c r="P61"/>
  <c r="T60"/>
  <c r="S60"/>
  <c r="P60"/>
  <c r="T59"/>
  <c r="S59"/>
  <c r="P59"/>
  <c r="T58"/>
  <c r="S58"/>
  <c r="P58"/>
  <c r="T57"/>
  <c r="S57"/>
  <c r="P57"/>
  <c r="T56"/>
  <c r="S56"/>
  <c r="P56"/>
  <c r="T55"/>
  <c r="S55"/>
  <c r="P55"/>
  <c r="T54"/>
  <c r="S54"/>
  <c r="P54"/>
  <c r="T53"/>
  <c r="S53"/>
  <c r="P53"/>
  <c r="T52"/>
  <c r="S52"/>
  <c r="P52"/>
  <c r="T51"/>
  <c r="S51"/>
  <c r="P51"/>
  <c r="T50"/>
  <c r="S50"/>
  <c r="P50"/>
  <c r="T49"/>
  <c r="S49"/>
  <c r="P49"/>
  <c r="T48"/>
  <c r="S48"/>
  <c r="P48"/>
  <c r="T47"/>
  <c r="S47"/>
  <c r="P47"/>
  <c r="T46"/>
  <c r="S46"/>
  <c r="P46"/>
  <c r="S45"/>
  <c r="Q45"/>
  <c r="P45"/>
  <c r="S44"/>
  <c r="Q44"/>
  <c r="P44"/>
  <c r="S43"/>
  <c r="Q43"/>
  <c r="P43"/>
  <c r="S42"/>
  <c r="Q42"/>
  <c r="P42"/>
  <c r="S41"/>
  <c r="Q41"/>
  <c r="P41"/>
  <c r="S40"/>
  <c r="Q40"/>
  <c r="P40"/>
  <c r="S39"/>
  <c r="Q39"/>
  <c r="P39"/>
  <c r="S38"/>
  <c r="Q38"/>
  <c r="P38"/>
  <c r="S37"/>
  <c r="Q37"/>
  <c r="P37"/>
  <c r="S36"/>
  <c r="Q36"/>
  <c r="P36"/>
  <c r="Q35"/>
  <c r="P35"/>
  <c r="Q34"/>
  <c r="P34"/>
  <c r="Q33"/>
  <c r="P33"/>
  <c r="Q32"/>
  <c r="P32"/>
  <c r="Q31"/>
  <c r="P31"/>
  <c r="P30"/>
  <c r="P29"/>
  <c r="T73" i="30"/>
  <c r="S73"/>
  <c r="P73"/>
  <c r="T72"/>
  <c r="S72"/>
  <c r="P72"/>
  <c r="T71"/>
  <c r="S71"/>
  <c r="P71"/>
  <c r="T70"/>
  <c r="S70"/>
  <c r="P70"/>
  <c r="T69"/>
  <c r="S69"/>
  <c r="P69"/>
  <c r="T68"/>
  <c r="S68"/>
  <c r="P68"/>
  <c r="T67"/>
  <c r="S67"/>
  <c r="P67"/>
  <c r="T66"/>
  <c r="S66"/>
  <c r="P66"/>
  <c r="T65"/>
  <c r="S65"/>
  <c r="P65"/>
  <c r="T64"/>
  <c r="S64"/>
  <c r="P64"/>
  <c r="T63"/>
  <c r="S63"/>
  <c r="P63"/>
  <c r="T62"/>
  <c r="S62"/>
  <c r="P62"/>
  <c r="T61"/>
  <c r="S61"/>
  <c r="P61"/>
  <c r="T60"/>
  <c r="S60"/>
  <c r="P60"/>
  <c r="T59"/>
  <c r="S59"/>
  <c r="P59"/>
  <c r="T58"/>
  <c r="S58"/>
  <c r="P58"/>
  <c r="T57"/>
  <c r="S57"/>
  <c r="P57"/>
  <c r="T56"/>
  <c r="S56"/>
  <c r="P56"/>
  <c r="T55"/>
  <c r="S55"/>
  <c r="P55"/>
  <c r="T54"/>
  <c r="S54"/>
  <c r="P54"/>
  <c r="T53"/>
  <c r="S53"/>
  <c r="P53"/>
  <c r="T52"/>
  <c r="S52"/>
  <c r="P52"/>
  <c r="T51"/>
  <c r="S51"/>
  <c r="P51"/>
  <c r="T50"/>
  <c r="S50"/>
  <c r="P50"/>
  <c r="T49"/>
  <c r="S49"/>
  <c r="P49"/>
  <c r="T48"/>
  <c r="S48"/>
  <c r="P48"/>
  <c r="T47"/>
  <c r="S47"/>
  <c r="P47"/>
  <c r="S46"/>
  <c r="Q46"/>
  <c r="P46"/>
  <c r="S45"/>
  <c r="Q45"/>
  <c r="P45"/>
  <c r="S44"/>
  <c r="Q44"/>
  <c r="P44"/>
  <c r="S43"/>
  <c r="Q43"/>
  <c r="P43"/>
  <c r="S42"/>
  <c r="Q42"/>
  <c r="P42"/>
  <c r="S41"/>
  <c r="Q41"/>
  <c r="P41"/>
  <c r="S40"/>
  <c r="Q40"/>
  <c r="P40"/>
  <c r="S39"/>
  <c r="Q39"/>
  <c r="P39"/>
  <c r="S38"/>
  <c r="Q38"/>
  <c r="P38"/>
  <c r="S37"/>
  <c r="Q37"/>
  <c r="P37"/>
  <c r="S36"/>
  <c r="Q36"/>
  <c r="P36"/>
  <c r="Q35"/>
  <c r="P35"/>
  <c r="Q34"/>
  <c r="P34"/>
  <c r="Q33"/>
  <c r="P33"/>
  <c r="Q32"/>
  <c r="P32"/>
  <c r="Q31"/>
  <c r="P31"/>
  <c r="P30"/>
  <c r="P29"/>
  <c r="T73" i="29"/>
  <c r="S73"/>
  <c r="P73"/>
  <c r="T72"/>
  <c r="S72"/>
  <c r="P72"/>
  <c r="T71"/>
  <c r="S71"/>
  <c r="P71"/>
  <c r="T70"/>
  <c r="S70"/>
  <c r="P70"/>
  <c r="T69"/>
  <c r="S69"/>
  <c r="P69"/>
  <c r="T68"/>
  <c r="S68"/>
  <c r="P68"/>
  <c r="T67"/>
  <c r="S67"/>
  <c r="P67"/>
  <c r="T66"/>
  <c r="S66"/>
  <c r="P66"/>
  <c r="T65"/>
  <c r="S65"/>
  <c r="P65"/>
  <c r="T64"/>
  <c r="S64"/>
  <c r="P64"/>
  <c r="T63"/>
  <c r="S63"/>
  <c r="P63"/>
  <c r="T62"/>
  <c r="S62"/>
  <c r="P62"/>
  <c r="T61"/>
  <c r="S61"/>
  <c r="P61"/>
  <c r="T60"/>
  <c r="S60"/>
  <c r="P60"/>
  <c r="T59"/>
  <c r="S59"/>
  <c r="P59"/>
  <c r="T58"/>
  <c r="S58"/>
  <c r="P58"/>
  <c r="T57"/>
  <c r="S57"/>
  <c r="P57"/>
  <c r="T56"/>
  <c r="S56"/>
  <c r="P56"/>
  <c r="T55"/>
  <c r="S55"/>
  <c r="P55"/>
  <c r="T54"/>
  <c r="S54"/>
  <c r="P54"/>
  <c r="T53"/>
  <c r="S53"/>
  <c r="P53"/>
  <c r="T52"/>
  <c r="S52"/>
  <c r="P52"/>
  <c r="T51"/>
  <c r="S51"/>
  <c r="P51"/>
  <c r="T50"/>
  <c r="S50"/>
  <c r="P50"/>
  <c r="T49"/>
  <c r="S49"/>
  <c r="P49"/>
  <c r="T48"/>
  <c r="S48"/>
  <c r="P48"/>
  <c r="T47"/>
  <c r="S47"/>
  <c r="P47"/>
  <c r="S46"/>
  <c r="Q46"/>
  <c r="P46"/>
  <c r="S45"/>
  <c r="Q45"/>
  <c r="P45"/>
  <c r="S44"/>
  <c r="Q44"/>
  <c r="P44"/>
  <c r="S43"/>
  <c r="Q43"/>
  <c r="P43"/>
  <c r="S42"/>
  <c r="Q42"/>
  <c r="P42"/>
  <c r="S41"/>
  <c r="Q41"/>
  <c r="P41"/>
  <c r="S40"/>
  <c r="Q40"/>
  <c r="P40"/>
  <c r="S39"/>
  <c r="Q39"/>
  <c r="P39"/>
  <c r="S38"/>
  <c r="Q38"/>
  <c r="P38"/>
  <c r="S37"/>
  <c r="Q37"/>
  <c r="P37"/>
  <c r="S36"/>
  <c r="Q36"/>
  <c r="P36"/>
  <c r="Q35"/>
  <c r="P35"/>
  <c r="Q34"/>
  <c r="P34"/>
  <c r="Q33"/>
  <c r="P33"/>
  <c r="Q32"/>
  <c r="P32"/>
  <c r="Q31"/>
  <c r="P31"/>
  <c r="P30"/>
  <c r="P29"/>
  <c r="T73" i="28"/>
  <c r="S73"/>
  <c r="P73"/>
  <c r="T72"/>
  <c r="S72"/>
  <c r="P72"/>
  <c r="T71"/>
  <c r="S71"/>
  <c r="P71"/>
  <c r="T70"/>
  <c r="S70"/>
  <c r="P70"/>
  <c r="T69"/>
  <c r="S69"/>
  <c r="P69"/>
  <c r="T68"/>
  <c r="S68"/>
  <c r="P68"/>
  <c r="T67"/>
  <c r="S67"/>
  <c r="P67"/>
  <c r="T66"/>
  <c r="S66"/>
  <c r="P66"/>
  <c r="T65"/>
  <c r="S65"/>
  <c r="P65"/>
  <c r="T64"/>
  <c r="S64"/>
  <c r="P64"/>
  <c r="T63"/>
  <c r="S63"/>
  <c r="P63"/>
  <c r="T62"/>
  <c r="S62"/>
  <c r="P62"/>
  <c r="T61"/>
  <c r="S61"/>
  <c r="P61"/>
  <c r="T60"/>
  <c r="S60"/>
  <c r="P60"/>
  <c r="T59"/>
  <c r="S59"/>
  <c r="P59"/>
  <c r="T58"/>
  <c r="S58"/>
  <c r="P58"/>
  <c r="T57"/>
  <c r="S57"/>
  <c r="P57"/>
  <c r="T56"/>
  <c r="S56"/>
  <c r="P56"/>
  <c r="T55"/>
  <c r="S55"/>
  <c r="P55"/>
  <c r="T54"/>
  <c r="S54"/>
  <c r="P54"/>
  <c r="T53"/>
  <c r="S53"/>
  <c r="P53"/>
  <c r="T52"/>
  <c r="S52"/>
  <c r="P52"/>
  <c r="T51"/>
  <c r="S51"/>
  <c r="P51"/>
  <c r="T50"/>
  <c r="S50"/>
  <c r="P50"/>
  <c r="T49"/>
  <c r="S49"/>
  <c r="P49"/>
  <c r="T48"/>
  <c r="S48"/>
  <c r="P48"/>
  <c r="T47"/>
  <c r="S47"/>
  <c r="P47"/>
  <c r="S46"/>
  <c r="Q46"/>
  <c r="P46"/>
  <c r="S45"/>
  <c r="Q45"/>
  <c r="P45"/>
  <c r="S44"/>
  <c r="Q44"/>
  <c r="P44"/>
  <c r="S43"/>
  <c r="Q43"/>
  <c r="P43"/>
  <c r="S42"/>
  <c r="Q42"/>
  <c r="P42"/>
  <c r="S41"/>
  <c r="Q41"/>
  <c r="P41"/>
  <c r="S40"/>
  <c r="Q40"/>
  <c r="P40"/>
  <c r="S39"/>
  <c r="Q39"/>
  <c r="P39"/>
  <c r="S38"/>
  <c r="Q38"/>
  <c r="P38"/>
  <c r="S37"/>
  <c r="Q37"/>
  <c r="P37"/>
  <c r="S36"/>
  <c r="Q36"/>
  <c r="P36"/>
  <c r="Q35"/>
  <c r="P35"/>
  <c r="Q34"/>
  <c r="P34"/>
  <c r="Q33"/>
  <c r="P33"/>
  <c r="Q32"/>
  <c r="P32"/>
  <c r="P31"/>
  <c r="P30"/>
  <c r="P29"/>
  <c r="T73" i="19"/>
  <c r="S73"/>
  <c r="P73"/>
  <c r="T72"/>
  <c r="S72"/>
  <c r="P72"/>
  <c r="T71"/>
  <c r="S71"/>
  <c r="P71"/>
  <c r="T70"/>
  <c r="S70"/>
  <c r="P70"/>
  <c r="T69"/>
  <c r="S69"/>
  <c r="P69"/>
  <c r="T68"/>
  <c r="S68"/>
  <c r="P68"/>
  <c r="T67"/>
  <c r="S67"/>
  <c r="P67"/>
  <c r="T66"/>
  <c r="S66"/>
  <c r="P66"/>
  <c r="T65"/>
  <c r="S65"/>
  <c r="P65"/>
  <c r="T64"/>
  <c r="S64"/>
  <c r="P64"/>
  <c r="T63"/>
  <c r="S63"/>
  <c r="P63"/>
  <c r="T62"/>
  <c r="S62"/>
  <c r="P62"/>
  <c r="T61"/>
  <c r="S61"/>
  <c r="P61"/>
  <c r="T60"/>
  <c r="S60"/>
  <c r="P60"/>
  <c r="T59"/>
  <c r="S59"/>
  <c r="P59"/>
  <c r="T58"/>
  <c r="S58"/>
  <c r="P58"/>
  <c r="T57"/>
  <c r="S57"/>
  <c r="P57"/>
  <c r="T56"/>
  <c r="S56"/>
  <c r="P56"/>
  <c r="T55"/>
  <c r="S55"/>
  <c r="P55"/>
  <c r="T54"/>
  <c r="S54"/>
  <c r="P54"/>
  <c r="T53"/>
  <c r="S53"/>
  <c r="P53"/>
  <c r="T52"/>
  <c r="S52"/>
  <c r="P52"/>
  <c r="T51"/>
  <c r="S51"/>
  <c r="P51"/>
  <c r="T50"/>
  <c r="S50"/>
  <c r="P50"/>
  <c r="T49"/>
  <c r="S49"/>
  <c r="P49"/>
  <c r="T48"/>
  <c r="S48"/>
  <c r="P48"/>
  <c r="T47"/>
  <c r="S47"/>
  <c r="P47"/>
  <c r="S46"/>
  <c r="Q46"/>
  <c r="P46"/>
  <c r="S45"/>
  <c r="Q45"/>
  <c r="P45"/>
  <c r="S44"/>
  <c r="Q44"/>
  <c r="P44"/>
  <c r="S43"/>
  <c r="Q43"/>
  <c r="P43"/>
  <c r="S42"/>
  <c r="Q42"/>
  <c r="P42"/>
  <c r="S41"/>
  <c r="Q41"/>
  <c r="P41"/>
  <c r="S40"/>
  <c r="Q40"/>
  <c r="P40"/>
  <c r="S39"/>
  <c r="Q39"/>
  <c r="P39"/>
  <c r="S38"/>
  <c r="Q38"/>
  <c r="P38"/>
  <c r="S37"/>
  <c r="Q37"/>
  <c r="P37"/>
  <c r="S36"/>
  <c r="Q36"/>
  <c r="P36"/>
  <c r="Q35"/>
  <c r="P35"/>
  <c r="Q34"/>
  <c r="P34"/>
  <c r="Q33"/>
  <c r="P33"/>
  <c r="P32"/>
  <c r="P31"/>
  <c r="P30"/>
  <c r="P29"/>
  <c r="T73" i="18"/>
  <c r="S73"/>
  <c r="P73"/>
  <c r="T72"/>
  <c r="S72"/>
  <c r="P72"/>
  <c r="T71"/>
  <c r="S71"/>
  <c r="P71"/>
  <c r="T70"/>
  <c r="S70"/>
  <c r="P70"/>
  <c r="T69"/>
  <c r="S69"/>
  <c r="P69"/>
  <c r="T68"/>
  <c r="S68"/>
  <c r="P68"/>
  <c r="T67"/>
  <c r="S67"/>
  <c r="P67"/>
  <c r="T66"/>
  <c r="S66"/>
  <c r="P66"/>
  <c r="T65"/>
  <c r="S65"/>
  <c r="P65"/>
  <c r="T64"/>
  <c r="S64"/>
  <c r="P64"/>
  <c r="T63"/>
  <c r="S63"/>
  <c r="P63"/>
  <c r="T62"/>
  <c r="S62"/>
  <c r="P62"/>
  <c r="T61"/>
  <c r="S61"/>
  <c r="P61"/>
  <c r="T60"/>
  <c r="S60"/>
  <c r="P60"/>
  <c r="T59"/>
  <c r="S59"/>
  <c r="P59"/>
  <c r="T58"/>
  <c r="S58"/>
  <c r="P58"/>
  <c r="T57"/>
  <c r="S57"/>
  <c r="P57"/>
  <c r="T56"/>
  <c r="S56"/>
  <c r="P56"/>
  <c r="T55"/>
  <c r="S55"/>
  <c r="P55"/>
  <c r="T54"/>
  <c r="S54"/>
  <c r="P54"/>
  <c r="T53"/>
  <c r="S53"/>
  <c r="P53"/>
  <c r="T52"/>
  <c r="S52"/>
  <c r="P52"/>
  <c r="T51"/>
  <c r="S51"/>
  <c r="P51"/>
  <c r="T50"/>
  <c r="S50"/>
  <c r="P50"/>
  <c r="T49"/>
  <c r="S49"/>
  <c r="P49"/>
  <c r="T48"/>
  <c r="S48"/>
  <c r="P48"/>
  <c r="T47"/>
  <c r="S47"/>
  <c r="P47"/>
  <c r="S46"/>
  <c r="Q46"/>
  <c r="P46"/>
  <c r="S45"/>
  <c r="Q45"/>
  <c r="P45"/>
  <c r="S44"/>
  <c r="Q44"/>
  <c r="P44"/>
  <c r="S43"/>
  <c r="Q43"/>
  <c r="P43"/>
  <c r="S42"/>
  <c r="Q42"/>
  <c r="P42"/>
  <c r="S41"/>
  <c r="Q41"/>
  <c r="P41"/>
  <c r="S40"/>
  <c r="Q40"/>
  <c r="P40"/>
  <c r="S39"/>
  <c r="Q39"/>
  <c r="P39"/>
  <c r="S38"/>
  <c r="Q38"/>
  <c r="P38"/>
  <c r="S37"/>
  <c r="Q37"/>
  <c r="P37"/>
  <c r="S36"/>
  <c r="Q36"/>
  <c r="P36"/>
  <c r="Q35"/>
  <c r="P35"/>
  <c r="Q34"/>
  <c r="P34"/>
  <c r="Q33"/>
  <c r="P33"/>
  <c r="P32"/>
  <c r="P31"/>
  <c r="P30"/>
  <c r="P29"/>
  <c r="AA73" i="1"/>
  <c r="Z73"/>
  <c r="W73"/>
  <c r="AA72"/>
  <c r="Z72"/>
  <c r="W72"/>
  <c r="AA71"/>
  <c r="Z71"/>
  <c r="W71"/>
  <c r="AA70"/>
  <c r="Z70"/>
  <c r="W70"/>
  <c r="AA69"/>
  <c r="Z69"/>
  <c r="W69"/>
  <c r="AA68"/>
  <c r="Z68"/>
  <c r="W68"/>
  <c r="AA67"/>
  <c r="Z67"/>
  <c r="W67"/>
  <c r="AA66"/>
  <c r="Z66"/>
  <c r="W66"/>
  <c r="AA65"/>
  <c r="Z65"/>
  <c r="W65"/>
  <c r="AA64"/>
  <c r="Z64"/>
  <c r="W64"/>
  <c r="AA63"/>
  <c r="Z63"/>
  <c r="W63"/>
  <c r="AA62"/>
  <c r="Z62"/>
  <c r="W62"/>
  <c r="AA61"/>
  <c r="Z61"/>
  <c r="W61"/>
  <c r="AA60"/>
  <c r="Z60"/>
  <c r="W60"/>
  <c r="AA59"/>
  <c r="Z59"/>
  <c r="W59"/>
  <c r="AA58"/>
  <c r="Z58"/>
  <c r="W58"/>
  <c r="AA57"/>
  <c r="Z57"/>
  <c r="W57"/>
  <c r="AA56"/>
  <c r="Z56"/>
  <c r="W56"/>
  <c r="AA55"/>
  <c r="Z55"/>
  <c r="W55"/>
  <c r="AA54"/>
  <c r="Z54"/>
  <c r="W54"/>
  <c r="AA53"/>
  <c r="Z53"/>
  <c r="W53"/>
  <c r="AA52"/>
  <c r="Z52"/>
  <c r="W52"/>
  <c r="AA51"/>
  <c r="Z51"/>
  <c r="W51"/>
  <c r="AA50"/>
  <c r="Z50"/>
  <c r="W50"/>
  <c r="AA49"/>
  <c r="Z49"/>
  <c r="W49"/>
  <c r="AA48"/>
  <c r="Z48"/>
  <c r="W48"/>
  <c r="AA47"/>
  <c r="Z47"/>
  <c r="W47"/>
  <c r="Z46"/>
  <c r="X46"/>
  <c r="W46"/>
  <c r="Z45"/>
  <c r="X45"/>
  <c r="W45"/>
  <c r="Z44"/>
  <c r="X44"/>
  <c r="W44"/>
  <c r="Z43"/>
  <c r="X43"/>
  <c r="W43"/>
  <c r="Z42"/>
  <c r="X42"/>
  <c r="W42"/>
  <c r="Z41"/>
  <c r="X41"/>
  <c r="W41"/>
  <c r="Z40"/>
  <c r="X40"/>
  <c r="W40"/>
  <c r="Z39"/>
  <c r="X39"/>
  <c r="W39"/>
  <c r="Z38"/>
  <c r="X38"/>
  <c r="W38"/>
  <c r="Z37"/>
  <c r="X37"/>
  <c r="W37"/>
  <c r="Z36"/>
  <c r="X36"/>
  <c r="W36"/>
  <c r="X35"/>
  <c r="W35"/>
  <c r="X34"/>
  <c r="W34"/>
  <c r="X33"/>
  <c r="W33"/>
  <c r="X32"/>
  <c r="W32"/>
  <c r="X31"/>
  <c r="W31"/>
  <c r="W30"/>
  <c r="W29"/>
  <c r="AU44" l="1"/>
  <c r="AU45"/>
  <c r="AU46"/>
  <c r="AU45" i="6"/>
  <c r="AP45" i="32"/>
  <c r="X74" i="18" l="1"/>
  <c r="S74" i="1"/>
  <c r="G112" i="36" l="1"/>
  <c r="G113"/>
  <c r="G114"/>
  <c r="G115"/>
  <c r="G116"/>
  <c r="G117"/>
  <c r="G118"/>
  <c r="G119"/>
  <c r="G120"/>
  <c r="G121"/>
  <c r="G122"/>
  <c r="G123"/>
  <c r="G124"/>
  <c r="G125"/>
  <c r="G126"/>
  <c r="G127"/>
  <c r="G111"/>
  <c r="G34"/>
  <c r="G35"/>
  <c r="G36"/>
  <c r="G37"/>
  <c r="G38"/>
  <c r="G39"/>
  <c r="G40"/>
  <c r="G41"/>
  <c r="G42"/>
  <c r="G43"/>
  <c r="G44"/>
  <c r="G45"/>
  <c r="G46"/>
  <c r="G47"/>
  <c r="G48"/>
  <c r="G49"/>
  <c r="G33"/>
  <c r="AJ104" i="35" l="1"/>
  <c r="AJ105" s="1"/>
  <c r="AJ103"/>
  <c r="BG103"/>
  <c r="O14"/>
  <c r="O15"/>
  <c r="O16"/>
  <c r="O17"/>
  <c r="O18"/>
  <c r="O19"/>
  <c r="O20"/>
  <c r="O21"/>
  <c r="O22"/>
  <c r="O13"/>
  <c r="AG37" i="33"/>
  <c r="O14" i="34"/>
  <c r="O15"/>
  <c r="O16"/>
  <c r="O17"/>
  <c r="O18"/>
  <c r="O19"/>
  <c r="O20"/>
  <c r="O21"/>
  <c r="O22"/>
  <c r="O13"/>
  <c r="G25" i="33"/>
  <c r="O14"/>
  <c r="O15"/>
  <c r="O16"/>
  <c r="O17"/>
  <c r="O18"/>
  <c r="O19"/>
  <c r="O20"/>
  <c r="O21"/>
  <c r="O22"/>
  <c r="O13"/>
  <c r="AI50" i="32"/>
  <c r="AI47"/>
  <c r="AI48" s="1"/>
  <c r="AI49" s="1"/>
  <c r="AI46"/>
  <c r="O14"/>
  <c r="O15"/>
  <c r="O16"/>
  <c r="O17"/>
  <c r="O18"/>
  <c r="O19"/>
  <c r="O20"/>
  <c r="O21"/>
  <c r="O22"/>
  <c r="O13"/>
  <c r="O14" i="31"/>
  <c r="O15"/>
  <c r="O16"/>
  <c r="O17"/>
  <c r="O18"/>
  <c r="O19"/>
  <c r="O20"/>
  <c r="O21"/>
  <c r="O22"/>
  <c r="O13"/>
  <c r="O16" i="30"/>
  <c r="O13"/>
  <c r="O14"/>
  <c r="O15"/>
  <c r="O17"/>
  <c r="O18"/>
  <c r="O19"/>
  <c r="O20"/>
  <c r="O21"/>
  <c r="O22"/>
  <c r="O14" i="29"/>
  <c r="O15"/>
  <c r="O16"/>
  <c r="O17"/>
  <c r="O18"/>
  <c r="O19"/>
  <c r="O20"/>
  <c r="O21"/>
  <c r="O22"/>
  <c r="O13"/>
  <c r="O14" i="28"/>
  <c r="O15"/>
  <c r="O16"/>
  <c r="O17"/>
  <c r="O18"/>
  <c r="O19"/>
  <c r="O20"/>
  <c r="O21"/>
  <c r="O22"/>
  <c r="O13"/>
  <c r="O14" i="19"/>
  <c r="O15"/>
  <c r="O16"/>
  <c r="O17"/>
  <c r="O18"/>
  <c r="O19"/>
  <c r="O20"/>
  <c r="O21"/>
  <c r="O22"/>
  <c r="O13"/>
  <c r="O14" i="18"/>
  <c r="O15"/>
  <c r="O16"/>
  <c r="O17"/>
  <c r="O18"/>
  <c r="O19"/>
  <c r="O20"/>
  <c r="O21"/>
  <c r="O22"/>
  <c r="O13"/>
  <c r="BA18"/>
  <c r="BA19"/>
  <c r="BA20"/>
  <c r="BA21"/>
  <c r="BA22"/>
  <c r="BA23"/>
  <c r="BA24"/>
  <c r="BA25"/>
  <c r="BA26"/>
  <c r="BA27"/>
  <c r="BA28"/>
  <c r="BA29"/>
  <c r="BA30"/>
  <c r="AZ601" i="23"/>
  <c r="AJ106" i="35" l="1"/>
  <c r="Q523" i="23"/>
  <c r="R523"/>
  <c r="S523"/>
  <c r="T523"/>
  <c r="U523"/>
  <c r="V523"/>
  <c r="W523"/>
  <c r="X523"/>
  <c r="Y523"/>
  <c r="Z523"/>
  <c r="AA523"/>
  <c r="AB523"/>
  <c r="Q524"/>
  <c r="R524"/>
  <c r="S524"/>
  <c r="T524"/>
  <c r="U524"/>
  <c r="V524"/>
  <c r="W524"/>
  <c r="X524"/>
  <c r="Y524"/>
  <c r="Z524"/>
  <c r="AA524"/>
  <c r="AB524"/>
  <c r="Q525"/>
  <c r="R525"/>
  <c r="S525"/>
  <c r="T525"/>
  <c r="U525"/>
  <c r="V525"/>
  <c r="W525"/>
  <c r="X525"/>
  <c r="Y525"/>
  <c r="Z525"/>
  <c r="AA525"/>
  <c r="AB525"/>
  <c r="Q527" l="1"/>
  <c r="R527"/>
  <c r="S527"/>
  <c r="T527"/>
  <c r="U527"/>
  <c r="V527"/>
  <c r="W527"/>
  <c r="X527"/>
  <c r="Y527"/>
  <c r="Z527"/>
  <c r="AA527"/>
  <c r="AB527"/>
  <c r="Q528"/>
  <c r="R528"/>
  <c r="S528"/>
  <c r="T528"/>
  <c r="U528"/>
  <c r="V528"/>
  <c r="W528"/>
  <c r="X528"/>
  <c r="Y528"/>
  <c r="Z528"/>
  <c r="AA528"/>
  <c r="AB528"/>
  <c r="Q529"/>
  <c r="R529"/>
  <c r="S529"/>
  <c r="T529"/>
  <c r="U529"/>
  <c r="V529"/>
  <c r="W529"/>
  <c r="X529"/>
  <c r="Y529"/>
  <c r="Z529"/>
  <c r="AA529"/>
  <c r="AB529"/>
  <c r="Q530"/>
  <c r="R530"/>
  <c r="S530"/>
  <c r="T530"/>
  <c r="U530"/>
  <c r="V530"/>
  <c r="W530"/>
  <c r="X530"/>
  <c r="Y530"/>
  <c r="Z530"/>
  <c r="AA530"/>
  <c r="AB530"/>
  <c r="Q531"/>
  <c r="R531"/>
  <c r="S531"/>
  <c r="T531"/>
  <c r="U531"/>
  <c r="V531"/>
  <c r="W531"/>
  <c r="X531"/>
  <c r="Y531"/>
  <c r="Z531"/>
  <c r="AA531"/>
  <c r="AB531"/>
  <c r="Q532"/>
  <c r="R532"/>
  <c r="S532"/>
  <c r="T532"/>
  <c r="U532"/>
  <c r="V532"/>
  <c r="W532"/>
  <c r="X532"/>
  <c r="Y532"/>
  <c r="Z532"/>
  <c r="AA532"/>
  <c r="AB532"/>
  <c r="Q533"/>
  <c r="R533"/>
  <c r="S533"/>
  <c r="T533"/>
  <c r="U533"/>
  <c r="V533"/>
  <c r="W533"/>
  <c r="X533"/>
  <c r="Y533"/>
  <c r="Z533"/>
  <c r="AA533"/>
  <c r="AB533"/>
  <c r="Q534"/>
  <c r="R534"/>
  <c r="S534"/>
  <c r="T534"/>
  <c r="U534"/>
  <c r="V534"/>
  <c r="W534"/>
  <c r="X534"/>
  <c r="Y534"/>
  <c r="Z534"/>
  <c r="AA534"/>
  <c r="AB534"/>
  <c r="Q535"/>
  <c r="R535"/>
  <c r="S535"/>
  <c r="T535"/>
  <c r="U535"/>
  <c r="V535"/>
  <c r="W535"/>
  <c r="X535"/>
  <c r="Y535"/>
  <c r="Z535"/>
  <c r="AA535"/>
  <c r="AB535"/>
  <c r="Q536"/>
  <c r="R536"/>
  <c r="S536"/>
  <c r="T536"/>
  <c r="U536"/>
  <c r="V536"/>
  <c r="W536"/>
  <c r="X536"/>
  <c r="Y536"/>
  <c r="Z536"/>
  <c r="AA536"/>
  <c r="AB536"/>
  <c r="Q537"/>
  <c r="R537"/>
  <c r="S537"/>
  <c r="T537"/>
  <c r="U537"/>
  <c r="V537"/>
  <c r="W537"/>
  <c r="X537"/>
  <c r="Y537"/>
  <c r="Z537"/>
  <c r="AA537"/>
  <c r="AB537"/>
  <c r="Q538"/>
  <c r="R538"/>
  <c r="S538"/>
  <c r="T538"/>
  <c r="U538"/>
  <c r="V538"/>
  <c r="W538"/>
  <c r="X538"/>
  <c r="Y538"/>
  <c r="Z538"/>
  <c r="AA538"/>
  <c r="AB538"/>
  <c r="R526"/>
  <c r="S526"/>
  <c r="T526"/>
  <c r="U526"/>
  <c r="V526"/>
  <c r="W526"/>
  <c r="X526"/>
  <c r="Y526"/>
  <c r="Z526"/>
  <c r="AA526"/>
  <c r="AB526"/>
  <c r="Q526"/>
  <c r="P538"/>
  <c r="P537"/>
  <c r="P536"/>
  <c r="P535"/>
  <c r="P534"/>
  <c r="P533"/>
  <c r="P532"/>
  <c r="P531"/>
  <c r="P530"/>
  <c r="P529"/>
  <c r="P528"/>
  <c r="P527"/>
  <c r="P526"/>
  <c r="P525"/>
  <c r="P524"/>
  <c r="P523"/>
  <c r="R13" i="6" l="1"/>
  <c r="R14"/>
  <c r="R15"/>
  <c r="R16"/>
  <c r="R17"/>
  <c r="R18"/>
  <c r="R19"/>
  <c r="R20"/>
  <c r="R21"/>
  <c r="R22"/>
  <c r="M46" i="1" l="1"/>
  <c r="AE569" i="23" l="1"/>
  <c r="AF569"/>
  <c r="AG569"/>
  <c r="AH569"/>
  <c r="AI569"/>
  <c r="AJ569"/>
  <c r="AK569"/>
  <c r="AL569"/>
  <c r="AM569"/>
  <c r="AN569"/>
  <c r="AO569"/>
  <c r="AP569"/>
  <c r="AE570"/>
  <c r="AF570"/>
  <c r="AG570"/>
  <c r="AH570"/>
  <c r="AI570"/>
  <c r="AJ570"/>
  <c r="AK570"/>
  <c r="AL570"/>
  <c r="AM570"/>
  <c r="AN570"/>
  <c r="AO570"/>
  <c r="AP570"/>
  <c r="AE571"/>
  <c r="AF571"/>
  <c r="AG571"/>
  <c r="AH571"/>
  <c r="AI571"/>
  <c r="AJ571"/>
  <c r="AK571"/>
  <c r="AL571"/>
  <c r="AM571"/>
  <c r="AN571"/>
  <c r="AO571"/>
  <c r="AP571"/>
  <c r="AE572"/>
  <c r="AF572"/>
  <c r="AG572"/>
  <c r="AH572"/>
  <c r="AI572"/>
  <c r="AJ572"/>
  <c r="AK572"/>
  <c r="AL572"/>
  <c r="AM572"/>
  <c r="AN572"/>
  <c r="AO572"/>
  <c r="AP572"/>
  <c r="AE573"/>
  <c r="AF573"/>
  <c r="AG573"/>
  <c r="AH573"/>
  <c r="AI573"/>
  <c r="AJ573"/>
  <c r="AK573"/>
  <c r="AL573"/>
  <c r="AM573"/>
  <c r="AN573"/>
  <c r="AO573"/>
  <c r="AP573"/>
  <c r="AE574"/>
  <c r="AF574"/>
  <c r="AG574"/>
  <c r="AH574"/>
  <c r="AI574"/>
  <c r="AJ574"/>
  <c r="AK574"/>
  <c r="AL574"/>
  <c r="AM574"/>
  <c r="AN574"/>
  <c r="AO574"/>
  <c r="AP574"/>
  <c r="AE575"/>
  <c r="AF575"/>
  <c r="AG575"/>
  <c r="AH575"/>
  <c r="AI575"/>
  <c r="AJ575"/>
  <c r="AK575"/>
  <c r="AL575"/>
  <c r="AM575"/>
  <c r="AN575"/>
  <c r="AO575"/>
  <c r="AP575"/>
  <c r="AE576"/>
  <c r="AF576"/>
  <c r="AG576"/>
  <c r="AH576"/>
  <c r="AI576"/>
  <c r="AJ576"/>
  <c r="AK576"/>
  <c r="AL576"/>
  <c r="AM576"/>
  <c r="AN576"/>
  <c r="AO576"/>
  <c r="AP576"/>
  <c r="AE577"/>
  <c r="AF577"/>
  <c r="AG577"/>
  <c r="AH577"/>
  <c r="AI577"/>
  <c r="AJ577"/>
  <c r="AK577"/>
  <c r="AL577"/>
  <c r="AM577"/>
  <c r="AN577"/>
  <c r="AO577"/>
  <c r="AP577"/>
  <c r="AE578"/>
  <c r="AF578"/>
  <c r="AG578"/>
  <c r="AH578"/>
  <c r="AI578"/>
  <c r="AJ578"/>
  <c r="AK578"/>
  <c r="AL578"/>
  <c r="AM578"/>
  <c r="AN578"/>
  <c r="AO578"/>
  <c r="AP578"/>
  <c r="AE579"/>
  <c r="AF579"/>
  <c r="AG579"/>
  <c r="AH579"/>
  <c r="AI579"/>
  <c r="AJ579"/>
  <c r="AK579"/>
  <c r="AL579"/>
  <c r="AM579"/>
  <c r="AN579"/>
  <c r="AO579"/>
  <c r="AP579"/>
  <c r="AE580"/>
  <c r="AF580"/>
  <c r="AG580"/>
  <c r="AH580"/>
  <c r="AI580"/>
  <c r="AJ580"/>
  <c r="AK580"/>
  <c r="AL580"/>
  <c r="AM580"/>
  <c r="AN580"/>
  <c r="AO580"/>
  <c r="AP580"/>
  <c r="AE581"/>
  <c r="AF581"/>
  <c r="AG581"/>
  <c r="AH581"/>
  <c r="AI581"/>
  <c r="AJ581"/>
  <c r="AK581"/>
  <c r="AL581"/>
  <c r="AM581"/>
  <c r="AN581"/>
  <c r="AO581"/>
  <c r="AP581"/>
  <c r="AE582"/>
  <c r="AF582"/>
  <c r="AG582"/>
  <c r="AH582"/>
  <c r="AI582"/>
  <c r="AJ582"/>
  <c r="AK582"/>
  <c r="AL582"/>
  <c r="AM582"/>
  <c r="AN582"/>
  <c r="AO582"/>
  <c r="AP582"/>
  <c r="AE583"/>
  <c r="AF583"/>
  <c r="AG583"/>
  <c r="AH583"/>
  <c r="AI583"/>
  <c r="AJ583"/>
  <c r="AK583"/>
  <c r="AL583"/>
  <c r="AM583"/>
  <c r="AN583"/>
  <c r="AO583"/>
  <c r="AP583"/>
  <c r="AE584"/>
  <c r="AF584"/>
  <c r="AG584"/>
  <c r="AH584"/>
  <c r="AI584"/>
  <c r="AJ584"/>
  <c r="AK584"/>
  <c r="AL584"/>
  <c r="AM584"/>
  <c r="AN584"/>
  <c r="AO584"/>
  <c r="AP584"/>
  <c r="AE585"/>
  <c r="AF585"/>
  <c r="AG585"/>
  <c r="AH585"/>
  <c r="AI585"/>
  <c r="AJ585"/>
  <c r="AK585"/>
  <c r="AL585"/>
  <c r="AM585"/>
  <c r="AN585"/>
  <c r="AO585"/>
  <c r="AP585"/>
  <c r="AE586"/>
  <c r="AF586"/>
  <c r="AG586"/>
  <c r="AH586"/>
  <c r="AI586"/>
  <c r="AJ586"/>
  <c r="AK586"/>
  <c r="AL586"/>
  <c r="AM586"/>
  <c r="AN586"/>
  <c r="AO586"/>
  <c r="AP586"/>
  <c r="AE587"/>
  <c r="AF587"/>
  <c r="AG587"/>
  <c r="AH587"/>
  <c r="AI587"/>
  <c r="AJ587"/>
  <c r="AK587"/>
  <c r="AL587"/>
  <c r="AM587"/>
  <c r="AN587"/>
  <c r="AO587"/>
  <c r="AP587"/>
  <c r="AE588"/>
  <c r="AF588"/>
  <c r="AG588"/>
  <c r="AH588"/>
  <c r="AI588"/>
  <c r="AJ588"/>
  <c r="AK588"/>
  <c r="AL588"/>
  <c r="AM588"/>
  <c r="AN588"/>
  <c r="AO588"/>
  <c r="AP588"/>
  <c r="AE589"/>
  <c r="AF589"/>
  <c r="AG589"/>
  <c r="AH589"/>
  <c r="AI589"/>
  <c r="AJ589"/>
  <c r="AK589"/>
  <c r="AL589"/>
  <c r="AM589"/>
  <c r="AN589"/>
  <c r="AO589"/>
  <c r="AP589"/>
  <c r="AE590"/>
  <c r="AF590"/>
  <c r="AG590"/>
  <c r="AH590"/>
  <c r="AI590"/>
  <c r="AJ590"/>
  <c r="AK590"/>
  <c r="AL590"/>
  <c r="AM590"/>
  <c r="AN590"/>
  <c r="AO590"/>
  <c r="AP590"/>
  <c r="AE591"/>
  <c r="AF591"/>
  <c r="AG591"/>
  <c r="AH591"/>
  <c r="AI591"/>
  <c r="AJ591"/>
  <c r="AK591"/>
  <c r="AL591"/>
  <c r="AM591"/>
  <c r="AN591"/>
  <c r="AO591"/>
  <c r="AP591"/>
  <c r="AE592"/>
  <c r="AF592"/>
  <c r="AG592"/>
  <c r="AH592"/>
  <c r="AI592"/>
  <c r="AJ592"/>
  <c r="AK592"/>
  <c r="AL592"/>
  <c r="AM592"/>
  <c r="AN592"/>
  <c r="AO592"/>
  <c r="AP592"/>
  <c r="AE593"/>
  <c r="AF593"/>
  <c r="AG593"/>
  <c r="AH593"/>
  <c r="AI593"/>
  <c r="AJ593"/>
  <c r="AK593"/>
  <c r="AL593"/>
  <c r="AM593"/>
  <c r="AN593"/>
  <c r="AO593"/>
  <c r="AP593"/>
  <c r="AK568"/>
  <c r="AL568"/>
  <c r="AM568"/>
  <c r="AN568"/>
  <c r="AO568"/>
  <c r="AP568"/>
  <c r="AE568"/>
  <c r="AF568"/>
  <c r="AG568"/>
  <c r="AH568"/>
  <c r="AI568"/>
  <c r="AJ568"/>
  <c r="AK567"/>
  <c r="AL567"/>
  <c r="AM567"/>
  <c r="AN567"/>
  <c r="AO567"/>
  <c r="AP567"/>
  <c r="AJ567"/>
  <c r="D37" i="1"/>
  <c r="T36" i="36" l="1"/>
  <c r="J1927" i="23"/>
  <c r="J1928"/>
  <c r="J1932"/>
  <c r="J1934"/>
  <c r="J1931"/>
  <c r="J1933"/>
  <c r="J1930"/>
  <c r="J1926"/>
  <c r="J1929"/>
  <c r="N1645" l="1"/>
  <c r="N1648"/>
  <c r="N1649"/>
  <c r="N1646" l="1"/>
  <c r="N1647"/>
  <c r="B286"/>
  <c r="B326"/>
  <c r="B446" l="1"/>
  <c r="AG102" i="35"/>
  <c r="AG130" l="1"/>
  <c r="AH130"/>
  <c r="AD129"/>
  <c r="AD130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03"/>
  <c r="AH48" i="31"/>
  <c r="AH49" s="1"/>
  <c r="AH47"/>
  <c r="A47" i="1"/>
  <c r="BC80" i="35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99"/>
  <c r="BC100"/>
  <c r="BC101"/>
  <c r="BC102"/>
  <c r="BC79"/>
  <c r="AG95"/>
  <c r="AH95"/>
  <c r="AG96"/>
  <c r="AH96"/>
  <c r="AG97"/>
  <c r="AH97"/>
  <c r="AG94"/>
  <c r="AH94"/>
  <c r="AH102"/>
  <c r="AD102"/>
  <c r="AG89"/>
  <c r="AC102"/>
  <c r="AB102"/>
  <c r="AA102"/>
  <c r="X45"/>
  <c r="Y45"/>
  <c r="Z45"/>
  <c r="L45"/>
  <c r="K45"/>
  <c r="I45"/>
  <c r="F45"/>
  <c r="E45"/>
  <c r="D45"/>
  <c r="AH36" i="34"/>
  <c r="AH37" s="1"/>
  <c r="AH38" s="1"/>
  <c r="AH35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36"/>
  <c r="AG34"/>
  <c r="AG35"/>
  <c r="AD35"/>
  <c r="X45"/>
  <c r="Y45"/>
  <c r="Z45"/>
  <c r="AA45"/>
  <c r="L45"/>
  <c r="K45"/>
  <c r="I45"/>
  <c r="F45"/>
  <c r="E45"/>
  <c r="D45"/>
  <c r="AI47" i="33"/>
  <c r="AI48" s="1"/>
  <c r="AI49" s="1"/>
  <c r="AI46"/>
  <c r="AG30"/>
  <c r="AG21"/>
  <c r="AG22"/>
  <c r="AG45"/>
  <c r="AG44"/>
  <c r="AG43"/>
  <c r="AG42"/>
  <c r="AG41"/>
  <c r="AG40"/>
  <c r="AG39"/>
  <c r="AG38"/>
  <c r="AG36"/>
  <c r="AG35"/>
  <c r="AG34"/>
  <c r="AG33"/>
  <c r="AG32"/>
  <c r="AG31"/>
  <c r="AG29"/>
  <c r="AG28"/>
  <c r="AG27"/>
  <c r="AG26"/>
  <c r="AG25"/>
  <c r="AG24"/>
  <c r="AG23"/>
  <c r="AG20"/>
  <c r="AG19"/>
  <c r="AG18"/>
  <c r="AG17"/>
  <c r="AG16"/>
  <c r="AG15"/>
  <c r="AG14"/>
  <c r="AG13"/>
  <c r="X45"/>
  <c r="Y45"/>
  <c r="AD45"/>
  <c r="L45"/>
  <c r="K45"/>
  <c r="I45"/>
  <c r="F45"/>
  <c r="E45"/>
  <c r="D45"/>
  <c r="AG45" i="32"/>
  <c r="AD45"/>
  <c r="X45"/>
  <c r="Y45"/>
  <c r="L45"/>
  <c r="K45"/>
  <c r="I45"/>
  <c r="F45"/>
  <c r="E45"/>
  <c r="D45"/>
  <c r="U28" i="6"/>
  <c r="AL28" s="1"/>
  <c r="AL29"/>
  <c r="AM49" i="1"/>
  <c r="AM47" i="6" l="1"/>
  <c r="O45" l="1"/>
  <c r="N45"/>
  <c r="H45"/>
  <c r="J45"/>
  <c r="E45"/>
  <c r="D45"/>
  <c r="AC45"/>
  <c r="AK45" s="1"/>
  <c r="BB45" i="31"/>
  <c r="AG45"/>
  <c r="X45"/>
  <c r="Y45"/>
  <c r="L45"/>
  <c r="K45"/>
  <c r="I45"/>
  <c r="F45"/>
  <c r="E45"/>
  <c r="D45"/>
  <c r="D44" i="6"/>
  <c r="C45"/>
  <c r="AG45" i="30"/>
  <c r="X45"/>
  <c r="Y45"/>
  <c r="X46"/>
  <c r="Y46"/>
  <c r="AG46" s="1"/>
  <c r="L45" i="6" l="1"/>
  <c r="F46" i="30" l="1"/>
  <c r="E46"/>
  <c r="F45"/>
  <c r="E45"/>
  <c r="L45"/>
  <c r="I45"/>
  <c r="L46"/>
  <c r="K46"/>
  <c r="I46"/>
  <c r="AF45" i="29" l="1"/>
  <c r="AF46"/>
  <c r="D45" i="30"/>
  <c r="K45"/>
  <c r="D46"/>
  <c r="X45" i="29" l="1"/>
  <c r="Y45"/>
  <c r="AG45" s="1"/>
  <c r="X46"/>
  <c r="Y46"/>
  <c r="AG46" s="1"/>
  <c r="L46"/>
  <c r="K46"/>
  <c r="I46"/>
  <c r="L45"/>
  <c r="I45"/>
  <c r="E46"/>
  <c r="I44"/>
  <c r="H44"/>
  <c r="G44"/>
  <c r="L44"/>
  <c r="F46"/>
  <c r="F45"/>
  <c r="E45"/>
  <c r="D45"/>
  <c r="K45"/>
  <c r="D46"/>
  <c r="AG46" i="28" l="1"/>
  <c r="AG101"/>
  <c r="X46"/>
  <c r="Y46"/>
  <c r="L46"/>
  <c r="K46"/>
  <c r="I46"/>
  <c r="L45"/>
  <c r="K45"/>
  <c r="I45"/>
  <c r="F46"/>
  <c r="E46"/>
  <c r="F45"/>
  <c r="E45"/>
  <c r="D46"/>
  <c r="X45"/>
  <c r="Y45"/>
  <c r="AG45" s="1"/>
  <c r="D45"/>
  <c r="X46" i="19"/>
  <c r="Y46"/>
  <c r="AF90" s="1"/>
  <c r="Z46"/>
  <c r="AA46"/>
  <c r="L46"/>
  <c r="K46"/>
  <c r="I46"/>
  <c r="F46"/>
  <c r="E46"/>
  <c r="D46"/>
  <c r="D46" i="18"/>
  <c r="D45"/>
  <c r="D44"/>
  <c r="AE46"/>
  <c r="AF46"/>
  <c r="X46"/>
  <c r="Y46"/>
  <c r="Z46"/>
  <c r="AD46" s="1"/>
  <c r="R4" i="35"/>
  <c r="R4" i="34"/>
  <c r="R4" i="33"/>
  <c r="R4" i="32"/>
  <c r="W4" i="6"/>
  <c r="R4" i="31"/>
  <c r="R4" i="30"/>
  <c r="R4" i="29"/>
  <c r="R4" i="28"/>
  <c r="R4" i="19"/>
  <c r="R4" i="18"/>
  <c r="Y5" i="1"/>
  <c r="AG100" i="28" l="1"/>
  <c r="K46" i="18"/>
  <c r="I46"/>
  <c r="F46"/>
  <c r="E46"/>
  <c r="F45"/>
  <c r="E45"/>
  <c r="L35"/>
  <c r="K35"/>
  <c r="I35"/>
  <c r="H35"/>
  <c r="G35"/>
  <c r="BI46" i="1"/>
  <c r="AO61" i="35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N52" i="34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63" i="3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63" i="32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S63" i="6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N63" i="31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63" i="30"/>
  <c r="AN62"/>
  <c r="AN61"/>
  <c r="AN60"/>
  <c r="AN59"/>
  <c r="AN58"/>
  <c r="AN57"/>
  <c r="AN56"/>
  <c r="AN55"/>
  <c r="AN54"/>
  <c r="AN53"/>
  <c r="AN52"/>
  <c r="AN51"/>
  <c r="AN50"/>
  <c r="AN49"/>
  <c r="AN48"/>
  <c r="AN47"/>
  <c r="AN63" i="29"/>
  <c r="AN62"/>
  <c r="AN61"/>
  <c r="AN60"/>
  <c r="AN59"/>
  <c r="AN58"/>
  <c r="AN57"/>
  <c r="AN56"/>
  <c r="AN55"/>
  <c r="AN54"/>
  <c r="AN53"/>
  <c r="AN52"/>
  <c r="AN51"/>
  <c r="AN50"/>
  <c r="AN49"/>
  <c r="AN48"/>
  <c r="AN47"/>
  <c r="AN118" i="2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63" i="19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91" s="1"/>
  <c r="AN45"/>
  <c r="AN63" i="18"/>
  <c r="AN62"/>
  <c r="AN61"/>
  <c r="AN60"/>
  <c r="AN59"/>
  <c r="AN58"/>
  <c r="AN57"/>
  <c r="AN56"/>
  <c r="AN55"/>
  <c r="AN54"/>
  <c r="AN53"/>
  <c r="AN52"/>
  <c r="AN51"/>
  <c r="AN50"/>
  <c r="AN49"/>
  <c r="AN48"/>
  <c r="AN47"/>
  <c r="AS63" i="1"/>
  <c r="AS62"/>
  <c r="AS61"/>
  <c r="AS60"/>
  <c r="AS59"/>
  <c r="AS58"/>
  <c r="AS57"/>
  <c r="AS56"/>
  <c r="AS55"/>
  <c r="AS54"/>
  <c r="AS53"/>
  <c r="AS52"/>
  <c r="AS51"/>
  <c r="AS50"/>
  <c r="AS49"/>
  <c r="AS48"/>
  <c r="AS47"/>
  <c r="AL47" l="1"/>
  <c r="AF130" i="35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62" i="34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73" i="3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73" i="32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L73" i="6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F73" i="31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73" i="30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73" i="29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4"/>
  <c r="AF43"/>
  <c r="AF42"/>
  <c r="AF41"/>
  <c r="AF40"/>
  <c r="AF39"/>
  <c r="AF38"/>
  <c r="AF37"/>
  <c r="AF36"/>
  <c r="AF35"/>
  <c r="AF34"/>
  <c r="AF33"/>
  <c r="AF32"/>
  <c r="AF31"/>
  <c r="AF30"/>
  <c r="AF29"/>
  <c r="AF128" i="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E117" i="19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89"/>
  <c r="AE88"/>
  <c r="AE87"/>
  <c r="AE86"/>
  <c r="AE85"/>
  <c r="AE84"/>
  <c r="AE83"/>
  <c r="AE82"/>
  <c r="AE81"/>
  <c r="AG73" i="18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AG30"/>
  <c r="BB30" s="1"/>
  <c r="AG29"/>
  <c r="BB29" s="1"/>
  <c r="AL73" i="1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L29"/>
  <c r="AE91" i="19" l="1"/>
  <c r="AE90"/>
  <c r="S46" i="1" l="1"/>
  <c r="AK46" s="1"/>
  <c r="T46"/>
  <c r="AI46" s="1"/>
  <c r="U46"/>
  <c r="AJ46" s="1"/>
  <c r="Z44" i="35"/>
  <c r="Y44"/>
  <c r="X44"/>
  <c r="Z43"/>
  <c r="Y43"/>
  <c r="X43"/>
  <c r="Z42"/>
  <c r="Y42"/>
  <c r="X42"/>
  <c r="Z41"/>
  <c r="Y41"/>
  <c r="X41"/>
  <c r="Z40"/>
  <c r="Y40"/>
  <c r="X40"/>
  <c r="Z39"/>
  <c r="Y39"/>
  <c r="X39"/>
  <c r="Z38"/>
  <c r="Y38"/>
  <c r="X38"/>
  <c r="Z37"/>
  <c r="Y37"/>
  <c r="X37"/>
  <c r="Z36"/>
  <c r="Y36"/>
  <c r="X36"/>
  <c r="Z35"/>
  <c r="Y35"/>
  <c r="X35"/>
  <c r="Z34"/>
  <c r="Y34"/>
  <c r="X34"/>
  <c r="Z33"/>
  <c r="Y33"/>
  <c r="X33"/>
  <c r="Z32"/>
  <c r="Y32"/>
  <c r="X32"/>
  <c r="Z31"/>
  <c r="Y31"/>
  <c r="X31"/>
  <c r="Z30"/>
  <c r="Y30"/>
  <c r="X30"/>
  <c r="Z29"/>
  <c r="Y29"/>
  <c r="X29"/>
  <c r="Z28"/>
  <c r="Y28"/>
  <c r="X28"/>
  <c r="Z27"/>
  <c r="Y27"/>
  <c r="X27"/>
  <c r="Z26"/>
  <c r="Y26"/>
  <c r="X26"/>
  <c r="Z25"/>
  <c r="Y25"/>
  <c r="X25"/>
  <c r="Z24"/>
  <c r="Y24"/>
  <c r="X24"/>
  <c r="Z23"/>
  <c r="Y23"/>
  <c r="X23"/>
  <c r="Z22"/>
  <c r="Y22"/>
  <c r="X22"/>
  <c r="Z21"/>
  <c r="Y21"/>
  <c r="X21"/>
  <c r="Z20"/>
  <c r="Y20"/>
  <c r="X20"/>
  <c r="Z19"/>
  <c r="Y19"/>
  <c r="X19"/>
  <c r="Z18"/>
  <c r="Y18"/>
  <c r="X18"/>
  <c r="Z17"/>
  <c r="Y17"/>
  <c r="X17"/>
  <c r="Z16"/>
  <c r="Y16"/>
  <c r="X16"/>
  <c r="Z15"/>
  <c r="Y15"/>
  <c r="X15"/>
  <c r="Z14"/>
  <c r="Y14"/>
  <c r="X14"/>
  <c r="Z13"/>
  <c r="Y13"/>
  <c r="X13"/>
  <c r="Z12"/>
  <c r="Y12"/>
  <c r="X12"/>
  <c r="Z11"/>
  <c r="Y11"/>
  <c r="X11"/>
  <c r="Z10"/>
  <c r="Y10"/>
  <c r="X10"/>
  <c r="Z9"/>
  <c r="Y9"/>
  <c r="X9"/>
  <c r="AA44" i="34"/>
  <c r="Z44"/>
  <c r="Y44"/>
  <c r="X44"/>
  <c r="AA43"/>
  <c r="Z43"/>
  <c r="Y43"/>
  <c r="X43"/>
  <c r="AA42"/>
  <c r="Z42"/>
  <c r="Y42"/>
  <c r="X42"/>
  <c r="AA41"/>
  <c r="Z41"/>
  <c r="Y41"/>
  <c r="X41"/>
  <c r="AA40"/>
  <c r="Z40"/>
  <c r="Y40"/>
  <c r="X40"/>
  <c r="AA39"/>
  <c r="Z39"/>
  <c r="Y39"/>
  <c r="X39"/>
  <c r="AA38"/>
  <c r="Z38"/>
  <c r="Y38"/>
  <c r="X38"/>
  <c r="AA37"/>
  <c r="Z37"/>
  <c r="Y37"/>
  <c r="X37"/>
  <c r="AA36"/>
  <c r="Z36"/>
  <c r="Y36"/>
  <c r="X36"/>
  <c r="AA35"/>
  <c r="Z35"/>
  <c r="Y35"/>
  <c r="X35"/>
  <c r="AA34"/>
  <c r="Z34"/>
  <c r="Y34"/>
  <c r="X34"/>
  <c r="AA33"/>
  <c r="Z33"/>
  <c r="Y33"/>
  <c r="X33"/>
  <c r="AA32"/>
  <c r="Z32"/>
  <c r="Y32"/>
  <c r="X32"/>
  <c r="AA31"/>
  <c r="Z31"/>
  <c r="Y31"/>
  <c r="X31"/>
  <c r="AA30"/>
  <c r="Z30"/>
  <c r="Y30"/>
  <c r="X30"/>
  <c r="AA29"/>
  <c r="Z29"/>
  <c r="Y29"/>
  <c r="X29"/>
  <c r="AA28"/>
  <c r="Z28"/>
  <c r="Y28"/>
  <c r="X28"/>
  <c r="AA27"/>
  <c r="Z27"/>
  <c r="Y27"/>
  <c r="X27"/>
  <c r="AA26"/>
  <c r="Z26"/>
  <c r="Y26"/>
  <c r="X26"/>
  <c r="AA25"/>
  <c r="Z25"/>
  <c r="Y25"/>
  <c r="X25"/>
  <c r="AA24"/>
  <c r="Z24"/>
  <c r="Y24"/>
  <c r="X24"/>
  <c r="AA23"/>
  <c r="Z23"/>
  <c r="Y23"/>
  <c r="X23"/>
  <c r="AA22"/>
  <c r="Z22"/>
  <c r="Y22"/>
  <c r="X22"/>
  <c r="AA21"/>
  <c r="Z21"/>
  <c r="Y21"/>
  <c r="X21"/>
  <c r="AA20"/>
  <c r="Z20"/>
  <c r="Y20"/>
  <c r="X20"/>
  <c r="AA19"/>
  <c r="Z19"/>
  <c r="Y19"/>
  <c r="X19"/>
  <c r="AA18"/>
  <c r="Z18"/>
  <c r="Y18"/>
  <c r="X18"/>
  <c r="AA17"/>
  <c r="Z17"/>
  <c r="Y17"/>
  <c r="X17"/>
  <c r="AA16"/>
  <c r="Z16"/>
  <c r="Y16"/>
  <c r="X16"/>
  <c r="AA15"/>
  <c r="Z15"/>
  <c r="Y15"/>
  <c r="X15"/>
  <c r="AA14"/>
  <c r="Z14"/>
  <c r="Y14"/>
  <c r="X14"/>
  <c r="AA13"/>
  <c r="Z13"/>
  <c r="Y13"/>
  <c r="X13"/>
  <c r="AA12"/>
  <c r="Z12"/>
  <c r="Y12"/>
  <c r="X12"/>
  <c r="AA11"/>
  <c r="Z11"/>
  <c r="Y11"/>
  <c r="X11"/>
  <c r="AA10"/>
  <c r="Z10"/>
  <c r="Y10"/>
  <c r="X10"/>
  <c r="AA9"/>
  <c r="Z9"/>
  <c r="Y9"/>
  <c r="X9"/>
  <c r="Y44" i="33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2"/>
  <c r="X22"/>
  <c r="Y21"/>
  <c r="X21"/>
  <c r="Y20"/>
  <c r="X20"/>
  <c r="Y19"/>
  <c r="X19"/>
  <c r="Y18"/>
  <c r="X18"/>
  <c r="Y17"/>
  <c r="X17"/>
  <c r="Y16"/>
  <c r="X16"/>
  <c r="Y15"/>
  <c r="X15"/>
  <c r="Y14"/>
  <c r="X14"/>
  <c r="Y13"/>
  <c r="X13"/>
  <c r="Y12"/>
  <c r="X12"/>
  <c r="Y11"/>
  <c r="X11"/>
  <c r="Y10"/>
  <c r="X10"/>
  <c r="Y9"/>
  <c r="X9"/>
  <c r="Y44" i="32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2"/>
  <c r="X22"/>
  <c r="Y21"/>
  <c r="X21"/>
  <c r="Y20"/>
  <c r="X20"/>
  <c r="Y19"/>
  <c r="X19"/>
  <c r="Y18"/>
  <c r="X18"/>
  <c r="Y17"/>
  <c r="X17"/>
  <c r="Y16"/>
  <c r="X16"/>
  <c r="Y15"/>
  <c r="X15"/>
  <c r="Y14"/>
  <c r="X14"/>
  <c r="Y13"/>
  <c r="X13"/>
  <c r="Y12"/>
  <c r="X12"/>
  <c r="Y11"/>
  <c r="X11"/>
  <c r="Y10"/>
  <c r="X10"/>
  <c r="Y9"/>
  <c r="X9"/>
  <c r="AC44" i="6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Y44" i="31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2"/>
  <c r="X22"/>
  <c r="Y21"/>
  <c r="X21"/>
  <c r="Y20"/>
  <c r="X20"/>
  <c r="Y19"/>
  <c r="X19"/>
  <c r="Y18"/>
  <c r="X18"/>
  <c r="Y17"/>
  <c r="X17"/>
  <c r="Y16"/>
  <c r="X16"/>
  <c r="Y15"/>
  <c r="X15"/>
  <c r="Y14"/>
  <c r="X14"/>
  <c r="Y13"/>
  <c r="X13"/>
  <c r="Y12"/>
  <c r="X12"/>
  <c r="Y11"/>
  <c r="X11"/>
  <c r="Y10"/>
  <c r="X10"/>
  <c r="Y9"/>
  <c r="X9"/>
  <c r="Y44" i="30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2"/>
  <c r="X22"/>
  <c r="Y21"/>
  <c r="X21"/>
  <c r="Y20"/>
  <c r="X20"/>
  <c r="Y19"/>
  <c r="X19"/>
  <c r="Y18"/>
  <c r="X18"/>
  <c r="Y17"/>
  <c r="X17"/>
  <c r="Y16"/>
  <c r="X16"/>
  <c r="Y15"/>
  <c r="X15"/>
  <c r="Y14"/>
  <c r="X14"/>
  <c r="Y13"/>
  <c r="X13"/>
  <c r="Y12"/>
  <c r="X12"/>
  <c r="Y11"/>
  <c r="X11"/>
  <c r="Y10"/>
  <c r="X10"/>
  <c r="Y9"/>
  <c r="X9"/>
  <c r="Y44" i="29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2"/>
  <c r="X22"/>
  <c r="Y21"/>
  <c r="X21"/>
  <c r="Y20"/>
  <c r="X20"/>
  <c r="Y19"/>
  <c r="X19"/>
  <c r="Y18"/>
  <c r="X18"/>
  <c r="Y17"/>
  <c r="X17"/>
  <c r="Y16"/>
  <c r="X16"/>
  <c r="Y15"/>
  <c r="X15"/>
  <c r="Y14"/>
  <c r="X14"/>
  <c r="Y13"/>
  <c r="X13"/>
  <c r="Y12"/>
  <c r="X12"/>
  <c r="Y11"/>
  <c r="X11"/>
  <c r="Y10"/>
  <c r="X10"/>
  <c r="Y9"/>
  <c r="X9"/>
  <c r="Y44" i="28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2"/>
  <c r="X22"/>
  <c r="Y21"/>
  <c r="X21"/>
  <c r="Y20"/>
  <c r="X20"/>
  <c r="Y19"/>
  <c r="X19"/>
  <c r="Y18"/>
  <c r="X18"/>
  <c r="Y17"/>
  <c r="X17"/>
  <c r="Y16"/>
  <c r="X16"/>
  <c r="Y15"/>
  <c r="X15"/>
  <c r="Y14"/>
  <c r="X14"/>
  <c r="Y13"/>
  <c r="X13"/>
  <c r="Y12"/>
  <c r="X12"/>
  <c r="Y11"/>
  <c r="X11"/>
  <c r="Y10"/>
  <c r="X10"/>
  <c r="Y9"/>
  <c r="X9"/>
  <c r="AA45" i="19"/>
  <c r="Z45"/>
  <c r="Y45"/>
  <c r="X45"/>
  <c r="AA44"/>
  <c r="Z44"/>
  <c r="Y44"/>
  <c r="X44"/>
  <c r="AA43"/>
  <c r="Z43"/>
  <c r="Y43"/>
  <c r="X43"/>
  <c r="AA42"/>
  <c r="Z42"/>
  <c r="Y42"/>
  <c r="X42"/>
  <c r="AA41"/>
  <c r="Z41"/>
  <c r="Y41"/>
  <c r="X41"/>
  <c r="AA40"/>
  <c r="Z40"/>
  <c r="Y40"/>
  <c r="X40"/>
  <c r="AA39"/>
  <c r="Z39"/>
  <c r="Y39"/>
  <c r="X39"/>
  <c r="AA38"/>
  <c r="Z38"/>
  <c r="Y38"/>
  <c r="X38"/>
  <c r="AA37"/>
  <c r="Z37"/>
  <c r="Y37"/>
  <c r="X37"/>
  <c r="AA36"/>
  <c r="Z36"/>
  <c r="Y36"/>
  <c r="X36"/>
  <c r="AA35"/>
  <c r="Z35"/>
  <c r="Y35"/>
  <c r="X35"/>
  <c r="AA34"/>
  <c r="Z34"/>
  <c r="Y34"/>
  <c r="X34"/>
  <c r="AA33"/>
  <c r="Z33"/>
  <c r="Y33"/>
  <c r="X33"/>
  <c r="AA32"/>
  <c r="Z32"/>
  <c r="Y32"/>
  <c r="X32"/>
  <c r="AA31"/>
  <c r="Z31"/>
  <c r="Y31"/>
  <c r="X31"/>
  <c r="AA30"/>
  <c r="Z30"/>
  <c r="Y30"/>
  <c r="X30"/>
  <c r="AA29"/>
  <c r="Z29"/>
  <c r="Y29"/>
  <c r="X29"/>
  <c r="AA28"/>
  <c r="Z28"/>
  <c r="Y28"/>
  <c r="X28"/>
  <c r="AA27"/>
  <c r="Z27"/>
  <c r="Y27"/>
  <c r="X27"/>
  <c r="AA26"/>
  <c r="Z26"/>
  <c r="Y26"/>
  <c r="X26"/>
  <c r="AA25"/>
  <c r="Z25"/>
  <c r="Y25"/>
  <c r="X25"/>
  <c r="AA24"/>
  <c r="Z24"/>
  <c r="Y24"/>
  <c r="X24"/>
  <c r="AA23"/>
  <c r="Z23"/>
  <c r="Y23"/>
  <c r="X23"/>
  <c r="AA22"/>
  <c r="Z22"/>
  <c r="Y22"/>
  <c r="X22"/>
  <c r="AA21"/>
  <c r="Z21"/>
  <c r="Y21"/>
  <c r="X21"/>
  <c r="AA20"/>
  <c r="Z20"/>
  <c r="Y20"/>
  <c r="X20"/>
  <c r="AA19"/>
  <c r="Z19"/>
  <c r="Y19"/>
  <c r="X19"/>
  <c r="AA18"/>
  <c r="Z18"/>
  <c r="Y18"/>
  <c r="X18"/>
  <c r="AA17"/>
  <c r="Z17"/>
  <c r="Y17"/>
  <c r="X17"/>
  <c r="AA16"/>
  <c r="Z16"/>
  <c r="Y16"/>
  <c r="X16"/>
  <c r="AA15"/>
  <c r="Z15"/>
  <c r="Y15"/>
  <c r="X15"/>
  <c r="AA14"/>
  <c r="Z14"/>
  <c r="Y14"/>
  <c r="X14"/>
  <c r="AA13"/>
  <c r="Z13"/>
  <c r="Y13"/>
  <c r="X13"/>
  <c r="AA12"/>
  <c r="Z12"/>
  <c r="Y12"/>
  <c r="X12"/>
  <c r="AA11"/>
  <c r="Z11"/>
  <c r="Y11"/>
  <c r="X11"/>
  <c r="AA10"/>
  <c r="Z10"/>
  <c r="Y10"/>
  <c r="X10"/>
  <c r="AA9"/>
  <c r="Z9"/>
  <c r="Y9"/>
  <c r="X9"/>
  <c r="Z45" i="18"/>
  <c r="Y45"/>
  <c r="X45"/>
  <c r="Z44"/>
  <c r="Y44"/>
  <c r="X44"/>
  <c r="Z43"/>
  <c r="Y43"/>
  <c r="X43"/>
  <c r="Z42"/>
  <c r="Y42"/>
  <c r="X42"/>
  <c r="Z41"/>
  <c r="Y41"/>
  <c r="X41"/>
  <c r="Z40"/>
  <c r="Y40"/>
  <c r="X40"/>
  <c r="Z39"/>
  <c r="Y39"/>
  <c r="X39"/>
  <c r="Z38"/>
  <c r="Y38"/>
  <c r="X38"/>
  <c r="Z37"/>
  <c r="Y37"/>
  <c r="X37"/>
  <c r="Z36"/>
  <c r="Y36"/>
  <c r="X36"/>
  <c r="Z35"/>
  <c r="Y35"/>
  <c r="X35"/>
  <c r="Z34"/>
  <c r="Y34"/>
  <c r="X34"/>
  <c r="Z33"/>
  <c r="Y33"/>
  <c r="X33"/>
  <c r="Z32"/>
  <c r="Y32"/>
  <c r="X32"/>
  <c r="Z31"/>
  <c r="Y31"/>
  <c r="X31"/>
  <c r="Z30"/>
  <c r="Y30"/>
  <c r="X30"/>
  <c r="Z29"/>
  <c r="Y29"/>
  <c r="X29"/>
  <c r="Z28"/>
  <c r="Y28"/>
  <c r="X28"/>
  <c r="Z27"/>
  <c r="Y27"/>
  <c r="X27"/>
  <c r="Z26"/>
  <c r="Y26"/>
  <c r="X26"/>
  <c r="Z25"/>
  <c r="Y25"/>
  <c r="X25"/>
  <c r="Z24"/>
  <c r="Y24"/>
  <c r="X24"/>
  <c r="Z23"/>
  <c r="Y23"/>
  <c r="X23"/>
  <c r="Z22"/>
  <c r="Y22"/>
  <c r="X22"/>
  <c r="Z21"/>
  <c r="Y21"/>
  <c r="X21"/>
  <c r="Z20"/>
  <c r="Y20"/>
  <c r="X20"/>
  <c r="Z19"/>
  <c r="Y19"/>
  <c r="X19"/>
  <c r="Z18"/>
  <c r="Y18"/>
  <c r="X18"/>
  <c r="Z17"/>
  <c r="Y17"/>
  <c r="X17"/>
  <c r="Z16"/>
  <c r="Y16"/>
  <c r="X16"/>
  <c r="Z15"/>
  <c r="Y15"/>
  <c r="X15"/>
  <c r="Z14"/>
  <c r="Y14"/>
  <c r="X14"/>
  <c r="Z13"/>
  <c r="Y13"/>
  <c r="X13"/>
  <c r="Z12"/>
  <c r="Y12"/>
  <c r="X12"/>
  <c r="Z11"/>
  <c r="Y11"/>
  <c r="X11"/>
  <c r="Z10"/>
  <c r="Y10"/>
  <c r="X10"/>
  <c r="Z9"/>
  <c r="Y9"/>
  <c r="X9"/>
  <c r="U45" i="1"/>
  <c r="T45"/>
  <c r="S45"/>
  <c r="U44"/>
  <c r="T44"/>
  <c r="S44"/>
  <c r="U43"/>
  <c r="T43"/>
  <c r="S43"/>
  <c r="U42"/>
  <c r="T42"/>
  <c r="S42"/>
  <c r="U41"/>
  <c r="T41"/>
  <c r="S41"/>
  <c r="U40"/>
  <c r="T40"/>
  <c r="S40"/>
  <c r="U39"/>
  <c r="T39"/>
  <c r="S39"/>
  <c r="U38"/>
  <c r="T38"/>
  <c r="S38"/>
  <c r="U37"/>
  <c r="T37"/>
  <c r="S37"/>
  <c r="U36"/>
  <c r="T36"/>
  <c r="S36"/>
  <c r="U35"/>
  <c r="T35"/>
  <c r="S35"/>
  <c r="U34"/>
  <c r="T34"/>
  <c r="S34"/>
  <c r="U33"/>
  <c r="T33"/>
  <c r="S33"/>
  <c r="U32"/>
  <c r="T32"/>
  <c r="S32"/>
  <c r="U31"/>
  <c r="T31"/>
  <c r="S31"/>
  <c r="U30"/>
  <c r="T30"/>
  <c r="S30"/>
  <c r="U29"/>
  <c r="T29"/>
  <c r="S29"/>
  <c r="U28"/>
  <c r="T28"/>
  <c r="S28"/>
  <c r="U27"/>
  <c r="T27"/>
  <c r="S27"/>
  <c r="U26"/>
  <c r="T26"/>
  <c r="S26"/>
  <c r="U25"/>
  <c r="T25"/>
  <c r="S25"/>
  <c r="U24"/>
  <c r="T24"/>
  <c r="S24"/>
  <c r="U23"/>
  <c r="T23"/>
  <c r="S23"/>
  <c r="U22"/>
  <c r="T22"/>
  <c r="S22"/>
  <c r="U21"/>
  <c r="T21"/>
  <c r="S21"/>
  <c r="U20"/>
  <c r="T20"/>
  <c r="S20"/>
  <c r="U19"/>
  <c r="T19"/>
  <c r="S19"/>
  <c r="U18"/>
  <c r="T18"/>
  <c r="S18"/>
  <c r="U17"/>
  <c r="T17"/>
  <c r="S17"/>
  <c r="U16"/>
  <c r="T16"/>
  <c r="S16"/>
  <c r="U15"/>
  <c r="T15"/>
  <c r="S15"/>
  <c r="U14"/>
  <c r="T14"/>
  <c r="S14"/>
  <c r="U13"/>
  <c r="T13"/>
  <c r="S13"/>
  <c r="U12"/>
  <c r="T12"/>
  <c r="S12"/>
  <c r="U11"/>
  <c r="T11"/>
  <c r="S11"/>
  <c r="U10"/>
  <c r="T10"/>
  <c r="S10"/>
  <c r="U9"/>
  <c r="T9"/>
  <c r="S9"/>
  <c r="L46" l="1"/>
  <c r="J46"/>
  <c r="F46"/>
  <c r="H46"/>
  <c r="L44" i="35"/>
  <c r="K44"/>
  <c r="I44"/>
  <c r="H44"/>
  <c r="G44"/>
  <c r="L43"/>
  <c r="K43"/>
  <c r="I43"/>
  <c r="L42"/>
  <c r="K42"/>
  <c r="I42"/>
  <c r="H42"/>
  <c r="G42"/>
  <c r="L41"/>
  <c r="K41"/>
  <c r="I41"/>
  <c r="H41"/>
  <c r="G41"/>
  <c r="L40"/>
  <c r="K40"/>
  <c r="I40"/>
  <c r="H40"/>
  <c r="G40"/>
  <c r="L39"/>
  <c r="K39"/>
  <c r="I39"/>
  <c r="H39"/>
  <c r="G39"/>
  <c r="L38"/>
  <c r="K38"/>
  <c r="I38"/>
  <c r="H38"/>
  <c r="G38"/>
  <c r="L37"/>
  <c r="K37"/>
  <c r="I37"/>
  <c r="H37"/>
  <c r="G37"/>
  <c r="L36"/>
  <c r="K36"/>
  <c r="I36"/>
  <c r="H36"/>
  <c r="G36"/>
  <c r="L35"/>
  <c r="K35"/>
  <c r="I35"/>
  <c r="H35"/>
  <c r="G35"/>
  <c r="L34"/>
  <c r="K34"/>
  <c r="I34"/>
  <c r="H34"/>
  <c r="G34"/>
  <c r="L33"/>
  <c r="K33"/>
  <c r="I33"/>
  <c r="H33"/>
  <c r="G33"/>
  <c r="L32"/>
  <c r="K32"/>
  <c r="I32"/>
  <c r="H32"/>
  <c r="G32"/>
  <c r="L31"/>
  <c r="K31"/>
  <c r="I31"/>
  <c r="H31"/>
  <c r="G31"/>
  <c r="N30"/>
  <c r="L30"/>
  <c r="K30"/>
  <c r="I30"/>
  <c r="H30"/>
  <c r="G30"/>
  <c r="N29"/>
  <c r="L29"/>
  <c r="K29"/>
  <c r="I29"/>
  <c r="H29"/>
  <c r="G29"/>
  <c r="N28"/>
  <c r="L28"/>
  <c r="K28"/>
  <c r="I28"/>
  <c r="H28"/>
  <c r="G28"/>
  <c r="N27"/>
  <c r="L27"/>
  <c r="K27"/>
  <c r="I27"/>
  <c r="H27"/>
  <c r="G27"/>
  <c r="N26"/>
  <c r="L26"/>
  <c r="K26"/>
  <c r="I26"/>
  <c r="H26"/>
  <c r="G26"/>
  <c r="N25"/>
  <c r="L25"/>
  <c r="K25"/>
  <c r="I25"/>
  <c r="H25"/>
  <c r="G25"/>
  <c r="N24"/>
  <c r="L24"/>
  <c r="K24"/>
  <c r="I24"/>
  <c r="H24"/>
  <c r="G24"/>
  <c r="N23"/>
  <c r="L23"/>
  <c r="K23"/>
  <c r="I23"/>
  <c r="H23"/>
  <c r="G23"/>
  <c r="N22"/>
  <c r="L22"/>
  <c r="K22"/>
  <c r="I22"/>
  <c r="H22"/>
  <c r="G22"/>
  <c r="F22"/>
  <c r="E22"/>
  <c r="N21"/>
  <c r="L21"/>
  <c r="K21"/>
  <c r="I21"/>
  <c r="H21"/>
  <c r="G21"/>
  <c r="F21"/>
  <c r="E21"/>
  <c r="N20"/>
  <c r="L20"/>
  <c r="K20"/>
  <c r="I20"/>
  <c r="H20"/>
  <c r="G20"/>
  <c r="F20"/>
  <c r="E20"/>
  <c r="N19"/>
  <c r="L19"/>
  <c r="K19"/>
  <c r="I19"/>
  <c r="H19"/>
  <c r="G19"/>
  <c r="F19"/>
  <c r="E19"/>
  <c r="N18"/>
  <c r="L18"/>
  <c r="K18"/>
  <c r="I18"/>
  <c r="H18"/>
  <c r="G18"/>
  <c r="F18"/>
  <c r="E18"/>
  <c r="N17"/>
  <c r="L17"/>
  <c r="K17"/>
  <c r="I17"/>
  <c r="H17"/>
  <c r="G17"/>
  <c r="F17"/>
  <c r="E17"/>
  <c r="N16"/>
  <c r="L16"/>
  <c r="K16"/>
  <c r="I16"/>
  <c r="H16"/>
  <c r="G16"/>
  <c r="F16"/>
  <c r="E16"/>
  <c r="L15"/>
  <c r="K15"/>
  <c r="I15"/>
  <c r="H15"/>
  <c r="G15"/>
  <c r="F15"/>
  <c r="E15"/>
  <c r="L14"/>
  <c r="K14"/>
  <c r="I14"/>
  <c r="H14"/>
  <c r="G14"/>
  <c r="F14"/>
  <c r="E14"/>
  <c r="L13"/>
  <c r="K13"/>
  <c r="I13"/>
  <c r="H13"/>
  <c r="G13"/>
  <c r="F13"/>
  <c r="E13"/>
  <c r="L44" i="34"/>
  <c r="K44"/>
  <c r="I44"/>
  <c r="H44"/>
  <c r="G44"/>
  <c r="L43"/>
  <c r="K43"/>
  <c r="I43"/>
  <c r="L42"/>
  <c r="K42"/>
  <c r="I42"/>
  <c r="H42"/>
  <c r="G42"/>
  <c r="L41"/>
  <c r="K41"/>
  <c r="I41"/>
  <c r="H41"/>
  <c r="G41"/>
  <c r="L40"/>
  <c r="K40"/>
  <c r="I40"/>
  <c r="H40"/>
  <c r="G40"/>
  <c r="L39"/>
  <c r="K39"/>
  <c r="I39"/>
  <c r="H39"/>
  <c r="G39"/>
  <c r="L38"/>
  <c r="K38"/>
  <c r="I38"/>
  <c r="H38"/>
  <c r="G38"/>
  <c r="L37"/>
  <c r="K37"/>
  <c r="I37"/>
  <c r="H37"/>
  <c r="G37"/>
  <c r="L36"/>
  <c r="K36"/>
  <c r="I36"/>
  <c r="H36"/>
  <c r="G36"/>
  <c r="L35"/>
  <c r="K35"/>
  <c r="I35"/>
  <c r="H35"/>
  <c r="G35"/>
  <c r="L34"/>
  <c r="K34"/>
  <c r="I34"/>
  <c r="H34"/>
  <c r="G34"/>
  <c r="L33"/>
  <c r="K33"/>
  <c r="I33"/>
  <c r="H33"/>
  <c r="G33"/>
  <c r="L32"/>
  <c r="K32"/>
  <c r="I32"/>
  <c r="H32"/>
  <c r="G32"/>
  <c r="L31"/>
  <c r="K31"/>
  <c r="I31"/>
  <c r="H31"/>
  <c r="G31"/>
  <c r="N30"/>
  <c r="L30"/>
  <c r="K30"/>
  <c r="I30"/>
  <c r="H30"/>
  <c r="G30"/>
  <c r="N29"/>
  <c r="L29"/>
  <c r="K29"/>
  <c r="I29"/>
  <c r="H29"/>
  <c r="G29"/>
  <c r="N28"/>
  <c r="L28"/>
  <c r="K28"/>
  <c r="I28"/>
  <c r="H28"/>
  <c r="G28"/>
  <c r="N27"/>
  <c r="L27"/>
  <c r="K27"/>
  <c r="I27"/>
  <c r="H27"/>
  <c r="G27"/>
  <c r="N26"/>
  <c r="L26"/>
  <c r="K26"/>
  <c r="I26"/>
  <c r="H26"/>
  <c r="G26"/>
  <c r="N25"/>
  <c r="L25"/>
  <c r="K25"/>
  <c r="I25"/>
  <c r="H25"/>
  <c r="G25"/>
  <c r="N24"/>
  <c r="L24"/>
  <c r="K24"/>
  <c r="I24"/>
  <c r="H24"/>
  <c r="G24"/>
  <c r="N23"/>
  <c r="L23"/>
  <c r="K23"/>
  <c r="I23"/>
  <c r="H23"/>
  <c r="G23"/>
  <c r="N22"/>
  <c r="L22"/>
  <c r="K22"/>
  <c r="I22"/>
  <c r="H22"/>
  <c r="G22"/>
  <c r="F22"/>
  <c r="E22"/>
  <c r="N21"/>
  <c r="L21"/>
  <c r="K21"/>
  <c r="I21"/>
  <c r="H21"/>
  <c r="G21"/>
  <c r="F21"/>
  <c r="E21"/>
  <c r="N20"/>
  <c r="L20"/>
  <c r="K20"/>
  <c r="I20"/>
  <c r="H20"/>
  <c r="G20"/>
  <c r="F20"/>
  <c r="E20"/>
  <c r="N19"/>
  <c r="L19"/>
  <c r="K19"/>
  <c r="I19"/>
  <c r="H19"/>
  <c r="G19"/>
  <c r="F19"/>
  <c r="E19"/>
  <c r="N18"/>
  <c r="L18"/>
  <c r="K18"/>
  <c r="I18"/>
  <c r="H18"/>
  <c r="G18"/>
  <c r="F18"/>
  <c r="E18"/>
  <c r="N17"/>
  <c r="L17"/>
  <c r="K17"/>
  <c r="I17"/>
  <c r="H17"/>
  <c r="G17"/>
  <c r="F17"/>
  <c r="E17"/>
  <c r="L16"/>
  <c r="K16"/>
  <c r="I16"/>
  <c r="H16"/>
  <c r="G16"/>
  <c r="F16"/>
  <c r="E16"/>
  <c r="L15"/>
  <c r="K15"/>
  <c r="I15"/>
  <c r="H15"/>
  <c r="G15"/>
  <c r="F15"/>
  <c r="E15"/>
  <c r="L14"/>
  <c r="K14"/>
  <c r="I14"/>
  <c r="H14"/>
  <c r="G14"/>
  <c r="F14"/>
  <c r="E14"/>
  <c r="L13"/>
  <c r="K13"/>
  <c r="I13"/>
  <c r="H13"/>
  <c r="G13"/>
  <c r="F13"/>
  <c r="E13"/>
  <c r="L44" i="33"/>
  <c r="K44"/>
  <c r="I44"/>
  <c r="H44"/>
  <c r="G44"/>
  <c r="L43"/>
  <c r="K43"/>
  <c r="I43"/>
  <c r="L42"/>
  <c r="K42"/>
  <c r="I42"/>
  <c r="H42"/>
  <c r="G42"/>
  <c r="L41"/>
  <c r="K41"/>
  <c r="I41"/>
  <c r="H41"/>
  <c r="G41"/>
  <c r="L40"/>
  <c r="K40"/>
  <c r="I40"/>
  <c r="H40"/>
  <c r="G40"/>
  <c r="L39"/>
  <c r="K39"/>
  <c r="I39"/>
  <c r="H39"/>
  <c r="G39"/>
  <c r="L38"/>
  <c r="K38"/>
  <c r="I38"/>
  <c r="H38"/>
  <c r="G38"/>
  <c r="L37"/>
  <c r="K37"/>
  <c r="I37"/>
  <c r="H37"/>
  <c r="G37"/>
  <c r="L36"/>
  <c r="K36"/>
  <c r="I36"/>
  <c r="H36"/>
  <c r="G36"/>
  <c r="L35"/>
  <c r="K35"/>
  <c r="I35"/>
  <c r="H35"/>
  <c r="G35"/>
  <c r="L34"/>
  <c r="K34"/>
  <c r="I34"/>
  <c r="H34"/>
  <c r="G34"/>
  <c r="L33"/>
  <c r="K33"/>
  <c r="I33"/>
  <c r="H33"/>
  <c r="G33"/>
  <c r="L32"/>
  <c r="K32"/>
  <c r="I32"/>
  <c r="H32"/>
  <c r="G32"/>
  <c r="L31"/>
  <c r="K31"/>
  <c r="I31"/>
  <c r="H31"/>
  <c r="G31"/>
  <c r="N30"/>
  <c r="L30"/>
  <c r="K30"/>
  <c r="I30"/>
  <c r="H30"/>
  <c r="G30"/>
  <c r="N29"/>
  <c r="L29"/>
  <c r="K29"/>
  <c r="I29"/>
  <c r="H29"/>
  <c r="G29"/>
  <c r="N28"/>
  <c r="L28"/>
  <c r="K28"/>
  <c r="I28"/>
  <c r="H28"/>
  <c r="G28"/>
  <c r="N27"/>
  <c r="L27"/>
  <c r="K27"/>
  <c r="I27"/>
  <c r="H27"/>
  <c r="G27"/>
  <c r="N26"/>
  <c r="L26"/>
  <c r="K26"/>
  <c r="I26"/>
  <c r="H26"/>
  <c r="G26"/>
  <c r="N25"/>
  <c r="L25"/>
  <c r="K25"/>
  <c r="I25"/>
  <c r="H25"/>
  <c r="N24"/>
  <c r="L24"/>
  <c r="K24"/>
  <c r="I24"/>
  <c r="H24"/>
  <c r="G24"/>
  <c r="N23"/>
  <c r="L23"/>
  <c r="K23"/>
  <c r="I23"/>
  <c r="H23"/>
  <c r="G23"/>
  <c r="N22"/>
  <c r="L22"/>
  <c r="K22"/>
  <c r="I22"/>
  <c r="H22"/>
  <c r="G22"/>
  <c r="F22"/>
  <c r="E22"/>
  <c r="N21"/>
  <c r="L21"/>
  <c r="K21"/>
  <c r="I21"/>
  <c r="H21"/>
  <c r="G21"/>
  <c r="F21"/>
  <c r="E21"/>
  <c r="N20"/>
  <c r="L20"/>
  <c r="K20"/>
  <c r="I20"/>
  <c r="H20"/>
  <c r="G20"/>
  <c r="F20"/>
  <c r="E20"/>
  <c r="N19"/>
  <c r="L19"/>
  <c r="K19"/>
  <c r="I19"/>
  <c r="H19"/>
  <c r="G19"/>
  <c r="F19"/>
  <c r="E19"/>
  <c r="N18"/>
  <c r="L18"/>
  <c r="K18"/>
  <c r="I18"/>
  <c r="H18"/>
  <c r="G18"/>
  <c r="F18"/>
  <c r="E18"/>
  <c r="L17"/>
  <c r="K17"/>
  <c r="I17"/>
  <c r="H17"/>
  <c r="G17"/>
  <c r="F17"/>
  <c r="E17"/>
  <c r="L16"/>
  <c r="K16"/>
  <c r="I16"/>
  <c r="H16"/>
  <c r="G16"/>
  <c r="F16"/>
  <c r="E16"/>
  <c r="L15"/>
  <c r="K15"/>
  <c r="I15"/>
  <c r="H15"/>
  <c r="G15"/>
  <c r="F15"/>
  <c r="E15"/>
  <c r="L14"/>
  <c r="K14"/>
  <c r="I14"/>
  <c r="H14"/>
  <c r="G14"/>
  <c r="F14"/>
  <c r="E14"/>
  <c r="L13"/>
  <c r="K13"/>
  <c r="I13"/>
  <c r="H13"/>
  <c r="G13"/>
  <c r="F13"/>
  <c r="E13"/>
  <c r="L44" i="32"/>
  <c r="K44"/>
  <c r="I44"/>
  <c r="H44"/>
  <c r="G44"/>
  <c r="L43"/>
  <c r="K43"/>
  <c r="I43"/>
  <c r="L42"/>
  <c r="K42"/>
  <c r="I42"/>
  <c r="H42"/>
  <c r="G42"/>
  <c r="L41"/>
  <c r="K41"/>
  <c r="I41"/>
  <c r="H41"/>
  <c r="G41"/>
  <c r="L40"/>
  <c r="K40"/>
  <c r="I40"/>
  <c r="H40"/>
  <c r="G40"/>
  <c r="L39"/>
  <c r="K39"/>
  <c r="I39"/>
  <c r="H39"/>
  <c r="G39"/>
  <c r="L38"/>
  <c r="K38"/>
  <c r="I38"/>
  <c r="H38"/>
  <c r="G38"/>
  <c r="L37"/>
  <c r="K37"/>
  <c r="I37"/>
  <c r="H37"/>
  <c r="G37"/>
  <c r="L36"/>
  <c r="K36"/>
  <c r="I36"/>
  <c r="H36"/>
  <c r="G36"/>
  <c r="L35"/>
  <c r="K35"/>
  <c r="I35"/>
  <c r="H35"/>
  <c r="G35"/>
  <c r="L34"/>
  <c r="K34"/>
  <c r="I34"/>
  <c r="H34"/>
  <c r="G34"/>
  <c r="L33"/>
  <c r="K33"/>
  <c r="I33"/>
  <c r="H33"/>
  <c r="G33"/>
  <c r="L32"/>
  <c r="K32"/>
  <c r="I32"/>
  <c r="H32"/>
  <c r="G32"/>
  <c r="L31"/>
  <c r="K31"/>
  <c r="I31"/>
  <c r="H31"/>
  <c r="G31"/>
  <c r="N30"/>
  <c r="L30"/>
  <c r="K30"/>
  <c r="I30"/>
  <c r="H30"/>
  <c r="G30"/>
  <c r="N29"/>
  <c r="L29"/>
  <c r="K29"/>
  <c r="I29"/>
  <c r="H29"/>
  <c r="G29"/>
  <c r="N28"/>
  <c r="L28"/>
  <c r="K28"/>
  <c r="I28"/>
  <c r="H28"/>
  <c r="G28"/>
  <c r="N27"/>
  <c r="L27"/>
  <c r="K27"/>
  <c r="I27"/>
  <c r="H27"/>
  <c r="G27"/>
  <c r="N26"/>
  <c r="L26"/>
  <c r="K26"/>
  <c r="I26"/>
  <c r="H26"/>
  <c r="G26"/>
  <c r="N25"/>
  <c r="L25"/>
  <c r="K25"/>
  <c r="I25"/>
  <c r="H25"/>
  <c r="G25"/>
  <c r="N24"/>
  <c r="L24"/>
  <c r="K24"/>
  <c r="I24"/>
  <c r="H24"/>
  <c r="G24"/>
  <c r="N23"/>
  <c r="L23"/>
  <c r="K23"/>
  <c r="I23"/>
  <c r="H23"/>
  <c r="G23"/>
  <c r="N22"/>
  <c r="L22"/>
  <c r="K22"/>
  <c r="I22"/>
  <c r="H22"/>
  <c r="G22"/>
  <c r="F22"/>
  <c r="E22"/>
  <c r="N21"/>
  <c r="L21"/>
  <c r="K21"/>
  <c r="I21"/>
  <c r="H21"/>
  <c r="G21"/>
  <c r="F21"/>
  <c r="E21"/>
  <c r="N20"/>
  <c r="L20"/>
  <c r="K20"/>
  <c r="I20"/>
  <c r="H20"/>
  <c r="G20"/>
  <c r="F20"/>
  <c r="E20"/>
  <c r="N19"/>
  <c r="L19"/>
  <c r="K19"/>
  <c r="I19"/>
  <c r="H19"/>
  <c r="G19"/>
  <c r="F19"/>
  <c r="E19"/>
  <c r="N18"/>
  <c r="L18"/>
  <c r="K18"/>
  <c r="I18"/>
  <c r="H18"/>
  <c r="G18"/>
  <c r="F18"/>
  <c r="E18"/>
  <c r="L17"/>
  <c r="K17"/>
  <c r="I17"/>
  <c r="H17"/>
  <c r="G17"/>
  <c r="F17"/>
  <c r="E17"/>
  <c r="L16"/>
  <c r="K16"/>
  <c r="I16"/>
  <c r="H16"/>
  <c r="G16"/>
  <c r="F16"/>
  <c r="E16"/>
  <c r="N15"/>
  <c r="L15"/>
  <c r="K15"/>
  <c r="I15"/>
  <c r="H15"/>
  <c r="G15"/>
  <c r="F15"/>
  <c r="E15"/>
  <c r="L14"/>
  <c r="K14"/>
  <c r="I14"/>
  <c r="H14"/>
  <c r="G14"/>
  <c r="F14"/>
  <c r="E14"/>
  <c r="L13"/>
  <c r="K13"/>
  <c r="I13"/>
  <c r="H13"/>
  <c r="G13"/>
  <c r="F13"/>
  <c r="E13"/>
  <c r="Q44" i="6"/>
  <c r="O44"/>
  <c r="N44"/>
  <c r="O43"/>
  <c r="N43"/>
  <c r="Q42"/>
  <c r="O42"/>
  <c r="N42"/>
  <c r="Q41"/>
  <c r="O41"/>
  <c r="N41"/>
  <c r="Q40"/>
  <c r="O40"/>
  <c r="N40"/>
  <c r="Q39"/>
  <c r="O39"/>
  <c r="N39"/>
  <c r="Q38"/>
  <c r="O38"/>
  <c r="N38"/>
  <c r="Q37"/>
  <c r="O37"/>
  <c r="N37"/>
  <c r="Q36"/>
  <c r="O36"/>
  <c r="N36"/>
  <c r="Q35"/>
  <c r="O35"/>
  <c r="N35"/>
  <c r="Q34"/>
  <c r="O34"/>
  <c r="N34"/>
  <c r="O33"/>
  <c r="N33"/>
  <c r="O32"/>
  <c r="N32"/>
  <c r="O31"/>
  <c r="N31"/>
  <c r="O30"/>
  <c r="N30"/>
  <c r="O29"/>
  <c r="N29"/>
  <c r="Q28"/>
  <c r="O28"/>
  <c r="N28"/>
  <c r="Q27"/>
  <c r="O27"/>
  <c r="N27"/>
  <c r="Q26"/>
  <c r="O26"/>
  <c r="N26"/>
  <c r="Q25"/>
  <c r="O25"/>
  <c r="N25"/>
  <c r="Q24"/>
  <c r="O24"/>
  <c r="N24"/>
  <c r="Q23"/>
  <c r="O23"/>
  <c r="N23"/>
  <c r="Q22"/>
  <c r="O22"/>
  <c r="N22"/>
  <c r="Q21"/>
  <c r="O21"/>
  <c r="N21"/>
  <c r="Q20"/>
  <c r="O20"/>
  <c r="N20"/>
  <c r="Q19"/>
  <c r="O19"/>
  <c r="N19"/>
  <c r="Q18"/>
  <c r="O18"/>
  <c r="N18"/>
  <c r="Q17"/>
  <c r="O17"/>
  <c r="N17"/>
  <c r="Q16"/>
  <c r="O16"/>
  <c r="N16"/>
  <c r="Q15"/>
  <c r="O15"/>
  <c r="N15"/>
  <c r="Q14"/>
  <c r="O14"/>
  <c r="N14"/>
  <c r="Q13"/>
  <c r="O13"/>
  <c r="N13"/>
  <c r="J44"/>
  <c r="I44"/>
  <c r="H44"/>
  <c r="G44"/>
  <c r="F44"/>
  <c r="J43"/>
  <c r="H43"/>
  <c r="J42"/>
  <c r="I42"/>
  <c r="H42"/>
  <c r="G42"/>
  <c r="F42"/>
  <c r="J41"/>
  <c r="I41"/>
  <c r="H41"/>
  <c r="G41"/>
  <c r="F41"/>
  <c r="J40"/>
  <c r="I40"/>
  <c r="H40"/>
  <c r="G40"/>
  <c r="F40"/>
  <c r="J39"/>
  <c r="I39"/>
  <c r="H39"/>
  <c r="G39"/>
  <c r="F39"/>
  <c r="J38"/>
  <c r="I38"/>
  <c r="H38"/>
  <c r="G38"/>
  <c r="F38"/>
  <c r="J37"/>
  <c r="I37"/>
  <c r="H37"/>
  <c r="G37"/>
  <c r="F37"/>
  <c r="J36"/>
  <c r="I36"/>
  <c r="H36"/>
  <c r="G36"/>
  <c r="F36"/>
  <c r="J35"/>
  <c r="I35"/>
  <c r="H35"/>
  <c r="G35"/>
  <c r="F35"/>
  <c r="J34"/>
  <c r="I34"/>
  <c r="H34"/>
  <c r="G34"/>
  <c r="F34"/>
  <c r="J33"/>
  <c r="I33"/>
  <c r="H33"/>
  <c r="G33"/>
  <c r="F33"/>
  <c r="J32"/>
  <c r="I32"/>
  <c r="H32"/>
  <c r="G32"/>
  <c r="F32"/>
  <c r="J31"/>
  <c r="I31"/>
  <c r="H31"/>
  <c r="G31"/>
  <c r="F31"/>
  <c r="J30"/>
  <c r="I30"/>
  <c r="H30"/>
  <c r="G30"/>
  <c r="F30"/>
  <c r="J29"/>
  <c r="I29"/>
  <c r="H29"/>
  <c r="G29"/>
  <c r="F29"/>
  <c r="J28"/>
  <c r="I28"/>
  <c r="H28"/>
  <c r="G28"/>
  <c r="F28"/>
  <c r="J27"/>
  <c r="I27"/>
  <c r="H27"/>
  <c r="G27"/>
  <c r="F27"/>
  <c r="J26"/>
  <c r="I26"/>
  <c r="H26"/>
  <c r="G26"/>
  <c r="F26"/>
  <c r="J25"/>
  <c r="I25"/>
  <c r="H25"/>
  <c r="G25"/>
  <c r="F25"/>
  <c r="J24"/>
  <c r="I24"/>
  <c r="H24"/>
  <c r="G24"/>
  <c r="F24"/>
  <c r="J23"/>
  <c r="I23"/>
  <c r="H23"/>
  <c r="G23"/>
  <c r="F23"/>
  <c r="J22"/>
  <c r="I22"/>
  <c r="H22"/>
  <c r="G22"/>
  <c r="F22"/>
  <c r="E22"/>
  <c r="D22"/>
  <c r="J21"/>
  <c r="I21"/>
  <c r="H21"/>
  <c r="G21"/>
  <c r="F21"/>
  <c r="E21"/>
  <c r="D21"/>
  <c r="J20"/>
  <c r="I20"/>
  <c r="H20"/>
  <c r="G20"/>
  <c r="F20"/>
  <c r="E20"/>
  <c r="D20"/>
  <c r="J19"/>
  <c r="I19"/>
  <c r="H19"/>
  <c r="G19"/>
  <c r="F19"/>
  <c r="E19"/>
  <c r="D19"/>
  <c r="J18"/>
  <c r="I18"/>
  <c r="H18"/>
  <c r="G18"/>
  <c r="F18"/>
  <c r="E18"/>
  <c r="D18"/>
  <c r="J17"/>
  <c r="I17"/>
  <c r="H17"/>
  <c r="G17"/>
  <c r="F17"/>
  <c r="E17"/>
  <c r="D17"/>
  <c r="J16"/>
  <c r="I16"/>
  <c r="H16"/>
  <c r="G16"/>
  <c r="F16"/>
  <c r="E16"/>
  <c r="D16"/>
  <c r="J15"/>
  <c r="I15"/>
  <c r="H15"/>
  <c r="G15"/>
  <c r="F15"/>
  <c r="E15"/>
  <c r="D15"/>
  <c r="J14"/>
  <c r="I14"/>
  <c r="H14"/>
  <c r="G14"/>
  <c r="F14"/>
  <c r="E14"/>
  <c r="D14"/>
  <c r="J13"/>
  <c r="I13"/>
  <c r="H13"/>
  <c r="G13"/>
  <c r="F13"/>
  <c r="E13"/>
  <c r="D13"/>
  <c r="L44" i="31"/>
  <c r="K44"/>
  <c r="I44"/>
  <c r="H44"/>
  <c r="G44"/>
  <c r="L43"/>
  <c r="K43"/>
  <c r="I43"/>
  <c r="L42"/>
  <c r="K42"/>
  <c r="I42"/>
  <c r="H42"/>
  <c r="G42"/>
  <c r="L41"/>
  <c r="K41"/>
  <c r="I41"/>
  <c r="H41"/>
  <c r="G41"/>
  <c r="L40"/>
  <c r="K40"/>
  <c r="I40"/>
  <c r="H40"/>
  <c r="G40"/>
  <c r="L39"/>
  <c r="K39"/>
  <c r="I39"/>
  <c r="H39"/>
  <c r="G39"/>
  <c r="L38"/>
  <c r="K38"/>
  <c r="I38"/>
  <c r="H38"/>
  <c r="G38"/>
  <c r="L37"/>
  <c r="K37"/>
  <c r="I37"/>
  <c r="H37"/>
  <c r="G37"/>
  <c r="L36"/>
  <c r="K36"/>
  <c r="I36"/>
  <c r="H36"/>
  <c r="G36"/>
  <c r="L35"/>
  <c r="K35"/>
  <c r="I35"/>
  <c r="H35"/>
  <c r="G35"/>
  <c r="L34"/>
  <c r="K34"/>
  <c r="I34"/>
  <c r="H34"/>
  <c r="G34"/>
  <c r="L33"/>
  <c r="K33"/>
  <c r="I33"/>
  <c r="H33"/>
  <c r="G33"/>
  <c r="L32"/>
  <c r="K32"/>
  <c r="I32"/>
  <c r="H32"/>
  <c r="G32"/>
  <c r="L31"/>
  <c r="K31"/>
  <c r="I31"/>
  <c r="H31"/>
  <c r="G31"/>
  <c r="N30"/>
  <c r="L30"/>
  <c r="K30"/>
  <c r="I30"/>
  <c r="H30"/>
  <c r="G30"/>
  <c r="N29"/>
  <c r="L29"/>
  <c r="K29"/>
  <c r="I29"/>
  <c r="H29"/>
  <c r="G29"/>
  <c r="N28"/>
  <c r="L28"/>
  <c r="K28"/>
  <c r="I28"/>
  <c r="H28"/>
  <c r="G28"/>
  <c r="N27"/>
  <c r="L27"/>
  <c r="K27"/>
  <c r="I27"/>
  <c r="H27"/>
  <c r="G27"/>
  <c r="N26"/>
  <c r="L26"/>
  <c r="K26"/>
  <c r="I26"/>
  <c r="H26"/>
  <c r="G26"/>
  <c r="N25"/>
  <c r="L25"/>
  <c r="K25"/>
  <c r="I25"/>
  <c r="H25"/>
  <c r="G25"/>
  <c r="N24"/>
  <c r="L24"/>
  <c r="K24"/>
  <c r="I24"/>
  <c r="H24"/>
  <c r="G24"/>
  <c r="N23"/>
  <c r="L23"/>
  <c r="K23"/>
  <c r="I23"/>
  <c r="H23"/>
  <c r="G23"/>
  <c r="N22"/>
  <c r="L22"/>
  <c r="K22"/>
  <c r="I22"/>
  <c r="H22"/>
  <c r="G22"/>
  <c r="F22"/>
  <c r="E22"/>
  <c r="N21"/>
  <c r="L21"/>
  <c r="K21"/>
  <c r="I21"/>
  <c r="H21"/>
  <c r="G21"/>
  <c r="F21"/>
  <c r="E21"/>
  <c r="N20"/>
  <c r="L20"/>
  <c r="K20"/>
  <c r="I20"/>
  <c r="H20"/>
  <c r="G20"/>
  <c r="F20"/>
  <c r="E20"/>
  <c r="N19"/>
  <c r="L19"/>
  <c r="K19"/>
  <c r="I19"/>
  <c r="H19"/>
  <c r="G19"/>
  <c r="F19"/>
  <c r="E19"/>
  <c r="N18"/>
  <c r="L18"/>
  <c r="K18"/>
  <c r="I18"/>
  <c r="H18"/>
  <c r="G18"/>
  <c r="F18"/>
  <c r="E18"/>
  <c r="L17"/>
  <c r="K17"/>
  <c r="I17"/>
  <c r="H17"/>
  <c r="G17"/>
  <c r="F17"/>
  <c r="E17"/>
  <c r="L16"/>
  <c r="K16"/>
  <c r="I16"/>
  <c r="H16"/>
  <c r="G16"/>
  <c r="F16"/>
  <c r="E16"/>
  <c r="L15"/>
  <c r="K15"/>
  <c r="I15"/>
  <c r="H15"/>
  <c r="G15"/>
  <c r="F15"/>
  <c r="E15"/>
  <c r="L14"/>
  <c r="K14"/>
  <c r="I14"/>
  <c r="H14"/>
  <c r="G14"/>
  <c r="F14"/>
  <c r="E14"/>
  <c r="L13"/>
  <c r="K13"/>
  <c r="I13"/>
  <c r="H13"/>
  <c r="G13"/>
  <c r="F13"/>
  <c r="E13"/>
  <c r="L44" i="30"/>
  <c r="K44"/>
  <c r="I44"/>
  <c r="H44"/>
  <c r="G44"/>
  <c r="L43"/>
  <c r="K43"/>
  <c r="I43"/>
  <c r="L42"/>
  <c r="K42"/>
  <c r="I42"/>
  <c r="H42"/>
  <c r="G42"/>
  <c r="L41"/>
  <c r="K41"/>
  <c r="I41"/>
  <c r="H41"/>
  <c r="G41"/>
  <c r="L40"/>
  <c r="K40"/>
  <c r="I40"/>
  <c r="H40"/>
  <c r="G40"/>
  <c r="L39"/>
  <c r="K39"/>
  <c r="I39"/>
  <c r="H39"/>
  <c r="G39"/>
  <c r="L38"/>
  <c r="K38"/>
  <c r="I38"/>
  <c r="H38"/>
  <c r="G38"/>
  <c r="L37"/>
  <c r="K37"/>
  <c r="I37"/>
  <c r="H37"/>
  <c r="G37"/>
  <c r="L36"/>
  <c r="K36"/>
  <c r="I36"/>
  <c r="H36"/>
  <c r="G36"/>
  <c r="L35"/>
  <c r="K35"/>
  <c r="I35"/>
  <c r="H35"/>
  <c r="G35"/>
  <c r="L34"/>
  <c r="K34"/>
  <c r="I34"/>
  <c r="H34"/>
  <c r="G34"/>
  <c r="L33"/>
  <c r="K33"/>
  <c r="I33"/>
  <c r="H33"/>
  <c r="G33"/>
  <c r="L32"/>
  <c r="K32"/>
  <c r="I32"/>
  <c r="H32"/>
  <c r="G32"/>
  <c r="L31"/>
  <c r="K31"/>
  <c r="I31"/>
  <c r="H31"/>
  <c r="G31"/>
  <c r="N30"/>
  <c r="L30"/>
  <c r="K30"/>
  <c r="I30"/>
  <c r="H30"/>
  <c r="G30"/>
  <c r="N29"/>
  <c r="L29"/>
  <c r="K29"/>
  <c r="I29"/>
  <c r="H29"/>
  <c r="G29"/>
  <c r="N28"/>
  <c r="L28"/>
  <c r="K28"/>
  <c r="I28"/>
  <c r="H28"/>
  <c r="G28"/>
  <c r="N27"/>
  <c r="L27"/>
  <c r="K27"/>
  <c r="I27"/>
  <c r="H27"/>
  <c r="G27"/>
  <c r="N26"/>
  <c r="L26"/>
  <c r="K26"/>
  <c r="I26"/>
  <c r="H26"/>
  <c r="G26"/>
  <c r="N25"/>
  <c r="L25"/>
  <c r="K25"/>
  <c r="I25"/>
  <c r="H25"/>
  <c r="G25"/>
  <c r="N24"/>
  <c r="L24"/>
  <c r="K24"/>
  <c r="I24"/>
  <c r="H24"/>
  <c r="G24"/>
  <c r="N23"/>
  <c r="L23"/>
  <c r="K23"/>
  <c r="I23"/>
  <c r="H23"/>
  <c r="G23"/>
  <c r="N22"/>
  <c r="L22"/>
  <c r="K22"/>
  <c r="I22"/>
  <c r="H22"/>
  <c r="G22"/>
  <c r="F22"/>
  <c r="E22"/>
  <c r="N21"/>
  <c r="L21"/>
  <c r="K21"/>
  <c r="I21"/>
  <c r="H21"/>
  <c r="G21"/>
  <c r="F21"/>
  <c r="E21"/>
  <c r="N20"/>
  <c r="L20"/>
  <c r="K20"/>
  <c r="I20"/>
  <c r="H20"/>
  <c r="G20"/>
  <c r="F20"/>
  <c r="E20"/>
  <c r="N19"/>
  <c r="L19"/>
  <c r="K19"/>
  <c r="I19"/>
  <c r="H19"/>
  <c r="G19"/>
  <c r="F19"/>
  <c r="E19"/>
  <c r="N18"/>
  <c r="L18"/>
  <c r="K18"/>
  <c r="I18"/>
  <c r="H18"/>
  <c r="G18"/>
  <c r="F18"/>
  <c r="E18"/>
  <c r="L17"/>
  <c r="K17"/>
  <c r="I17"/>
  <c r="H17"/>
  <c r="G17"/>
  <c r="F17"/>
  <c r="E17"/>
  <c r="L16"/>
  <c r="K16"/>
  <c r="I16"/>
  <c r="H16"/>
  <c r="G16"/>
  <c r="F16"/>
  <c r="E16"/>
  <c r="L15"/>
  <c r="K15"/>
  <c r="I15"/>
  <c r="H15"/>
  <c r="G15"/>
  <c r="F15"/>
  <c r="E15"/>
  <c r="N14"/>
  <c r="L14"/>
  <c r="K14"/>
  <c r="I14"/>
  <c r="H14"/>
  <c r="G14"/>
  <c r="F14"/>
  <c r="E14"/>
  <c r="L13"/>
  <c r="K13"/>
  <c r="I13"/>
  <c r="H13"/>
  <c r="G13"/>
  <c r="F13"/>
  <c r="E13"/>
  <c r="K44" i="29"/>
  <c r="L43"/>
  <c r="K43"/>
  <c r="I43"/>
  <c r="L42"/>
  <c r="K42"/>
  <c r="I42"/>
  <c r="H42"/>
  <c r="G42"/>
  <c r="L41"/>
  <c r="K41"/>
  <c r="I41"/>
  <c r="H41"/>
  <c r="G41"/>
  <c r="L40"/>
  <c r="K40"/>
  <c r="I40"/>
  <c r="H40"/>
  <c r="G40"/>
  <c r="L39"/>
  <c r="K39"/>
  <c r="I39"/>
  <c r="H39"/>
  <c r="G39"/>
  <c r="L38"/>
  <c r="K38"/>
  <c r="I38"/>
  <c r="H38"/>
  <c r="G38"/>
  <c r="L37"/>
  <c r="K37"/>
  <c r="I37"/>
  <c r="H37"/>
  <c r="G37"/>
  <c r="L36"/>
  <c r="K36"/>
  <c r="I36"/>
  <c r="H36"/>
  <c r="G36"/>
  <c r="L35"/>
  <c r="K35"/>
  <c r="I35"/>
  <c r="H35"/>
  <c r="G35"/>
  <c r="L34"/>
  <c r="K34"/>
  <c r="I34"/>
  <c r="H34"/>
  <c r="G34"/>
  <c r="L33"/>
  <c r="K33"/>
  <c r="I33"/>
  <c r="H33"/>
  <c r="G33"/>
  <c r="L32"/>
  <c r="K32"/>
  <c r="I32"/>
  <c r="H32"/>
  <c r="G32"/>
  <c r="L31"/>
  <c r="K31"/>
  <c r="I31"/>
  <c r="H31"/>
  <c r="G31"/>
  <c r="N30"/>
  <c r="L30"/>
  <c r="K30"/>
  <c r="I30"/>
  <c r="H30"/>
  <c r="G30"/>
  <c r="N29"/>
  <c r="L29"/>
  <c r="K29"/>
  <c r="I29"/>
  <c r="H29"/>
  <c r="G29"/>
  <c r="N28"/>
  <c r="L28"/>
  <c r="K28"/>
  <c r="I28"/>
  <c r="H28"/>
  <c r="G28"/>
  <c r="N27"/>
  <c r="L27"/>
  <c r="K27"/>
  <c r="I27"/>
  <c r="H27"/>
  <c r="G27"/>
  <c r="N26"/>
  <c r="L26"/>
  <c r="K26"/>
  <c r="I26"/>
  <c r="H26"/>
  <c r="G26"/>
  <c r="N25"/>
  <c r="L25"/>
  <c r="K25"/>
  <c r="I25"/>
  <c r="H25"/>
  <c r="G25"/>
  <c r="N24"/>
  <c r="L24"/>
  <c r="K24"/>
  <c r="I24"/>
  <c r="H24"/>
  <c r="G24"/>
  <c r="N23"/>
  <c r="L23"/>
  <c r="K23"/>
  <c r="I23"/>
  <c r="H23"/>
  <c r="G23"/>
  <c r="N22"/>
  <c r="L22"/>
  <c r="K22"/>
  <c r="I22"/>
  <c r="H22"/>
  <c r="G22"/>
  <c r="F22"/>
  <c r="E22"/>
  <c r="N21"/>
  <c r="L21"/>
  <c r="K21"/>
  <c r="I21"/>
  <c r="H21"/>
  <c r="G21"/>
  <c r="F21"/>
  <c r="E21"/>
  <c r="N20"/>
  <c r="L20"/>
  <c r="K20"/>
  <c r="I20"/>
  <c r="H20"/>
  <c r="G20"/>
  <c r="F20"/>
  <c r="E20"/>
  <c r="N19"/>
  <c r="L19"/>
  <c r="K19"/>
  <c r="I19"/>
  <c r="H19"/>
  <c r="G19"/>
  <c r="F19"/>
  <c r="E19"/>
  <c r="N18"/>
  <c r="L18"/>
  <c r="K18"/>
  <c r="I18"/>
  <c r="H18"/>
  <c r="G18"/>
  <c r="F18"/>
  <c r="E18"/>
  <c r="L17"/>
  <c r="K17"/>
  <c r="I17"/>
  <c r="H17"/>
  <c r="G17"/>
  <c r="F17"/>
  <c r="E17"/>
  <c r="L16"/>
  <c r="K16"/>
  <c r="I16"/>
  <c r="H16"/>
  <c r="G16"/>
  <c r="F16"/>
  <c r="E16"/>
  <c r="L15"/>
  <c r="K15"/>
  <c r="I15"/>
  <c r="H15"/>
  <c r="G15"/>
  <c r="F15"/>
  <c r="E15"/>
  <c r="L14"/>
  <c r="K14"/>
  <c r="I14"/>
  <c r="H14"/>
  <c r="G14"/>
  <c r="F14"/>
  <c r="E14"/>
  <c r="L13"/>
  <c r="K13"/>
  <c r="I13"/>
  <c r="H13"/>
  <c r="G13"/>
  <c r="F13"/>
  <c r="E13"/>
  <c r="L44" i="28"/>
  <c r="K44"/>
  <c r="I44"/>
  <c r="H44"/>
  <c r="G44"/>
  <c r="L43"/>
  <c r="K43"/>
  <c r="I43"/>
  <c r="L42"/>
  <c r="K42"/>
  <c r="I42"/>
  <c r="H42"/>
  <c r="G42"/>
  <c r="L41"/>
  <c r="K41"/>
  <c r="I41"/>
  <c r="H41"/>
  <c r="G41"/>
  <c r="L40"/>
  <c r="K40"/>
  <c r="I40"/>
  <c r="H40"/>
  <c r="G40"/>
  <c r="L39"/>
  <c r="K39"/>
  <c r="I39"/>
  <c r="H39"/>
  <c r="G39"/>
  <c r="L38"/>
  <c r="K38"/>
  <c r="I38"/>
  <c r="H38"/>
  <c r="G38"/>
  <c r="L37"/>
  <c r="K37"/>
  <c r="I37"/>
  <c r="H37"/>
  <c r="G37"/>
  <c r="L36"/>
  <c r="K36"/>
  <c r="I36"/>
  <c r="H36"/>
  <c r="G36"/>
  <c r="L35"/>
  <c r="K35"/>
  <c r="I35"/>
  <c r="H35"/>
  <c r="G35"/>
  <c r="L34"/>
  <c r="K34"/>
  <c r="I34"/>
  <c r="H34"/>
  <c r="G34"/>
  <c r="L33"/>
  <c r="K33"/>
  <c r="I33"/>
  <c r="H33"/>
  <c r="G33"/>
  <c r="L32"/>
  <c r="K32"/>
  <c r="I32"/>
  <c r="H32"/>
  <c r="G32"/>
  <c r="L31"/>
  <c r="K31"/>
  <c r="I31"/>
  <c r="H31"/>
  <c r="G31"/>
  <c r="N30"/>
  <c r="L30"/>
  <c r="K30"/>
  <c r="I30"/>
  <c r="H30"/>
  <c r="G30"/>
  <c r="N29"/>
  <c r="L29"/>
  <c r="K29"/>
  <c r="I29"/>
  <c r="H29"/>
  <c r="G29"/>
  <c r="N28"/>
  <c r="L28"/>
  <c r="K28"/>
  <c r="I28"/>
  <c r="H28"/>
  <c r="G28"/>
  <c r="N27"/>
  <c r="L27"/>
  <c r="K27"/>
  <c r="I27"/>
  <c r="H27"/>
  <c r="G27"/>
  <c r="N26"/>
  <c r="L26"/>
  <c r="K26"/>
  <c r="I26"/>
  <c r="H26"/>
  <c r="G26"/>
  <c r="N25"/>
  <c r="L25"/>
  <c r="K25"/>
  <c r="I25"/>
  <c r="H25"/>
  <c r="G25"/>
  <c r="N24"/>
  <c r="L24"/>
  <c r="K24"/>
  <c r="I24"/>
  <c r="H24"/>
  <c r="G24"/>
  <c r="N23"/>
  <c r="L23"/>
  <c r="K23"/>
  <c r="I23"/>
  <c r="H23"/>
  <c r="G23"/>
  <c r="N22"/>
  <c r="L22"/>
  <c r="K22"/>
  <c r="I22"/>
  <c r="H22"/>
  <c r="G22"/>
  <c r="F22"/>
  <c r="E22"/>
  <c r="N21"/>
  <c r="L21"/>
  <c r="K21"/>
  <c r="I21"/>
  <c r="H21"/>
  <c r="G21"/>
  <c r="F21"/>
  <c r="E21"/>
  <c r="N20"/>
  <c r="L20"/>
  <c r="K20"/>
  <c r="I20"/>
  <c r="H20"/>
  <c r="G20"/>
  <c r="F20"/>
  <c r="E20"/>
  <c r="N19"/>
  <c r="L19"/>
  <c r="K19"/>
  <c r="I19"/>
  <c r="H19"/>
  <c r="G19"/>
  <c r="F19"/>
  <c r="E19"/>
  <c r="N18"/>
  <c r="L18"/>
  <c r="K18"/>
  <c r="I18"/>
  <c r="H18"/>
  <c r="G18"/>
  <c r="F18"/>
  <c r="E18"/>
  <c r="L17"/>
  <c r="K17"/>
  <c r="I17"/>
  <c r="H17"/>
  <c r="G17"/>
  <c r="F17"/>
  <c r="E17"/>
  <c r="L16"/>
  <c r="K16"/>
  <c r="I16"/>
  <c r="H16"/>
  <c r="G16"/>
  <c r="F16"/>
  <c r="E16"/>
  <c r="L15"/>
  <c r="K15"/>
  <c r="I15"/>
  <c r="H15"/>
  <c r="G15"/>
  <c r="F15"/>
  <c r="E15"/>
  <c r="L14"/>
  <c r="K14"/>
  <c r="I14"/>
  <c r="H14"/>
  <c r="G14"/>
  <c r="F14"/>
  <c r="E14"/>
  <c r="L13"/>
  <c r="K13"/>
  <c r="I13"/>
  <c r="H13"/>
  <c r="G13"/>
  <c r="F13"/>
  <c r="E13"/>
  <c r="L45" i="19"/>
  <c r="K45"/>
  <c r="I45"/>
  <c r="L44"/>
  <c r="K44"/>
  <c r="I44"/>
  <c r="H44"/>
  <c r="G44"/>
  <c r="L43"/>
  <c r="K43"/>
  <c r="I43"/>
  <c r="L42"/>
  <c r="K42"/>
  <c r="I42"/>
  <c r="H42"/>
  <c r="G42"/>
  <c r="L41"/>
  <c r="K41"/>
  <c r="I41"/>
  <c r="H41"/>
  <c r="G41"/>
  <c r="L40"/>
  <c r="K40"/>
  <c r="I40"/>
  <c r="H40"/>
  <c r="G40"/>
  <c r="L39"/>
  <c r="K39"/>
  <c r="I39"/>
  <c r="H39"/>
  <c r="G39"/>
  <c r="L38"/>
  <c r="K38"/>
  <c r="I38"/>
  <c r="H38"/>
  <c r="G38"/>
  <c r="L37"/>
  <c r="K37"/>
  <c r="I37"/>
  <c r="H37"/>
  <c r="G37"/>
  <c r="L36"/>
  <c r="K36"/>
  <c r="I36"/>
  <c r="H36"/>
  <c r="G36"/>
  <c r="L35"/>
  <c r="K35"/>
  <c r="I35"/>
  <c r="H35"/>
  <c r="G35"/>
  <c r="L34"/>
  <c r="K34"/>
  <c r="I34"/>
  <c r="H34"/>
  <c r="G34"/>
  <c r="L33"/>
  <c r="K33"/>
  <c r="I33"/>
  <c r="H33"/>
  <c r="G33"/>
  <c r="L32"/>
  <c r="K32"/>
  <c r="I32"/>
  <c r="H32"/>
  <c r="G32"/>
  <c r="L31"/>
  <c r="K31"/>
  <c r="I31"/>
  <c r="H31"/>
  <c r="G31"/>
  <c r="N30"/>
  <c r="L30"/>
  <c r="K30"/>
  <c r="I30"/>
  <c r="H30"/>
  <c r="G30"/>
  <c r="N29"/>
  <c r="L29"/>
  <c r="K29"/>
  <c r="I29"/>
  <c r="H29"/>
  <c r="G29"/>
  <c r="N28"/>
  <c r="L28"/>
  <c r="K28"/>
  <c r="I28"/>
  <c r="H28"/>
  <c r="G28"/>
  <c r="N27"/>
  <c r="L27"/>
  <c r="K27"/>
  <c r="I27"/>
  <c r="H27"/>
  <c r="G27"/>
  <c r="N26"/>
  <c r="L26"/>
  <c r="K26"/>
  <c r="I26"/>
  <c r="H26"/>
  <c r="G26"/>
  <c r="N25"/>
  <c r="L25"/>
  <c r="K25"/>
  <c r="I25"/>
  <c r="H25"/>
  <c r="G25"/>
  <c r="N24"/>
  <c r="L24"/>
  <c r="K24"/>
  <c r="I24"/>
  <c r="H24"/>
  <c r="G24"/>
  <c r="N23"/>
  <c r="L23"/>
  <c r="K23"/>
  <c r="I23"/>
  <c r="H23"/>
  <c r="G23"/>
  <c r="N22"/>
  <c r="L22"/>
  <c r="K22"/>
  <c r="I22"/>
  <c r="H22"/>
  <c r="G22"/>
  <c r="F22"/>
  <c r="E22"/>
  <c r="N21"/>
  <c r="L21"/>
  <c r="K21"/>
  <c r="I21"/>
  <c r="H21"/>
  <c r="G21"/>
  <c r="F21"/>
  <c r="E21"/>
  <c r="N20"/>
  <c r="L20"/>
  <c r="K20"/>
  <c r="I20"/>
  <c r="H20"/>
  <c r="G20"/>
  <c r="F20"/>
  <c r="E20"/>
  <c r="N19"/>
  <c r="L19"/>
  <c r="K19"/>
  <c r="I19"/>
  <c r="H19"/>
  <c r="G19"/>
  <c r="F19"/>
  <c r="E19"/>
  <c r="N18"/>
  <c r="L18"/>
  <c r="K18"/>
  <c r="I18"/>
  <c r="H18"/>
  <c r="G18"/>
  <c r="F18"/>
  <c r="E18"/>
  <c r="L17"/>
  <c r="K17"/>
  <c r="I17"/>
  <c r="H17"/>
  <c r="G17"/>
  <c r="F17"/>
  <c r="E17"/>
  <c r="L16"/>
  <c r="K16"/>
  <c r="I16"/>
  <c r="H16"/>
  <c r="G16"/>
  <c r="F16"/>
  <c r="E16"/>
  <c r="L15"/>
  <c r="K15"/>
  <c r="I15"/>
  <c r="H15"/>
  <c r="G15"/>
  <c r="F15"/>
  <c r="E15"/>
  <c r="L14"/>
  <c r="K14"/>
  <c r="I14"/>
  <c r="H14"/>
  <c r="G14"/>
  <c r="F14"/>
  <c r="E14"/>
  <c r="L13"/>
  <c r="K13"/>
  <c r="I13"/>
  <c r="H13"/>
  <c r="G13"/>
  <c r="F13"/>
  <c r="E13"/>
  <c r="L45" i="18"/>
  <c r="K45"/>
  <c r="I45"/>
  <c r="N44"/>
  <c r="L44"/>
  <c r="K44"/>
  <c r="I44"/>
  <c r="H44"/>
  <c r="G44"/>
  <c r="L43"/>
  <c r="K43"/>
  <c r="I43"/>
  <c r="N42"/>
  <c r="L42"/>
  <c r="K42"/>
  <c r="I42"/>
  <c r="H42"/>
  <c r="G42"/>
  <c r="L41"/>
  <c r="K41"/>
  <c r="I41"/>
  <c r="H41"/>
  <c r="G41"/>
  <c r="L40"/>
  <c r="K40"/>
  <c r="I40"/>
  <c r="H40"/>
  <c r="G40"/>
  <c r="L39"/>
  <c r="K39"/>
  <c r="I39"/>
  <c r="H39"/>
  <c r="G39"/>
  <c r="L38"/>
  <c r="K38"/>
  <c r="I38"/>
  <c r="H38"/>
  <c r="G38"/>
  <c r="L37"/>
  <c r="K37"/>
  <c r="I37"/>
  <c r="H37"/>
  <c r="G37"/>
  <c r="L36"/>
  <c r="K36"/>
  <c r="I36"/>
  <c r="H36"/>
  <c r="G36"/>
  <c r="L34"/>
  <c r="K34"/>
  <c r="I34"/>
  <c r="H34"/>
  <c r="G34"/>
  <c r="L33"/>
  <c r="K33"/>
  <c r="I33"/>
  <c r="H33"/>
  <c r="G33"/>
  <c r="L32"/>
  <c r="K32"/>
  <c r="I32"/>
  <c r="H32"/>
  <c r="G32"/>
  <c r="L31"/>
  <c r="K31"/>
  <c r="I31"/>
  <c r="H31"/>
  <c r="G31"/>
  <c r="N30"/>
  <c r="L30"/>
  <c r="K30"/>
  <c r="I30"/>
  <c r="H30"/>
  <c r="G30"/>
  <c r="N29"/>
  <c r="L29"/>
  <c r="K29"/>
  <c r="I29"/>
  <c r="H29"/>
  <c r="G29"/>
  <c r="N28"/>
  <c r="L28"/>
  <c r="K28"/>
  <c r="I28"/>
  <c r="H28"/>
  <c r="G28"/>
  <c r="N27"/>
  <c r="L27"/>
  <c r="K27"/>
  <c r="I27"/>
  <c r="H27"/>
  <c r="G27"/>
  <c r="N26"/>
  <c r="L26"/>
  <c r="K26"/>
  <c r="I26"/>
  <c r="H26"/>
  <c r="G26"/>
  <c r="N25"/>
  <c r="L25"/>
  <c r="K25"/>
  <c r="I25"/>
  <c r="H25"/>
  <c r="G25"/>
  <c r="N24"/>
  <c r="L24"/>
  <c r="K24"/>
  <c r="I24"/>
  <c r="H24"/>
  <c r="G24"/>
  <c r="N23"/>
  <c r="L23"/>
  <c r="K23"/>
  <c r="I23"/>
  <c r="H23"/>
  <c r="G23"/>
  <c r="N22"/>
  <c r="L22"/>
  <c r="K22"/>
  <c r="I22"/>
  <c r="H22"/>
  <c r="G22"/>
  <c r="F22"/>
  <c r="E22"/>
  <c r="N21"/>
  <c r="L21"/>
  <c r="K21"/>
  <c r="I21"/>
  <c r="H21"/>
  <c r="G21"/>
  <c r="F21"/>
  <c r="E21"/>
  <c r="N20"/>
  <c r="L20"/>
  <c r="K20"/>
  <c r="I20"/>
  <c r="H20"/>
  <c r="G20"/>
  <c r="F20"/>
  <c r="E20"/>
  <c r="N19"/>
  <c r="L19"/>
  <c r="K19"/>
  <c r="I19"/>
  <c r="H19"/>
  <c r="G19"/>
  <c r="F19"/>
  <c r="E19"/>
  <c r="N18"/>
  <c r="L18"/>
  <c r="K18"/>
  <c r="I18"/>
  <c r="H18"/>
  <c r="G18"/>
  <c r="F18"/>
  <c r="E18"/>
  <c r="L17"/>
  <c r="K17"/>
  <c r="I17"/>
  <c r="H17"/>
  <c r="G17"/>
  <c r="F17"/>
  <c r="E17"/>
  <c r="L16"/>
  <c r="K16"/>
  <c r="I16"/>
  <c r="H16"/>
  <c r="G16"/>
  <c r="F16"/>
  <c r="E16"/>
  <c r="L15"/>
  <c r="K15"/>
  <c r="I15"/>
  <c r="H15"/>
  <c r="G15"/>
  <c r="F15"/>
  <c r="E15"/>
  <c r="L14"/>
  <c r="K14"/>
  <c r="I14"/>
  <c r="H14"/>
  <c r="G14"/>
  <c r="F14"/>
  <c r="E14"/>
  <c r="L13"/>
  <c r="K13"/>
  <c r="I13"/>
  <c r="H13"/>
  <c r="G13"/>
  <c r="F13"/>
  <c r="E13"/>
  <c r="L45" i="1"/>
  <c r="L44"/>
  <c r="L43"/>
  <c r="L42"/>
  <c r="L41"/>
  <c r="L40"/>
  <c r="L39"/>
  <c r="L38"/>
  <c r="L37"/>
  <c r="L36"/>
  <c r="L35"/>
  <c r="L34"/>
  <c r="L33"/>
  <c r="L32"/>
  <c r="H45"/>
  <c r="F45"/>
  <c r="H44"/>
  <c r="F44"/>
  <c r="H43"/>
  <c r="F43"/>
  <c r="H42"/>
  <c r="G42"/>
  <c r="F42"/>
  <c r="E42"/>
  <c r="D42"/>
  <c r="H41"/>
  <c r="G41"/>
  <c r="F41"/>
  <c r="E41"/>
  <c r="D41"/>
  <c r="H40"/>
  <c r="G40"/>
  <c r="F40"/>
  <c r="E40"/>
  <c r="D40"/>
  <c r="H39"/>
  <c r="G39"/>
  <c r="F39"/>
  <c r="E39"/>
  <c r="D39"/>
  <c r="H38"/>
  <c r="G38"/>
  <c r="F38"/>
  <c r="E38"/>
  <c r="D38"/>
  <c r="H37"/>
  <c r="G37"/>
  <c r="F37"/>
  <c r="E37"/>
  <c r="H36"/>
  <c r="G36"/>
  <c r="F36"/>
  <c r="E36"/>
  <c r="D36"/>
  <c r="H35"/>
  <c r="G35"/>
  <c r="F35"/>
  <c r="E35"/>
  <c r="D35"/>
  <c r="H34"/>
  <c r="G34"/>
  <c r="F34"/>
  <c r="E34"/>
  <c r="D34"/>
  <c r="H33"/>
  <c r="G33"/>
  <c r="F33"/>
  <c r="E33"/>
  <c r="D33"/>
  <c r="H32"/>
  <c r="G32"/>
  <c r="F32"/>
  <c r="E32"/>
  <c r="D32"/>
  <c r="P42"/>
  <c r="P41"/>
  <c r="P40"/>
  <c r="P39"/>
  <c r="P38"/>
  <c r="P37"/>
  <c r="P36"/>
  <c r="P35"/>
  <c r="P34"/>
  <c r="J23"/>
  <c r="J22"/>
  <c r="J21"/>
  <c r="J20"/>
  <c r="J19"/>
  <c r="J18"/>
  <c r="J17"/>
  <c r="J16"/>
  <c r="J15"/>
  <c r="J14"/>
  <c r="J13"/>
  <c r="C23"/>
  <c r="C22"/>
  <c r="C21"/>
  <c r="C20"/>
  <c r="C19"/>
  <c r="C18"/>
  <c r="C17"/>
  <c r="C16"/>
  <c r="C15"/>
  <c r="C14"/>
  <c r="C13"/>
  <c r="C46"/>
  <c r="B46"/>
  <c r="K37" i="22" l="1"/>
  <c r="E37"/>
  <c r="AI188" l="1"/>
  <c r="AJ188" s="1"/>
  <c r="AK188" s="1"/>
  <c r="AL188" s="1"/>
  <c r="AM188" s="1"/>
  <c r="AN188" s="1"/>
  <c r="AO188" s="1"/>
  <c r="AP188" s="1"/>
  <c r="AQ188" s="1"/>
  <c r="AR188" s="1"/>
  <c r="AS188" s="1"/>
  <c r="AI186"/>
  <c r="AJ186" s="1"/>
  <c r="AK186" s="1"/>
  <c r="AL186" s="1"/>
  <c r="AM186" s="1"/>
  <c r="AN186" s="1"/>
  <c r="AO186" s="1"/>
  <c r="AP186" s="1"/>
  <c r="AQ186" s="1"/>
  <c r="AR186" s="1"/>
  <c r="AS186" s="1"/>
  <c r="AI187"/>
  <c r="AJ187" s="1"/>
  <c r="AK187" s="1"/>
  <c r="AL187" s="1"/>
  <c r="AM187" s="1"/>
  <c r="AN187" s="1"/>
  <c r="AO187" s="1"/>
  <c r="AP187" s="1"/>
  <c r="AQ187" s="1"/>
  <c r="AR187" s="1"/>
  <c r="AS187" s="1"/>
  <c r="AI189"/>
  <c r="AJ189" s="1"/>
  <c r="AK189" s="1"/>
  <c r="AL189" s="1"/>
  <c r="AM189" s="1"/>
  <c r="AN189" s="1"/>
  <c r="AO189" s="1"/>
  <c r="AP189" s="1"/>
  <c r="AQ189" s="1"/>
  <c r="AR189" s="1"/>
  <c r="AS189" s="1"/>
  <c r="AI190"/>
  <c r="AJ190" s="1"/>
  <c r="AK190" s="1"/>
  <c r="AL190" s="1"/>
  <c r="AM190" s="1"/>
  <c r="AN190" s="1"/>
  <c r="AO190" s="1"/>
  <c r="AP190" s="1"/>
  <c r="AQ190" s="1"/>
  <c r="AR190" s="1"/>
  <c r="AS190" s="1"/>
  <c r="AI191"/>
  <c r="AJ191" s="1"/>
  <c r="AK191" s="1"/>
  <c r="AL191" s="1"/>
  <c r="AM191" s="1"/>
  <c r="AN191" s="1"/>
  <c r="AO191" s="1"/>
  <c r="AP191" s="1"/>
  <c r="AQ191" s="1"/>
  <c r="AR191" s="1"/>
  <c r="AS191" s="1"/>
  <c r="AI192"/>
  <c r="AJ192" s="1"/>
  <c r="AK192" s="1"/>
  <c r="AL192" s="1"/>
  <c r="AM192" s="1"/>
  <c r="AN192" s="1"/>
  <c r="AO192" s="1"/>
  <c r="AP192" s="1"/>
  <c r="AQ192" s="1"/>
  <c r="AR192" s="1"/>
  <c r="AS192" s="1"/>
  <c r="AI193"/>
  <c r="AJ193" s="1"/>
  <c r="AK193" s="1"/>
  <c r="AL193" s="1"/>
  <c r="AM193" s="1"/>
  <c r="AN193" s="1"/>
  <c r="AO193" s="1"/>
  <c r="AP193" s="1"/>
  <c r="AQ193" s="1"/>
  <c r="AR193" s="1"/>
  <c r="AS193" s="1"/>
  <c r="AI194"/>
  <c r="AJ194" s="1"/>
  <c r="AK194" s="1"/>
  <c r="AL194" s="1"/>
  <c r="AM194" s="1"/>
  <c r="AN194" s="1"/>
  <c r="AO194" s="1"/>
  <c r="AP194" s="1"/>
  <c r="AQ194" s="1"/>
  <c r="AR194" s="1"/>
  <c r="AS194" s="1"/>
  <c r="AI195"/>
  <c r="AJ195" s="1"/>
  <c r="AK195" s="1"/>
  <c r="AL195" s="1"/>
  <c r="AM195" s="1"/>
  <c r="AN195" s="1"/>
  <c r="AO195" s="1"/>
  <c r="AP195" s="1"/>
  <c r="AQ195" s="1"/>
  <c r="AR195" s="1"/>
  <c r="AS195" s="1"/>
  <c r="O41"/>
  <c r="O42" s="1"/>
  <c r="O43" s="1"/>
  <c r="O44" s="1"/>
  <c r="O45" s="1"/>
  <c r="O46" s="1"/>
  <c r="O47" s="1"/>
  <c r="O48" s="1"/>
  <c r="O49" s="1"/>
  <c r="O50" s="1"/>
  <c r="O51" s="1"/>
  <c r="O52" s="1"/>
  <c r="O53" s="1"/>
  <c r="O54" s="1"/>
  <c r="O55" s="1"/>
  <c r="O56" s="1"/>
  <c r="O57" s="1"/>
  <c r="O58" s="1"/>
  <c r="O59" s="1"/>
  <c r="O60" s="1"/>
  <c r="O61" s="1"/>
  <c r="O62" s="1"/>
  <c r="O63" s="1"/>
  <c r="O64" s="1"/>
  <c r="O40"/>
  <c r="O39"/>
  <c r="K36" l="1"/>
  <c r="K35"/>
  <c r="Z121"/>
  <c r="Y121"/>
  <c r="X121"/>
  <c r="W121"/>
  <c r="V121"/>
  <c r="U121"/>
  <c r="T121"/>
  <c r="AB121" s="1"/>
  <c r="Z75"/>
  <c r="Y75"/>
  <c r="X75"/>
  <c r="W75"/>
  <c r="W24" s="1"/>
  <c r="AK24" s="1"/>
  <c r="N46" i="28" s="1"/>
  <c r="V75" i="22"/>
  <c r="U75"/>
  <c r="T75"/>
  <c r="AD75"/>
  <c r="V24" l="1"/>
  <c r="AJ24" s="1"/>
  <c r="N46" i="19" s="1"/>
  <c r="Z24" i="22"/>
  <c r="AN24" s="1"/>
  <c r="AB75"/>
  <c r="T24"/>
  <c r="AH24" s="1"/>
  <c r="U24"/>
  <c r="AI24" s="1"/>
  <c r="Y24"/>
  <c r="AM24" s="1"/>
  <c r="N46" i="30" s="1"/>
  <c r="AC121" i="22"/>
  <c r="AE121"/>
  <c r="X24"/>
  <c r="AL24" s="1"/>
  <c r="N46" i="29" s="1"/>
  <c r="AD121" i="22"/>
  <c r="I37"/>
  <c r="L37" s="1"/>
  <c r="AA121"/>
  <c r="AC75"/>
  <c r="AA75"/>
  <c r="AE75"/>
  <c r="AI169"/>
  <c r="AJ169" s="1"/>
  <c r="AK169" s="1"/>
  <c r="AL169" s="1"/>
  <c r="AM169" s="1"/>
  <c r="AN169" s="1"/>
  <c r="AO169" s="1"/>
  <c r="AP168" l="1"/>
  <c r="AQ168" s="1"/>
  <c r="AR168" s="1"/>
  <c r="AS168" s="1"/>
  <c r="D39" l="1"/>
  <c r="D43"/>
  <c r="D47"/>
  <c r="D51"/>
  <c r="D55"/>
  <c r="D59"/>
  <c r="D63"/>
  <c r="D45"/>
  <c r="D49"/>
  <c r="D53"/>
  <c r="D61"/>
  <c r="D46"/>
  <c r="D54"/>
  <c r="D58"/>
  <c r="D40"/>
  <c r="D44"/>
  <c r="D48"/>
  <c r="D52"/>
  <c r="D56"/>
  <c r="D60"/>
  <c r="D41"/>
  <c r="D57"/>
  <c r="D42"/>
  <c r="D50"/>
  <c r="D62"/>
  <c r="D64" l="1"/>
  <c r="X195"/>
  <c r="AB195"/>
  <c r="V195"/>
  <c r="Z195"/>
  <c r="AD195"/>
  <c r="U195"/>
  <c r="Y195"/>
  <c r="AC195"/>
  <c r="W195"/>
  <c r="AA195"/>
  <c r="AE195"/>
  <c r="AC168" l="1"/>
  <c r="AD168" s="1"/>
  <c r="AE168" s="1"/>
  <c r="AE120" l="1"/>
  <c r="AD120"/>
  <c r="AC120"/>
  <c r="AB120"/>
  <c r="AA120"/>
  <c r="Z120"/>
  <c r="Y120"/>
  <c r="X120"/>
  <c r="W120"/>
  <c r="AE74"/>
  <c r="AD74"/>
  <c r="AD23" s="1"/>
  <c r="AC74"/>
  <c r="AB74"/>
  <c r="AA74"/>
  <c r="Z74"/>
  <c r="Z23" s="1"/>
  <c r="Y74"/>
  <c r="X74"/>
  <c r="W74"/>
  <c r="V120"/>
  <c r="U120"/>
  <c r="T120"/>
  <c r="I36" s="1"/>
  <c r="V74"/>
  <c r="U74"/>
  <c r="T74"/>
  <c r="W23" l="1"/>
  <c r="AA23"/>
  <c r="AE23"/>
  <c r="Y23"/>
  <c r="AC23"/>
  <c r="X23"/>
  <c r="AB23"/>
  <c r="A78" i="36" l="1"/>
  <c r="A90" i="39" s="1"/>
  <c r="M400" i="23"/>
  <c r="L400"/>
  <c r="K400"/>
  <c r="J400"/>
  <c r="I400"/>
  <c r="H400"/>
  <c r="G400"/>
  <c r="F400"/>
  <c r="E400"/>
  <c r="D400"/>
  <c r="C400"/>
  <c r="B400"/>
  <c r="B325" l="1"/>
  <c r="AI567" l="1"/>
  <c r="AH567"/>
  <c r="AG567"/>
  <c r="AF567"/>
  <c r="AE567"/>
  <c r="AP566"/>
  <c r="AO566"/>
  <c r="AN566"/>
  <c r="AM566"/>
  <c r="AL566"/>
  <c r="AK566"/>
  <c r="AJ566"/>
  <c r="AI566"/>
  <c r="AH566"/>
  <c r="AG566"/>
  <c r="AF566"/>
  <c r="AE566"/>
  <c r="AP565"/>
  <c r="AO565"/>
  <c r="AN565"/>
  <c r="AM565"/>
  <c r="AL565"/>
  <c r="AK565"/>
  <c r="AJ565"/>
  <c r="AI565"/>
  <c r="D589" l="1"/>
  <c r="D567"/>
  <c r="L567"/>
  <c r="H568"/>
  <c r="H569"/>
  <c r="D570"/>
  <c r="L570"/>
  <c r="L571"/>
  <c r="H572"/>
  <c r="D573"/>
  <c r="D574"/>
  <c r="L574"/>
  <c r="L575"/>
  <c r="H576"/>
  <c r="D577"/>
  <c r="L577"/>
  <c r="L578"/>
  <c r="H579"/>
  <c r="D580"/>
  <c r="D581"/>
  <c r="L581"/>
  <c r="H582"/>
  <c r="H583"/>
  <c r="D584"/>
  <c r="D585"/>
  <c r="L585"/>
  <c r="H586"/>
  <c r="L586"/>
  <c r="H587"/>
  <c r="L587"/>
  <c r="H588"/>
  <c r="D568"/>
  <c r="D569"/>
  <c r="H570"/>
  <c r="H571"/>
  <c r="L572"/>
  <c r="L573"/>
  <c r="D575"/>
  <c r="D576"/>
  <c r="H577"/>
  <c r="H578"/>
  <c r="L579"/>
  <c r="L580"/>
  <c r="D582"/>
  <c r="D583"/>
  <c r="H584"/>
  <c r="H585"/>
  <c r="L588"/>
  <c r="H567"/>
  <c r="L568"/>
  <c r="L569"/>
  <c r="D571"/>
  <c r="D572"/>
  <c r="H573"/>
  <c r="H574"/>
  <c r="H575"/>
  <c r="L576"/>
  <c r="D578"/>
  <c r="D579"/>
  <c r="H580"/>
  <c r="H581"/>
  <c r="L582"/>
  <c r="L583"/>
  <c r="L584"/>
  <c r="D586"/>
  <c r="D587"/>
  <c r="D588"/>
  <c r="H589"/>
  <c r="H590"/>
  <c r="L590"/>
  <c r="L591"/>
  <c r="L592"/>
  <c r="H593"/>
  <c r="I567"/>
  <c r="E568"/>
  <c r="I568"/>
  <c r="E569"/>
  <c r="I569"/>
  <c r="E570"/>
  <c r="I570"/>
  <c r="E571"/>
  <c r="M571"/>
  <c r="E572"/>
  <c r="M572"/>
  <c r="E573"/>
  <c r="M573"/>
  <c r="I574"/>
  <c r="M574"/>
  <c r="I575"/>
  <c r="E576"/>
  <c r="B567"/>
  <c r="E9" i="36" s="1"/>
  <c r="G57" s="1"/>
  <c r="F567" i="23"/>
  <c r="J567"/>
  <c r="B568"/>
  <c r="F568"/>
  <c r="J568"/>
  <c r="B569"/>
  <c r="F569"/>
  <c r="J569"/>
  <c r="B570"/>
  <c r="F570"/>
  <c r="J570"/>
  <c r="B571"/>
  <c r="F571"/>
  <c r="J571"/>
  <c r="B572"/>
  <c r="F572"/>
  <c r="J572"/>
  <c r="B573"/>
  <c r="F573"/>
  <c r="J573"/>
  <c r="B574"/>
  <c r="F574"/>
  <c r="J574"/>
  <c r="B575"/>
  <c r="F575"/>
  <c r="J575"/>
  <c r="B576"/>
  <c r="F576"/>
  <c r="J576"/>
  <c r="B577"/>
  <c r="F577"/>
  <c r="J577"/>
  <c r="B578"/>
  <c r="F578"/>
  <c r="J578"/>
  <c r="B579"/>
  <c r="F579"/>
  <c r="J579"/>
  <c r="B580"/>
  <c r="F580"/>
  <c r="J580"/>
  <c r="B581"/>
  <c r="F581"/>
  <c r="J581"/>
  <c r="B582"/>
  <c r="F582"/>
  <c r="J582"/>
  <c r="B583"/>
  <c r="F583"/>
  <c r="J583"/>
  <c r="B584"/>
  <c r="F584"/>
  <c r="J584"/>
  <c r="B585"/>
  <c r="F585"/>
  <c r="J585"/>
  <c r="B586"/>
  <c r="F586"/>
  <c r="J586"/>
  <c r="B587"/>
  <c r="F587"/>
  <c r="J587"/>
  <c r="B588"/>
  <c r="F588"/>
  <c r="J588"/>
  <c r="B589"/>
  <c r="F589"/>
  <c r="J589"/>
  <c r="B590"/>
  <c r="F590"/>
  <c r="J590"/>
  <c r="B591"/>
  <c r="F591"/>
  <c r="J591"/>
  <c r="B592"/>
  <c r="F592"/>
  <c r="J592"/>
  <c r="B593"/>
  <c r="F593"/>
  <c r="J593"/>
  <c r="L589"/>
  <c r="D591"/>
  <c r="H592"/>
  <c r="L593"/>
  <c r="C567"/>
  <c r="G567"/>
  <c r="K567"/>
  <c r="C568"/>
  <c r="G568"/>
  <c r="K568"/>
  <c r="C569"/>
  <c r="G569"/>
  <c r="K569"/>
  <c r="C570"/>
  <c r="G570"/>
  <c r="K570"/>
  <c r="C571"/>
  <c r="G571"/>
  <c r="K571"/>
  <c r="C572"/>
  <c r="G572"/>
  <c r="K572"/>
  <c r="C573"/>
  <c r="G573"/>
  <c r="K573"/>
  <c r="C574"/>
  <c r="G574"/>
  <c r="K574"/>
  <c r="C575"/>
  <c r="G575"/>
  <c r="K575"/>
  <c r="C576"/>
  <c r="G576"/>
  <c r="K576"/>
  <c r="C577"/>
  <c r="G577"/>
  <c r="K577"/>
  <c r="C578"/>
  <c r="G578"/>
  <c r="K578"/>
  <c r="C579"/>
  <c r="G579"/>
  <c r="K579"/>
  <c r="C580"/>
  <c r="G580"/>
  <c r="K580"/>
  <c r="C581"/>
  <c r="G581"/>
  <c r="K581"/>
  <c r="C582"/>
  <c r="G582"/>
  <c r="K582"/>
  <c r="C583"/>
  <c r="G583"/>
  <c r="K583"/>
  <c r="C584"/>
  <c r="G584"/>
  <c r="K584"/>
  <c r="C585"/>
  <c r="G585"/>
  <c r="K585"/>
  <c r="C586"/>
  <c r="G586"/>
  <c r="K586"/>
  <c r="C587"/>
  <c r="G587"/>
  <c r="K587"/>
  <c r="C588"/>
  <c r="G588"/>
  <c r="K588"/>
  <c r="C589"/>
  <c r="G589"/>
  <c r="K589"/>
  <c r="C590"/>
  <c r="G590"/>
  <c r="K590"/>
  <c r="C591"/>
  <c r="G591"/>
  <c r="K591"/>
  <c r="C592"/>
  <c r="G592"/>
  <c r="K592"/>
  <c r="C593"/>
  <c r="G593"/>
  <c r="K593"/>
  <c r="D590"/>
  <c r="H591"/>
  <c r="D592"/>
  <c r="D593"/>
  <c r="E567"/>
  <c r="M567"/>
  <c r="M568"/>
  <c r="M569"/>
  <c r="M570"/>
  <c r="I571"/>
  <c r="I572"/>
  <c r="I573"/>
  <c r="E574"/>
  <c r="E575"/>
  <c r="M575"/>
  <c r="I576"/>
  <c r="M576"/>
  <c r="E577"/>
  <c r="I577"/>
  <c r="M577"/>
  <c r="E578"/>
  <c r="I578"/>
  <c r="M578"/>
  <c r="E579"/>
  <c r="I579"/>
  <c r="M579"/>
  <c r="E580"/>
  <c r="I580"/>
  <c r="M580"/>
  <c r="E581"/>
  <c r="I581"/>
  <c r="M581"/>
  <c r="E582"/>
  <c r="I582"/>
  <c r="M582"/>
  <c r="E583"/>
  <c r="I583"/>
  <c r="M583"/>
  <c r="E584"/>
  <c r="I584"/>
  <c r="M584"/>
  <c r="E585"/>
  <c r="I585"/>
  <c r="M585"/>
  <c r="E586"/>
  <c r="I586"/>
  <c r="M586"/>
  <c r="E587"/>
  <c r="I587"/>
  <c r="M587"/>
  <c r="E588"/>
  <c r="I588"/>
  <c r="M588"/>
  <c r="E589"/>
  <c r="I589"/>
  <c r="M589"/>
  <c r="E590"/>
  <c r="I590"/>
  <c r="M590"/>
  <c r="E591"/>
  <c r="I591"/>
  <c r="M591"/>
  <c r="E592"/>
  <c r="I592"/>
  <c r="M592"/>
  <c r="E593"/>
  <c r="I593"/>
  <c r="M593"/>
  <c r="BG633"/>
  <c r="BG629"/>
  <c r="BG631"/>
  <c r="BG627"/>
  <c r="BG632"/>
  <c r="BG628"/>
  <c r="BG630"/>
  <c r="N713" l="1"/>
  <c r="R2" i="35"/>
  <c r="P2"/>
  <c r="T2" s="1"/>
  <c r="R2" i="34"/>
  <c r="P2"/>
  <c r="T2" s="1"/>
  <c r="R2" i="33"/>
  <c r="P2"/>
  <c r="T2" s="1"/>
  <c r="R2" i="32"/>
  <c r="P2"/>
  <c r="T2" s="1"/>
  <c r="R2" i="31"/>
  <c r="W2" i="6" s="1"/>
  <c r="P2" i="31"/>
  <c r="T2" s="1"/>
  <c r="Y2" i="6" s="1"/>
  <c r="R2" i="30"/>
  <c r="P2"/>
  <c r="T2" s="1"/>
  <c r="R2" i="29"/>
  <c r="P2"/>
  <c r="T2" s="1"/>
  <c r="R2" i="28"/>
  <c r="P2"/>
  <c r="T2" s="1"/>
  <c r="R2" i="19"/>
  <c r="P2"/>
  <c r="T2" s="1"/>
  <c r="U2" i="6" l="1"/>
  <c r="A3" i="39" l="1"/>
  <c r="AD73" i="32" l="1"/>
  <c r="R64" i="35"/>
  <c r="R65"/>
  <c r="R67"/>
  <c r="R69"/>
  <c r="R71"/>
  <c r="R73"/>
  <c r="AH42"/>
  <c r="AG42"/>
  <c r="AD42"/>
  <c r="BC42" s="1"/>
  <c r="R72" l="1"/>
  <c r="R70"/>
  <c r="R68"/>
  <c r="R66"/>
  <c r="AD34" i="34"/>
  <c r="R64"/>
  <c r="AD44" i="33"/>
  <c r="R64"/>
  <c r="AD44" i="32"/>
  <c r="AG44"/>
  <c r="R73"/>
  <c r="N1627" i="23"/>
  <c r="N1509"/>
  <c r="N1466"/>
  <c r="N1387"/>
  <c r="N1391"/>
  <c r="N1393"/>
  <c r="N1308"/>
  <c r="N905"/>
  <c r="N913"/>
  <c r="N871"/>
  <c r="N829"/>
  <c r="N787"/>
  <c r="N745"/>
  <c r="N749"/>
  <c r="N753"/>
  <c r="W73" i="6"/>
  <c r="AK44"/>
  <c r="AG44" i="31"/>
  <c r="R64"/>
  <c r="AG44" i="30"/>
  <c r="R64"/>
  <c r="N747" i="23" l="1"/>
  <c r="N867"/>
  <c r="N1304"/>
  <c r="N1513"/>
  <c r="N1631"/>
  <c r="N833"/>
  <c r="N751"/>
  <c r="N791"/>
  <c r="N825"/>
  <c r="N909"/>
  <c r="N1311"/>
  <c r="N1470"/>
  <c r="N1505"/>
  <c r="N750"/>
  <c r="N746"/>
  <c r="N789"/>
  <c r="N831"/>
  <c r="N873"/>
  <c r="N865"/>
  <c r="N907"/>
  <c r="N1310"/>
  <c r="N1389"/>
  <c r="N1468"/>
  <c r="N1511"/>
  <c r="N1629"/>
  <c r="N752"/>
  <c r="N748"/>
  <c r="N744"/>
  <c r="N785"/>
  <c r="N827"/>
  <c r="N869"/>
  <c r="N911"/>
  <c r="N1313"/>
  <c r="N1312"/>
  <c r="N1306"/>
  <c r="N1385"/>
  <c r="N1472"/>
  <c r="N1464"/>
  <c r="N1507"/>
  <c r="N1633"/>
  <c r="N1625"/>
  <c r="R64" i="32"/>
  <c r="R65"/>
  <c r="R66"/>
  <c r="R67"/>
  <c r="R68"/>
  <c r="R69"/>
  <c r="R70"/>
  <c r="R71"/>
  <c r="R72"/>
  <c r="R73" i="33"/>
  <c r="R72"/>
  <c r="R71"/>
  <c r="R70"/>
  <c r="R69"/>
  <c r="R68"/>
  <c r="R67"/>
  <c r="R66"/>
  <c r="R65"/>
  <c r="R73" i="34"/>
  <c r="R72"/>
  <c r="R71"/>
  <c r="R70"/>
  <c r="R69"/>
  <c r="R68"/>
  <c r="R67"/>
  <c r="R66"/>
  <c r="R65"/>
  <c r="N790" i="23"/>
  <c r="N786"/>
  <c r="N832"/>
  <c r="N828"/>
  <c r="N824"/>
  <c r="N870"/>
  <c r="N866"/>
  <c r="N912"/>
  <c r="N908"/>
  <c r="N904"/>
  <c r="N1307"/>
  <c r="N1392"/>
  <c r="N1388"/>
  <c r="N1384"/>
  <c r="N1471"/>
  <c r="N1467"/>
  <c r="N1510"/>
  <c r="N1506"/>
  <c r="N1632"/>
  <c r="N1628"/>
  <c r="N1624"/>
  <c r="R73" i="30"/>
  <c r="R72"/>
  <c r="R71"/>
  <c r="R70"/>
  <c r="R69"/>
  <c r="R68"/>
  <c r="R67"/>
  <c r="R66"/>
  <c r="R65"/>
  <c r="R73" i="31"/>
  <c r="R72"/>
  <c r="R71"/>
  <c r="R70"/>
  <c r="R69"/>
  <c r="R68"/>
  <c r="R67"/>
  <c r="R66"/>
  <c r="R65"/>
  <c r="W72" i="6"/>
  <c r="W71"/>
  <c r="W70"/>
  <c r="W69"/>
  <c r="W68"/>
  <c r="W67"/>
  <c r="W66"/>
  <c r="W65"/>
  <c r="W64"/>
  <c r="N792" i="23"/>
  <c r="N788"/>
  <c r="N784"/>
  <c r="N830"/>
  <c r="N826"/>
  <c r="N872"/>
  <c r="N868"/>
  <c r="N864"/>
  <c r="N910"/>
  <c r="N906"/>
  <c r="N1309"/>
  <c r="N1305"/>
  <c r="N1390"/>
  <c r="N1386"/>
  <c r="N1473"/>
  <c r="N1469"/>
  <c r="N1465"/>
  <c r="N1512"/>
  <c r="N1508"/>
  <c r="N1504"/>
  <c r="N1630"/>
  <c r="N1626"/>
  <c r="AG44" i="29"/>
  <c r="R64"/>
  <c r="AG99" i="28"/>
  <c r="R64"/>
  <c r="R65" i="19"/>
  <c r="R64"/>
  <c r="R66"/>
  <c r="R68"/>
  <c r="R70"/>
  <c r="R72"/>
  <c r="AF44"/>
  <c r="R73" l="1"/>
  <c r="R71"/>
  <c r="R69"/>
  <c r="R67"/>
  <c r="R73" i="28"/>
  <c r="R72"/>
  <c r="R71"/>
  <c r="R70"/>
  <c r="R69"/>
  <c r="R68"/>
  <c r="R67"/>
  <c r="R66"/>
  <c r="R65"/>
  <c r="AG44"/>
  <c r="R73" i="29"/>
  <c r="R72"/>
  <c r="R71"/>
  <c r="R70"/>
  <c r="R69"/>
  <c r="R68"/>
  <c r="R67"/>
  <c r="R66"/>
  <c r="R65"/>
  <c r="AF45" i="19"/>
  <c r="F45"/>
  <c r="E45"/>
  <c r="D45"/>
  <c r="BA31" i="18"/>
  <c r="BA32"/>
  <c r="BA33"/>
  <c r="F33" l="1"/>
  <c r="E33"/>
  <c r="AF44" l="1"/>
  <c r="AE44"/>
  <c r="AD44"/>
  <c r="AF45"/>
  <c r="AE45"/>
  <c r="AD45"/>
  <c r="U186" i="22" l="1"/>
  <c r="V187"/>
  <c r="U188"/>
  <c r="V189"/>
  <c r="U190"/>
  <c r="V191"/>
  <c r="U192"/>
  <c r="V193"/>
  <c r="U194"/>
  <c r="AD194" l="1"/>
  <c r="AB194"/>
  <c r="Z194"/>
  <c r="X194"/>
  <c r="V194"/>
  <c r="AE193"/>
  <c r="AC193"/>
  <c r="AA193"/>
  <c r="Y193"/>
  <c r="W193"/>
  <c r="U193"/>
  <c r="AD192"/>
  <c r="AB192"/>
  <c r="Z192"/>
  <c r="X192"/>
  <c r="V192"/>
  <c r="AE191"/>
  <c r="AC191"/>
  <c r="AA191"/>
  <c r="Y191"/>
  <c r="W191"/>
  <c r="U191"/>
  <c r="AD190"/>
  <c r="AB190"/>
  <c r="Z190"/>
  <c r="X190"/>
  <c r="V190"/>
  <c r="AE189"/>
  <c r="AC189"/>
  <c r="AA189"/>
  <c r="Y189"/>
  <c r="W189"/>
  <c r="U189"/>
  <c r="AD188"/>
  <c r="AB188"/>
  <c r="Z188"/>
  <c r="X188"/>
  <c r="V188"/>
  <c r="AE187"/>
  <c r="AC187"/>
  <c r="AA187"/>
  <c r="Y187"/>
  <c r="W187"/>
  <c r="U187"/>
  <c r="AD186"/>
  <c r="AB186"/>
  <c r="Z186"/>
  <c r="X186"/>
  <c r="V186"/>
  <c r="AE194"/>
  <c r="AC194"/>
  <c r="AA194"/>
  <c r="Y194"/>
  <c r="W194"/>
  <c r="AD193"/>
  <c r="AB193"/>
  <c r="Z193"/>
  <c r="X193"/>
  <c r="AE192"/>
  <c r="AC192"/>
  <c r="AA192"/>
  <c r="Y192"/>
  <c r="W192"/>
  <c r="AD191"/>
  <c r="AB191"/>
  <c r="Z191"/>
  <c r="X191"/>
  <c r="AE190"/>
  <c r="AC190"/>
  <c r="AA190"/>
  <c r="Y190"/>
  <c r="W190"/>
  <c r="AD189"/>
  <c r="AB189"/>
  <c r="Z189"/>
  <c r="X189"/>
  <c r="AE188"/>
  <c r="AC188"/>
  <c r="AA188"/>
  <c r="Y188"/>
  <c r="W188"/>
  <c r="AD187"/>
  <c r="AB187"/>
  <c r="Z187"/>
  <c r="X187"/>
  <c r="AE186"/>
  <c r="AC186"/>
  <c r="AA186"/>
  <c r="Y186"/>
  <c r="W186"/>
  <c r="L55" l="1"/>
  <c r="L56"/>
  <c r="M56" s="1"/>
  <c r="L57"/>
  <c r="L58"/>
  <c r="M58" s="1"/>
  <c r="L59"/>
  <c r="L60"/>
  <c r="M60" s="1"/>
  <c r="L61"/>
  <c r="L62"/>
  <c r="M62" s="1"/>
  <c r="L63"/>
  <c r="L64"/>
  <c r="M64" s="1"/>
  <c r="M55"/>
  <c r="M57"/>
  <c r="M59"/>
  <c r="M61"/>
  <c r="M63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U139"/>
  <c r="V139" s="1"/>
  <c r="W139" s="1"/>
  <c r="X139" s="1"/>
  <c r="Y139" s="1"/>
  <c r="Z139" s="1"/>
  <c r="AA139" s="1"/>
  <c r="AB139" s="1"/>
  <c r="AC139" s="1"/>
  <c r="AD139" s="1"/>
  <c r="AE139" s="1"/>
  <c r="T139"/>
  <c r="T140"/>
  <c r="U140" s="1"/>
  <c r="V140" s="1"/>
  <c r="W140" s="1"/>
  <c r="X140" s="1"/>
  <c r="Y140" s="1"/>
  <c r="Z140" s="1"/>
  <c r="AA140" s="1"/>
  <c r="AB140" s="1"/>
  <c r="AC140" s="1"/>
  <c r="AD140" s="1"/>
  <c r="AE140" s="1"/>
  <c r="T141"/>
  <c r="U141" s="1"/>
  <c r="V141" s="1"/>
  <c r="W141" s="1"/>
  <c r="X141" s="1"/>
  <c r="Y141" s="1"/>
  <c r="Z141" s="1"/>
  <c r="AA141" s="1"/>
  <c r="AB141" s="1"/>
  <c r="AC141" s="1"/>
  <c r="AD141" s="1"/>
  <c r="AE141" s="1"/>
  <c r="T143"/>
  <c r="U143" s="1"/>
  <c r="V143" s="1"/>
  <c r="W143" s="1"/>
  <c r="X143" s="1"/>
  <c r="Y143" s="1"/>
  <c r="Z143" s="1"/>
  <c r="AA143" s="1"/>
  <c r="AB143" s="1"/>
  <c r="AC143" s="1"/>
  <c r="AD143" s="1"/>
  <c r="AE143" s="1"/>
  <c r="T144"/>
  <c r="U144" s="1"/>
  <c r="V144" s="1"/>
  <c r="W144" s="1"/>
  <c r="X144" s="1"/>
  <c r="Y144" s="1"/>
  <c r="Z144" s="1"/>
  <c r="AA144" s="1"/>
  <c r="AB144" s="1"/>
  <c r="AC144" s="1"/>
  <c r="AD144" s="1"/>
  <c r="AE144" s="1"/>
  <c r="T145"/>
  <c r="U145" s="1"/>
  <c r="V145" s="1"/>
  <c r="W145" s="1"/>
  <c r="X145" s="1"/>
  <c r="Y145" s="1"/>
  <c r="Z145" s="1"/>
  <c r="AA145" s="1"/>
  <c r="AB145" s="1"/>
  <c r="AC145" s="1"/>
  <c r="AD145" s="1"/>
  <c r="AE145" s="1"/>
  <c r="T147"/>
  <c r="U147" s="1"/>
  <c r="V147" s="1"/>
  <c r="W147" s="1"/>
  <c r="X147" s="1"/>
  <c r="Y147" s="1"/>
  <c r="Z147" s="1"/>
  <c r="AA147" s="1"/>
  <c r="AB147" s="1"/>
  <c r="AC147" s="1"/>
  <c r="AD147" s="1"/>
  <c r="AE147" s="1"/>
  <c r="T148"/>
  <c r="U148" s="1"/>
  <c r="V148" s="1"/>
  <c r="W148" s="1"/>
  <c r="X148" s="1"/>
  <c r="Y148" s="1"/>
  <c r="Z148" s="1"/>
  <c r="AA148" s="1"/>
  <c r="AB148" s="1"/>
  <c r="AC148" s="1"/>
  <c r="AD148" s="1"/>
  <c r="AE148" s="1"/>
  <c r="AE119"/>
  <c r="AD119"/>
  <c r="AC119"/>
  <c r="AB119"/>
  <c r="AA119"/>
  <c r="Z119"/>
  <c r="Y119"/>
  <c r="X119"/>
  <c r="W119"/>
  <c r="V119"/>
  <c r="U119"/>
  <c r="E36"/>
  <c r="E35"/>
  <c r="T146" l="1"/>
  <c r="U146" s="1"/>
  <c r="V146" s="1"/>
  <c r="W146" s="1"/>
  <c r="X146" s="1"/>
  <c r="Y146" s="1"/>
  <c r="Z146" s="1"/>
  <c r="AA146" s="1"/>
  <c r="AB146" s="1"/>
  <c r="AC146" s="1"/>
  <c r="AD146" s="1"/>
  <c r="AE146" s="1"/>
  <c r="T142"/>
  <c r="U142" s="1"/>
  <c r="V142" s="1"/>
  <c r="W142" s="1"/>
  <c r="X142" s="1"/>
  <c r="Y142" s="1"/>
  <c r="Z142" s="1"/>
  <c r="AA142" s="1"/>
  <c r="AB142" s="1"/>
  <c r="AC142" s="1"/>
  <c r="AD142" s="1"/>
  <c r="AE142" s="1"/>
  <c r="L36"/>
  <c r="V23" l="1"/>
  <c r="AJ23" s="1"/>
  <c r="U23"/>
  <c r="AI23" s="1"/>
  <c r="AE73"/>
  <c r="AE22" s="1"/>
  <c r="AS22" s="1"/>
  <c r="AD73"/>
  <c r="AD22" s="1"/>
  <c r="AR22" s="1"/>
  <c r="AC73"/>
  <c r="AC22" s="1"/>
  <c r="AQ22" s="1"/>
  <c r="AB73"/>
  <c r="AB22" s="1"/>
  <c r="AP22" s="1"/>
  <c r="AA73"/>
  <c r="AA22" s="1"/>
  <c r="AO22" s="1"/>
  <c r="Z73"/>
  <c r="Z22" s="1"/>
  <c r="AN22" s="1"/>
  <c r="Y73"/>
  <c r="Y22" s="1"/>
  <c r="AM22" s="1"/>
  <c r="X73"/>
  <c r="X22" s="1"/>
  <c r="AL22" s="1"/>
  <c r="W73"/>
  <c r="W22" s="1"/>
  <c r="AK22" s="1"/>
  <c r="V73"/>
  <c r="V22" s="1"/>
  <c r="AJ22" s="1"/>
  <c r="T119"/>
  <c r="I35" s="1"/>
  <c r="U73"/>
  <c r="T73"/>
  <c r="C36" l="1"/>
  <c r="T23"/>
  <c r="AH23" l="1"/>
  <c r="AF23"/>
  <c r="F36"/>
  <c r="P36" s="1"/>
  <c r="Q36" s="1"/>
  <c r="AK45" i="1" l="1"/>
  <c r="AI45"/>
  <c r="AJ45"/>
  <c r="F44" i="19"/>
  <c r="E44"/>
  <c r="F44" i="28"/>
  <c r="E44"/>
  <c r="F44" i="29"/>
  <c r="E44"/>
  <c r="F44" i="30"/>
  <c r="E44"/>
  <c r="F44" i="31"/>
  <c r="E44"/>
  <c r="E44" i="6"/>
  <c r="F44" i="32"/>
  <c r="E44"/>
  <c r="F44" i="33"/>
  <c r="E44"/>
  <c r="F44" i="34"/>
  <c r="E44"/>
  <c r="F43"/>
  <c r="E43"/>
  <c r="F44" i="35"/>
  <c r="E44"/>
  <c r="D44"/>
  <c r="D44" i="34"/>
  <c r="D44" i="33"/>
  <c r="D44" i="32"/>
  <c r="D44" i="31"/>
  <c r="C44" i="6"/>
  <c r="D44" i="30"/>
  <c r="D44" i="29"/>
  <c r="D44" i="28"/>
  <c r="D44" i="19"/>
  <c r="F44" i="18"/>
  <c r="E44"/>
  <c r="R70" l="1"/>
  <c r="R72"/>
  <c r="R69"/>
  <c r="R73"/>
  <c r="R71"/>
  <c r="Y70" i="1"/>
  <c r="Y71"/>
  <c r="Y72"/>
  <c r="Y73"/>
  <c r="Y69"/>
  <c r="L44" i="6"/>
  <c r="AH101" i="35" l="1"/>
  <c r="AG101"/>
  <c r="AH100"/>
  <c r="AG100"/>
  <c r="AH99"/>
  <c r="AG99"/>
  <c r="AH98"/>
  <c r="AG98"/>
  <c r="AH93"/>
  <c r="AG93"/>
  <c r="AH92"/>
  <c r="AG92"/>
  <c r="AH91"/>
  <c r="AG91"/>
  <c r="AH90"/>
  <c r="AG90"/>
  <c r="AH89"/>
  <c r="AG27" i="34"/>
  <c r="AG23"/>
  <c r="AG18"/>
  <c r="AG43" i="32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K32" i="6"/>
  <c r="AK28"/>
  <c r="AK21"/>
  <c r="AG33" i="31"/>
  <c r="AG43" i="30"/>
  <c r="AG37"/>
  <c r="AG21" i="29"/>
  <c r="AG98" i="2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Y74" i="19"/>
  <c r="AK70" i="1" l="1"/>
  <c r="AC74" i="6"/>
  <c r="AK73" s="1"/>
  <c r="Y74" i="34"/>
  <c r="AF109" i="19"/>
  <c r="AF111"/>
  <c r="AF113"/>
  <c r="AF115"/>
  <c r="AF117"/>
  <c r="AF110"/>
  <c r="AF112"/>
  <c r="AF114"/>
  <c r="AF116"/>
  <c r="J45" i="1"/>
  <c r="C45"/>
  <c r="B45"/>
  <c r="AK72" l="1"/>
  <c r="AK69"/>
  <c r="AK64" i="6"/>
  <c r="AK68"/>
  <c r="AK72"/>
  <c r="AK66"/>
  <c r="AK70"/>
  <c r="AK71" i="1"/>
  <c r="AK73"/>
  <c r="AK65" i="6"/>
  <c r="AK67"/>
  <c r="AK69"/>
  <c r="AK71"/>
  <c r="AG54" i="34"/>
  <c r="AG55"/>
  <c r="AG56"/>
  <c r="AG57"/>
  <c r="AG58"/>
  <c r="AG59"/>
  <c r="AG60"/>
  <c r="AG61"/>
  <c r="AG62"/>
  <c r="J44" i="1"/>
  <c r="J43"/>
  <c r="F43" i="35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42" i="34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43" i="33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43" i="32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E43" i="6"/>
  <c r="D43"/>
  <c r="E42"/>
  <c r="D42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E27"/>
  <c r="D27"/>
  <c r="E26"/>
  <c r="D26"/>
  <c r="E25"/>
  <c r="D25"/>
  <c r="E24"/>
  <c r="D24"/>
  <c r="E23"/>
  <c r="D23"/>
  <c r="F43" i="31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43" i="30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43" i="29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43" i="28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43" i="19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43" i="18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J42" i="1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AC59" i="23"/>
  <c r="AC19"/>
  <c r="AC58"/>
  <c r="AC57"/>
  <c r="AC56"/>
  <c r="AC55"/>
  <c r="AC54"/>
  <c r="AC53"/>
  <c r="AC52"/>
  <c r="AC51"/>
  <c r="AC50"/>
  <c r="AC49"/>
  <c r="AC48"/>
  <c r="AC47"/>
  <c r="AC46"/>
  <c r="AC45"/>
  <c r="AC44"/>
  <c r="AC43"/>
  <c r="P44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P64" s="1"/>
  <c r="P65" s="1"/>
  <c r="P66" s="1"/>
  <c r="P67" s="1"/>
  <c r="P68" s="1"/>
  <c r="P69" s="1"/>
  <c r="P70" s="1"/>
  <c r="P71" s="1"/>
  <c r="P72" s="1"/>
  <c r="P73" s="1"/>
  <c r="P74" s="1"/>
  <c r="P75" s="1"/>
  <c r="P76" s="1"/>
  <c r="P77" s="1"/>
  <c r="H1787"/>
  <c r="H1799" s="1"/>
  <c r="H1811" s="1"/>
  <c r="H1823" s="1"/>
  <c r="H1835" s="1"/>
  <c r="H1847" s="1"/>
  <c r="H1859" s="1"/>
  <c r="H1871" s="1"/>
  <c r="H1883" s="1"/>
  <c r="H1895" s="1"/>
  <c r="H1907" s="1"/>
  <c r="H1919" s="1"/>
  <c r="H1931" s="1"/>
  <c r="H1943" s="1"/>
  <c r="H1955" s="1"/>
  <c r="H1788"/>
  <c r="H1800" s="1"/>
  <c r="H1812" s="1"/>
  <c r="H1824" s="1"/>
  <c r="H1836" s="1"/>
  <c r="H1848" s="1"/>
  <c r="H1860" s="1"/>
  <c r="H1872" s="1"/>
  <c r="H1884" s="1"/>
  <c r="H1896" s="1"/>
  <c r="H1908" s="1"/>
  <c r="H1920" s="1"/>
  <c r="H1932" s="1"/>
  <c r="H1944" s="1"/>
  <c r="H1956" s="1"/>
  <c r="H1789"/>
  <c r="H1801" s="1"/>
  <c r="H1813" s="1"/>
  <c r="H1825" s="1"/>
  <c r="H1837" s="1"/>
  <c r="H1849" s="1"/>
  <c r="H1861" s="1"/>
  <c r="H1873" s="1"/>
  <c r="H1885" s="1"/>
  <c r="H1897" s="1"/>
  <c r="H1909" s="1"/>
  <c r="H1921" s="1"/>
  <c r="H1933" s="1"/>
  <c r="H1945" s="1"/>
  <c r="H1957" s="1"/>
  <c r="H1790"/>
  <c r="H1802" s="1"/>
  <c r="H1814" s="1"/>
  <c r="H1826" s="1"/>
  <c r="H1838" s="1"/>
  <c r="H1850" s="1"/>
  <c r="H1862" s="1"/>
  <c r="H1874" s="1"/>
  <c r="H1886" s="1"/>
  <c r="H1898" s="1"/>
  <c r="H1910" s="1"/>
  <c r="H1922" s="1"/>
  <c r="H1934" s="1"/>
  <c r="H1946" s="1"/>
  <c r="H1958" s="1"/>
  <c r="H1791"/>
  <c r="H1803" s="1"/>
  <c r="H1815" s="1"/>
  <c r="H1827" s="1"/>
  <c r="H1839" s="1"/>
  <c r="H1851" s="1"/>
  <c r="H1863" s="1"/>
  <c r="H1875" s="1"/>
  <c r="H1887" s="1"/>
  <c r="H1899" s="1"/>
  <c r="H1911" s="1"/>
  <c r="H1923" s="1"/>
  <c r="H1935" s="1"/>
  <c r="H1947" s="1"/>
  <c r="H1959" s="1"/>
  <c r="H1792"/>
  <c r="H1804" s="1"/>
  <c r="H1816" s="1"/>
  <c r="H1828" s="1"/>
  <c r="H1840" s="1"/>
  <c r="H1852" s="1"/>
  <c r="H1864" s="1"/>
  <c r="H1876" s="1"/>
  <c r="H1888" s="1"/>
  <c r="H1900" s="1"/>
  <c r="H1912" s="1"/>
  <c r="H1924" s="1"/>
  <c r="H1936" s="1"/>
  <c r="H1948" s="1"/>
  <c r="H1960" s="1"/>
  <c r="H1793"/>
  <c r="H1805" s="1"/>
  <c r="H1817" s="1"/>
  <c r="H1829" s="1"/>
  <c r="H1841" s="1"/>
  <c r="H1853" s="1"/>
  <c r="H1865" s="1"/>
  <c r="H1877" s="1"/>
  <c r="H1889" s="1"/>
  <c r="H1901" s="1"/>
  <c r="H1913" s="1"/>
  <c r="H1925" s="1"/>
  <c r="H1937" s="1"/>
  <c r="H1949" s="1"/>
  <c r="H1961" s="1"/>
  <c r="H1794"/>
  <c r="H1806" s="1"/>
  <c r="H1818" s="1"/>
  <c r="H1830" s="1"/>
  <c r="H1842" s="1"/>
  <c r="H1854" s="1"/>
  <c r="H1866" s="1"/>
  <c r="H1878" s="1"/>
  <c r="H1890" s="1"/>
  <c r="H1902" s="1"/>
  <c r="H1914" s="1"/>
  <c r="H1926" s="1"/>
  <c r="H1938" s="1"/>
  <c r="H1950" s="1"/>
  <c r="H1962" s="1"/>
  <c r="H1795"/>
  <c r="H1807" s="1"/>
  <c r="H1819" s="1"/>
  <c r="H1831" s="1"/>
  <c r="H1843" s="1"/>
  <c r="H1855" s="1"/>
  <c r="H1867" s="1"/>
  <c r="H1879" s="1"/>
  <c r="H1891" s="1"/>
  <c r="H1903" s="1"/>
  <c r="H1915" s="1"/>
  <c r="H1927" s="1"/>
  <c r="H1939" s="1"/>
  <c r="H1951" s="1"/>
  <c r="H1963" s="1"/>
  <c r="H1796"/>
  <c r="H1808" s="1"/>
  <c r="H1820" s="1"/>
  <c r="H1832" s="1"/>
  <c r="H1844" s="1"/>
  <c r="H1856" s="1"/>
  <c r="H1868" s="1"/>
  <c r="H1880" s="1"/>
  <c r="H1892" s="1"/>
  <c r="H1904" s="1"/>
  <c r="H1916" s="1"/>
  <c r="H1928" s="1"/>
  <c r="H1940" s="1"/>
  <c r="H1952" s="1"/>
  <c r="H1964" s="1"/>
  <c r="H1797"/>
  <c r="H1809" s="1"/>
  <c r="H1821" s="1"/>
  <c r="H1833" s="1"/>
  <c r="H1845" s="1"/>
  <c r="H1857" s="1"/>
  <c r="H1869" s="1"/>
  <c r="H1881" s="1"/>
  <c r="H1893" s="1"/>
  <c r="H1905" s="1"/>
  <c r="H1917" s="1"/>
  <c r="H1929" s="1"/>
  <c r="H1941" s="1"/>
  <c r="H1953" s="1"/>
  <c r="H1965" s="1"/>
  <c r="H1798"/>
  <c r="H1810" s="1"/>
  <c r="H1822" s="1"/>
  <c r="H1834" s="1"/>
  <c r="H1846" s="1"/>
  <c r="H1858" s="1"/>
  <c r="H1870" s="1"/>
  <c r="H1882" s="1"/>
  <c r="H1894" s="1"/>
  <c r="H1906" s="1"/>
  <c r="H1918" s="1"/>
  <c r="H1930" s="1"/>
  <c r="H1942" s="1"/>
  <c r="H1954" s="1"/>
  <c r="H1966" s="1"/>
  <c r="G1788"/>
  <c r="G1800" s="1"/>
  <c r="G1812" s="1"/>
  <c r="G1824" s="1"/>
  <c r="G1836" s="1"/>
  <c r="G1848" s="1"/>
  <c r="G1860" s="1"/>
  <c r="G1872" s="1"/>
  <c r="G1884" s="1"/>
  <c r="G1896" s="1"/>
  <c r="G1908" s="1"/>
  <c r="G1920" s="1"/>
  <c r="G1932" s="1"/>
  <c r="G1944" s="1"/>
  <c r="G1956" s="1"/>
  <c r="G1789"/>
  <c r="G1801" s="1"/>
  <c r="G1813" s="1"/>
  <c r="G1825" s="1"/>
  <c r="G1837" s="1"/>
  <c r="G1849" s="1"/>
  <c r="G1861" s="1"/>
  <c r="G1873" s="1"/>
  <c r="G1885" s="1"/>
  <c r="G1897" s="1"/>
  <c r="G1909" s="1"/>
  <c r="G1921" s="1"/>
  <c r="G1933" s="1"/>
  <c r="G1945" s="1"/>
  <c r="G1957" s="1"/>
  <c r="G1790"/>
  <c r="G1802" s="1"/>
  <c r="G1814" s="1"/>
  <c r="G1826" s="1"/>
  <c r="G1838" s="1"/>
  <c r="G1850" s="1"/>
  <c r="G1862" s="1"/>
  <c r="G1874" s="1"/>
  <c r="G1886" s="1"/>
  <c r="G1898" s="1"/>
  <c r="G1910" s="1"/>
  <c r="G1922" s="1"/>
  <c r="G1934" s="1"/>
  <c r="G1946" s="1"/>
  <c r="G1958" s="1"/>
  <c r="G1791"/>
  <c r="G1803" s="1"/>
  <c r="G1815" s="1"/>
  <c r="G1827" s="1"/>
  <c r="G1839" s="1"/>
  <c r="G1851" s="1"/>
  <c r="G1863" s="1"/>
  <c r="G1875" s="1"/>
  <c r="G1887" s="1"/>
  <c r="G1899" s="1"/>
  <c r="G1911" s="1"/>
  <c r="G1923" s="1"/>
  <c r="G1935" s="1"/>
  <c r="G1947" s="1"/>
  <c r="G1959" s="1"/>
  <c r="G1792"/>
  <c r="G1804" s="1"/>
  <c r="G1816" s="1"/>
  <c r="G1828" s="1"/>
  <c r="G1840" s="1"/>
  <c r="G1852" s="1"/>
  <c r="G1864" s="1"/>
  <c r="G1876" s="1"/>
  <c r="G1888" s="1"/>
  <c r="G1900" s="1"/>
  <c r="G1912" s="1"/>
  <c r="G1924" s="1"/>
  <c r="G1936" s="1"/>
  <c r="G1948" s="1"/>
  <c r="G1960" s="1"/>
  <c r="G1793"/>
  <c r="G1805" s="1"/>
  <c r="G1817" s="1"/>
  <c r="G1829" s="1"/>
  <c r="G1841" s="1"/>
  <c r="G1853" s="1"/>
  <c r="G1865" s="1"/>
  <c r="G1877" s="1"/>
  <c r="G1889" s="1"/>
  <c r="G1901" s="1"/>
  <c r="G1913" s="1"/>
  <c r="G1925" s="1"/>
  <c r="G1937" s="1"/>
  <c r="G1949" s="1"/>
  <c r="G1961" s="1"/>
  <c r="G1794"/>
  <c r="G1806" s="1"/>
  <c r="G1818" s="1"/>
  <c r="G1830" s="1"/>
  <c r="G1842" s="1"/>
  <c r="G1854" s="1"/>
  <c r="G1866" s="1"/>
  <c r="G1878" s="1"/>
  <c r="G1890" s="1"/>
  <c r="G1902" s="1"/>
  <c r="G1914" s="1"/>
  <c r="G1926" s="1"/>
  <c r="G1938" s="1"/>
  <c r="G1950" s="1"/>
  <c r="G1962" s="1"/>
  <c r="G1795"/>
  <c r="G1807" s="1"/>
  <c r="G1819" s="1"/>
  <c r="G1831" s="1"/>
  <c r="G1843" s="1"/>
  <c r="G1855" s="1"/>
  <c r="G1867" s="1"/>
  <c r="G1879" s="1"/>
  <c r="G1891" s="1"/>
  <c r="G1903" s="1"/>
  <c r="G1915" s="1"/>
  <c r="G1927" s="1"/>
  <c r="G1939" s="1"/>
  <c r="G1951" s="1"/>
  <c r="G1963" s="1"/>
  <c r="G1796"/>
  <c r="G1808" s="1"/>
  <c r="G1820" s="1"/>
  <c r="G1832" s="1"/>
  <c r="G1844" s="1"/>
  <c r="G1856" s="1"/>
  <c r="G1868" s="1"/>
  <c r="G1880" s="1"/>
  <c r="G1892" s="1"/>
  <c r="G1904" s="1"/>
  <c r="G1916" s="1"/>
  <c r="G1928" s="1"/>
  <c r="G1940" s="1"/>
  <c r="G1952" s="1"/>
  <c r="G1964" s="1"/>
  <c r="G1797"/>
  <c r="G1809" s="1"/>
  <c r="G1821" s="1"/>
  <c r="G1833" s="1"/>
  <c r="G1845" s="1"/>
  <c r="G1857" s="1"/>
  <c r="G1869" s="1"/>
  <c r="G1881" s="1"/>
  <c r="G1893" s="1"/>
  <c r="G1905" s="1"/>
  <c r="G1917" s="1"/>
  <c r="G1929" s="1"/>
  <c r="G1941" s="1"/>
  <c r="G1953" s="1"/>
  <c r="G1965" s="1"/>
  <c r="G1798"/>
  <c r="G1810" s="1"/>
  <c r="G1822" s="1"/>
  <c r="G1834" s="1"/>
  <c r="G1846" s="1"/>
  <c r="G1858" s="1"/>
  <c r="G1870" s="1"/>
  <c r="G1882" s="1"/>
  <c r="G1894" s="1"/>
  <c r="G1906" s="1"/>
  <c r="G1918" s="1"/>
  <c r="G1930" s="1"/>
  <c r="G1942" s="1"/>
  <c r="G1954" s="1"/>
  <c r="G1966" s="1"/>
  <c r="G1787"/>
  <c r="G1799" s="1"/>
  <c r="G1811" s="1"/>
  <c r="G1823" s="1"/>
  <c r="G1835" s="1"/>
  <c r="G1847" s="1"/>
  <c r="G1859" s="1"/>
  <c r="G1871" s="1"/>
  <c r="G1883" s="1"/>
  <c r="G1895" s="1"/>
  <c r="G1907" s="1"/>
  <c r="G1919" s="1"/>
  <c r="G1931" s="1"/>
  <c r="G1943" s="1"/>
  <c r="G1955" s="1"/>
  <c r="I1775"/>
  <c r="J1775"/>
  <c r="P4" l="1"/>
  <c r="P5" s="1"/>
  <c r="P6" s="1"/>
  <c r="P7" s="1"/>
  <c r="P8" s="1"/>
  <c r="P9" s="1"/>
  <c r="P10" s="1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N83" i="36" l="1"/>
  <c r="N84"/>
  <c r="N85"/>
  <c r="N86"/>
  <c r="N87"/>
  <c r="N88"/>
  <c r="N89"/>
  <c r="N90"/>
  <c r="N91"/>
  <c r="N92"/>
  <c r="N93"/>
  <c r="N94"/>
  <c r="N95"/>
  <c r="N96"/>
  <c r="N97"/>
  <c r="N98"/>
  <c r="N99"/>
  <c r="N100"/>
  <c r="B314" i="23"/>
  <c r="C314"/>
  <c r="D314"/>
  <c r="E314"/>
  <c r="F314"/>
  <c r="G314"/>
  <c r="H314"/>
  <c r="I314"/>
  <c r="J314"/>
  <c r="K314"/>
  <c r="L314"/>
  <c r="M314"/>
  <c r="B315"/>
  <c r="C315"/>
  <c r="D315"/>
  <c r="E315"/>
  <c r="F315"/>
  <c r="G315"/>
  <c r="H315"/>
  <c r="I315"/>
  <c r="J315"/>
  <c r="K315"/>
  <c r="L315"/>
  <c r="M315"/>
  <c r="B316"/>
  <c r="C316"/>
  <c r="D316"/>
  <c r="E316"/>
  <c r="F316"/>
  <c r="G316"/>
  <c r="H316"/>
  <c r="I316"/>
  <c r="J316"/>
  <c r="K316"/>
  <c r="L316"/>
  <c r="M316"/>
  <c r="B317"/>
  <c r="C317"/>
  <c r="D317"/>
  <c r="E317"/>
  <c r="F317"/>
  <c r="G317"/>
  <c r="H317"/>
  <c r="I317"/>
  <c r="J317"/>
  <c r="K317"/>
  <c r="L317"/>
  <c r="M317"/>
  <c r="B318"/>
  <c r="C318"/>
  <c r="D318"/>
  <c r="E318"/>
  <c r="F318"/>
  <c r="G318"/>
  <c r="H318"/>
  <c r="I318"/>
  <c r="J318"/>
  <c r="K318"/>
  <c r="L318"/>
  <c r="M318"/>
  <c r="B358" l="1"/>
  <c r="C358"/>
  <c r="D358"/>
  <c r="E358"/>
  <c r="N358" s="1"/>
  <c r="F358"/>
  <c r="G358"/>
  <c r="H358"/>
  <c r="I358"/>
  <c r="J358"/>
  <c r="K358"/>
  <c r="L358"/>
  <c r="M358"/>
  <c r="B354"/>
  <c r="C354"/>
  <c r="D354"/>
  <c r="E354"/>
  <c r="N354" s="1"/>
  <c r="F354"/>
  <c r="G354"/>
  <c r="H354"/>
  <c r="I354"/>
  <c r="J354"/>
  <c r="K354"/>
  <c r="L354"/>
  <c r="M354"/>
  <c r="B355"/>
  <c r="C355"/>
  <c r="D355"/>
  <c r="E355"/>
  <c r="N355" s="1"/>
  <c r="F355"/>
  <c r="G355"/>
  <c r="H355"/>
  <c r="I355"/>
  <c r="J355"/>
  <c r="K355"/>
  <c r="L355"/>
  <c r="M355"/>
  <c r="B356"/>
  <c r="C356"/>
  <c r="D356"/>
  <c r="E356"/>
  <c r="F356"/>
  <c r="G356"/>
  <c r="H356"/>
  <c r="I356"/>
  <c r="J356"/>
  <c r="K356"/>
  <c r="L356"/>
  <c r="M356"/>
  <c r="B357"/>
  <c r="C357"/>
  <c r="D357"/>
  <c r="E357"/>
  <c r="N357" s="1"/>
  <c r="F357"/>
  <c r="G357"/>
  <c r="H357"/>
  <c r="I357"/>
  <c r="J357"/>
  <c r="K357"/>
  <c r="L357"/>
  <c r="M357"/>
  <c r="N318"/>
  <c r="N317"/>
  <c r="N316"/>
  <c r="N315"/>
  <c r="N314"/>
  <c r="N356"/>
  <c r="N1683"/>
  <c r="D323"/>
  <c r="F323"/>
  <c r="H323"/>
  <c r="J323"/>
  <c r="L323"/>
  <c r="N1643" l="1"/>
  <c r="N1163"/>
  <c r="M324"/>
  <c r="K324"/>
  <c r="I324"/>
  <c r="G324"/>
  <c r="E324"/>
  <c r="C324"/>
  <c r="N1323"/>
  <c r="N1324"/>
  <c r="N1403"/>
  <c r="N1404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23"/>
  <c r="N1524"/>
  <c r="N1644"/>
  <c r="N1164"/>
  <c r="M323"/>
  <c r="K323"/>
  <c r="I323"/>
  <c r="G323"/>
  <c r="E323"/>
  <c r="C323"/>
  <c r="N1563"/>
  <c r="N1564"/>
  <c r="L324"/>
  <c r="J324"/>
  <c r="H324"/>
  <c r="F324"/>
  <c r="D324"/>
  <c r="B324"/>
  <c r="B323"/>
  <c r="N1603"/>
  <c r="N1604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243"/>
  <c r="N1244"/>
  <c r="B274" l="1"/>
  <c r="C274"/>
  <c r="C194" s="1"/>
  <c r="C234" s="1"/>
  <c r="D274"/>
  <c r="D194" s="1"/>
  <c r="D234" s="1"/>
  <c r="E274"/>
  <c r="E194" s="1"/>
  <c r="E234" s="1"/>
  <c r="F274"/>
  <c r="F194" s="1"/>
  <c r="F234" s="1"/>
  <c r="G274"/>
  <c r="G194" s="1"/>
  <c r="G234" s="1"/>
  <c r="H274"/>
  <c r="H194" s="1"/>
  <c r="H234" s="1"/>
  <c r="I274"/>
  <c r="I194" s="1"/>
  <c r="I234" s="1"/>
  <c r="J274"/>
  <c r="J194" s="1"/>
  <c r="J234" s="1"/>
  <c r="K274"/>
  <c r="K194" s="1"/>
  <c r="K234" s="1"/>
  <c r="L274"/>
  <c r="L194" s="1"/>
  <c r="L234" s="1"/>
  <c r="M274"/>
  <c r="M194" s="1"/>
  <c r="M234" s="1"/>
  <c r="B275"/>
  <c r="C275"/>
  <c r="C195" s="1"/>
  <c r="C235" s="1"/>
  <c r="D275"/>
  <c r="D195" s="1"/>
  <c r="D235" s="1"/>
  <c r="E275"/>
  <c r="E195" s="1"/>
  <c r="E235" s="1"/>
  <c r="F275"/>
  <c r="F195" s="1"/>
  <c r="F235" s="1"/>
  <c r="G275"/>
  <c r="G195" s="1"/>
  <c r="G235" s="1"/>
  <c r="H275"/>
  <c r="H195" s="1"/>
  <c r="H235" s="1"/>
  <c r="I275"/>
  <c r="I195" s="1"/>
  <c r="I235" s="1"/>
  <c r="J275"/>
  <c r="J195" s="1"/>
  <c r="J235" s="1"/>
  <c r="K275"/>
  <c r="K195" s="1"/>
  <c r="K235" s="1"/>
  <c r="L275"/>
  <c r="L195" s="1"/>
  <c r="L235" s="1"/>
  <c r="M275"/>
  <c r="M195" s="1"/>
  <c r="M235" s="1"/>
  <c r="B276"/>
  <c r="C276"/>
  <c r="C196" s="1"/>
  <c r="C236" s="1"/>
  <c r="D276"/>
  <c r="D196" s="1"/>
  <c r="D236" s="1"/>
  <c r="E276"/>
  <c r="E196" s="1"/>
  <c r="E236" s="1"/>
  <c r="F276"/>
  <c r="F196" s="1"/>
  <c r="F236" s="1"/>
  <c r="G276"/>
  <c r="G196" s="1"/>
  <c r="G236" s="1"/>
  <c r="H276"/>
  <c r="H196" s="1"/>
  <c r="H236" s="1"/>
  <c r="I276"/>
  <c r="I196" s="1"/>
  <c r="I236" s="1"/>
  <c r="J276"/>
  <c r="J196" s="1"/>
  <c r="J236" s="1"/>
  <c r="K276"/>
  <c r="K196" s="1"/>
  <c r="K236" s="1"/>
  <c r="L276"/>
  <c r="L196" s="1"/>
  <c r="L236" s="1"/>
  <c r="M276"/>
  <c r="M196" s="1"/>
  <c r="M236" s="1"/>
  <c r="B277"/>
  <c r="C277"/>
  <c r="C197" s="1"/>
  <c r="C237" s="1"/>
  <c r="D277"/>
  <c r="D197" s="1"/>
  <c r="D237" s="1"/>
  <c r="E277"/>
  <c r="E197" s="1"/>
  <c r="E237" s="1"/>
  <c r="F277"/>
  <c r="F197" s="1"/>
  <c r="F237" s="1"/>
  <c r="G277"/>
  <c r="G197" s="1"/>
  <c r="G237" s="1"/>
  <c r="H277"/>
  <c r="H197" s="1"/>
  <c r="H237" s="1"/>
  <c r="I277"/>
  <c r="I197" s="1"/>
  <c r="I237" s="1"/>
  <c r="J277"/>
  <c r="J197" s="1"/>
  <c r="J237" s="1"/>
  <c r="K277"/>
  <c r="K197" s="1"/>
  <c r="K237" s="1"/>
  <c r="L277"/>
  <c r="L197" s="1"/>
  <c r="L237" s="1"/>
  <c r="M277"/>
  <c r="M197" s="1"/>
  <c r="M237" s="1"/>
  <c r="B278"/>
  <c r="C278"/>
  <c r="C198" s="1"/>
  <c r="C238" s="1"/>
  <c r="D278"/>
  <c r="D198" s="1"/>
  <c r="D238" s="1"/>
  <c r="E278"/>
  <c r="E198" s="1"/>
  <c r="E238" s="1"/>
  <c r="F278"/>
  <c r="F198" s="1"/>
  <c r="F238" s="1"/>
  <c r="G278"/>
  <c r="G198" s="1"/>
  <c r="G238" s="1"/>
  <c r="H278"/>
  <c r="H198" s="1"/>
  <c r="H238" s="1"/>
  <c r="I278"/>
  <c r="I198" s="1"/>
  <c r="I238" s="1"/>
  <c r="J278"/>
  <c r="J198" s="1"/>
  <c r="J238" s="1"/>
  <c r="K278"/>
  <c r="K198" s="1"/>
  <c r="K238" s="1"/>
  <c r="L278"/>
  <c r="L198" s="1"/>
  <c r="L238" s="1"/>
  <c r="M278"/>
  <c r="M198" s="1"/>
  <c r="M238" s="1"/>
  <c r="N393"/>
  <c r="N392"/>
  <c r="N391"/>
  <c r="N390"/>
  <c r="N389"/>
  <c r="N388"/>
  <c r="N387"/>
  <c r="N386"/>
  <c r="N385"/>
  <c r="CK625" l="1"/>
  <c r="AA633"/>
  <c r="Y633"/>
  <c r="J633" s="1"/>
  <c r="W633"/>
  <c r="H633" s="1"/>
  <c r="U633"/>
  <c r="F633" s="1"/>
  <c r="S633"/>
  <c r="Q633"/>
  <c r="AA632"/>
  <c r="Y632"/>
  <c r="J632" s="1"/>
  <c r="W632"/>
  <c r="H632" s="1"/>
  <c r="U632"/>
  <c r="F632" s="1"/>
  <c r="S632"/>
  <c r="Q632"/>
  <c r="AA631"/>
  <c r="Y631"/>
  <c r="J631" s="1"/>
  <c r="W631"/>
  <c r="H631" s="1"/>
  <c r="U631"/>
  <c r="F631" s="1"/>
  <c r="S631"/>
  <c r="Q631"/>
  <c r="AA630"/>
  <c r="Y630"/>
  <c r="J630" s="1"/>
  <c r="W630"/>
  <c r="H630" s="1"/>
  <c r="U630"/>
  <c r="F630" s="1"/>
  <c r="S630"/>
  <c r="Q630"/>
  <c r="AA629"/>
  <c r="Y629"/>
  <c r="J629" s="1"/>
  <c r="W629"/>
  <c r="H629" s="1"/>
  <c r="U629"/>
  <c r="F629" s="1"/>
  <c r="S629"/>
  <c r="Q629"/>
  <c r="AA628"/>
  <c r="Y628"/>
  <c r="J628" s="1"/>
  <c r="W628"/>
  <c r="H628" s="1"/>
  <c r="U628"/>
  <c r="F628" s="1"/>
  <c r="S628"/>
  <c r="Q628"/>
  <c r="AA627"/>
  <c r="Y627"/>
  <c r="J627" s="1"/>
  <c r="W627"/>
  <c r="H627" s="1"/>
  <c r="U627"/>
  <c r="F627" s="1"/>
  <c r="S627"/>
  <c r="Q627"/>
  <c r="AB633"/>
  <c r="Z633"/>
  <c r="K633" s="1"/>
  <c r="V633"/>
  <c r="G633" s="1"/>
  <c r="T633"/>
  <c r="E633" s="1"/>
  <c r="R633"/>
  <c r="AB632"/>
  <c r="Z632"/>
  <c r="K632" s="1"/>
  <c r="X632"/>
  <c r="I632" s="1"/>
  <c r="V632"/>
  <c r="G632" s="1"/>
  <c r="T632"/>
  <c r="E632" s="1"/>
  <c r="R632"/>
  <c r="AB631"/>
  <c r="X631"/>
  <c r="I631" s="1"/>
  <c r="V631"/>
  <c r="G631" s="1"/>
  <c r="T631"/>
  <c r="E631" s="1"/>
  <c r="R631"/>
  <c r="AB628"/>
  <c r="Z628"/>
  <c r="K628" s="1"/>
  <c r="X628"/>
  <c r="I628" s="1"/>
  <c r="V628"/>
  <c r="G628" s="1"/>
  <c r="T628"/>
  <c r="E628" s="1"/>
  <c r="R628"/>
  <c r="Z627"/>
  <c r="K627" s="1"/>
  <c r="X627"/>
  <c r="I627" s="1"/>
  <c r="V627"/>
  <c r="G627" s="1"/>
  <c r="T627"/>
  <c r="E627" s="1"/>
  <c r="R627"/>
  <c r="B198"/>
  <c r="N278"/>
  <c r="B197"/>
  <c r="N277"/>
  <c r="B196"/>
  <c r="N276"/>
  <c r="B195"/>
  <c r="N275"/>
  <c r="B194"/>
  <c r="N274"/>
  <c r="CK629"/>
  <c r="CK627"/>
  <c r="CK631"/>
  <c r="CK633"/>
  <c r="BV633"/>
  <c r="BV627"/>
  <c r="BV631"/>
  <c r="CK632"/>
  <c r="CK630"/>
  <c r="CK628"/>
  <c r="CK626"/>
  <c r="BV629"/>
  <c r="AB630"/>
  <c r="Z630"/>
  <c r="K630" s="1"/>
  <c r="X630"/>
  <c r="I630" s="1"/>
  <c r="V630"/>
  <c r="G630" s="1"/>
  <c r="T630"/>
  <c r="R630"/>
  <c r="Z629"/>
  <c r="K629" s="1"/>
  <c r="X629"/>
  <c r="I629" s="1"/>
  <c r="V629"/>
  <c r="G629" s="1"/>
  <c r="T629"/>
  <c r="E629" s="1"/>
  <c r="R629"/>
  <c r="BV625"/>
  <c r="X633"/>
  <c r="I633" s="1"/>
  <c r="Z631"/>
  <c r="K631" s="1"/>
  <c r="AB629"/>
  <c r="AB627"/>
  <c r="BV632"/>
  <c r="BV628"/>
  <c r="BV624"/>
  <c r="BV630"/>
  <c r="BV626"/>
  <c r="N664"/>
  <c r="N672"/>
  <c r="N712"/>
  <c r="N710"/>
  <c r="N708"/>
  <c r="N706"/>
  <c r="N704"/>
  <c r="N711"/>
  <c r="N709"/>
  <c r="N707"/>
  <c r="N705"/>
  <c r="N668"/>
  <c r="N670"/>
  <c r="N666"/>
  <c r="N673"/>
  <c r="N669"/>
  <c r="N665"/>
  <c r="N671"/>
  <c r="N667"/>
  <c r="E630"/>
  <c r="B234" l="1"/>
  <c r="N194"/>
  <c r="B235"/>
  <c r="N195"/>
  <c r="B236"/>
  <c r="N196"/>
  <c r="B237"/>
  <c r="N197"/>
  <c r="B238"/>
  <c r="N198"/>
  <c r="AC627"/>
  <c r="AC631"/>
  <c r="AC630"/>
  <c r="AC628"/>
  <c r="AC633"/>
  <c r="AC632"/>
  <c r="AC629"/>
  <c r="N238" l="1"/>
  <c r="N237"/>
  <c r="N236"/>
  <c r="N235"/>
  <c r="N234"/>
  <c r="S187" i="22" l="1"/>
  <c r="AG187" s="1"/>
  <c r="S191"/>
  <c r="AG191" s="1"/>
  <c r="S140"/>
  <c r="S141"/>
  <c r="S188" s="1"/>
  <c r="AG188" s="1"/>
  <c r="S144"/>
  <c r="S145"/>
  <c r="S192" s="1"/>
  <c r="AG192" s="1"/>
  <c r="S102"/>
  <c r="S148" s="1"/>
  <c r="S195" s="1"/>
  <c r="AG195" s="1"/>
  <c r="S93"/>
  <c r="S139" s="1"/>
  <c r="S186" s="1"/>
  <c r="AG186" s="1"/>
  <c r="S94"/>
  <c r="S95"/>
  <c r="S96"/>
  <c r="S142" s="1"/>
  <c r="S189" s="1"/>
  <c r="AG189" s="1"/>
  <c r="S97"/>
  <c r="S143" s="1"/>
  <c r="S190" s="1"/>
  <c r="AG190" s="1"/>
  <c r="S98"/>
  <c r="S99"/>
  <c r="S100"/>
  <c r="S146" s="1"/>
  <c r="S193" s="1"/>
  <c r="AG193" s="1"/>
  <c r="S101"/>
  <c r="S147" s="1"/>
  <c r="S194" s="1"/>
  <c r="AG194" s="1"/>
  <c r="AD62" i="35"/>
  <c r="AD63"/>
  <c r="AD64" i="33"/>
  <c r="AD65"/>
  <c r="AD66"/>
  <c r="AD67"/>
  <c r="AD68"/>
  <c r="AD69"/>
  <c r="AD70"/>
  <c r="AD71"/>
  <c r="AD72"/>
  <c r="AD73"/>
  <c r="AD64" i="32"/>
  <c r="AD65"/>
  <c r="AD66"/>
  <c r="AD67"/>
  <c r="AD68"/>
  <c r="AD69"/>
  <c r="AD70"/>
  <c r="AD71"/>
  <c r="AD72"/>
  <c r="AD64" i="31"/>
  <c r="AD65"/>
  <c r="AD66"/>
  <c r="AD67"/>
  <c r="AD68"/>
  <c r="AD69"/>
  <c r="AD70"/>
  <c r="AD71"/>
  <c r="AD72"/>
  <c r="AD73"/>
  <c r="AD64" i="30"/>
  <c r="AD65"/>
  <c r="AD66"/>
  <c r="AD67"/>
  <c r="AD68"/>
  <c r="AD69"/>
  <c r="AD70"/>
  <c r="AD71"/>
  <c r="AD72"/>
  <c r="AD73"/>
  <c r="AD64" i="29"/>
  <c r="AD65"/>
  <c r="AD66"/>
  <c r="AD67"/>
  <c r="AD68"/>
  <c r="AD69"/>
  <c r="AD70"/>
  <c r="AD71"/>
  <c r="AD72"/>
  <c r="AD73"/>
  <c r="N587" i="23" l="1"/>
  <c r="L117"/>
  <c r="L157" s="1"/>
  <c r="J117"/>
  <c r="J157" s="1"/>
  <c r="H117"/>
  <c r="H157" s="1"/>
  <c r="F117"/>
  <c r="F157" s="1"/>
  <c r="D117"/>
  <c r="D157" s="1"/>
  <c r="B117"/>
  <c r="B157" s="1"/>
  <c r="L116"/>
  <c r="L156" s="1"/>
  <c r="J116"/>
  <c r="J156" s="1"/>
  <c r="H116"/>
  <c r="H156" s="1"/>
  <c r="F116"/>
  <c r="F156" s="1"/>
  <c r="D116"/>
  <c r="D156" s="1"/>
  <c r="B116"/>
  <c r="B156" s="1"/>
  <c r="M115"/>
  <c r="M155" s="1"/>
  <c r="K115"/>
  <c r="K155" s="1"/>
  <c r="I115"/>
  <c r="I155" s="1"/>
  <c r="G115"/>
  <c r="G155" s="1"/>
  <c r="E115"/>
  <c r="E155" s="1"/>
  <c r="C115"/>
  <c r="C155" s="1"/>
  <c r="M114"/>
  <c r="M154" s="1"/>
  <c r="K114"/>
  <c r="K154" s="1"/>
  <c r="I114"/>
  <c r="I154" s="1"/>
  <c r="G114"/>
  <c r="G154" s="1"/>
  <c r="E114"/>
  <c r="E154" s="1"/>
  <c r="C114"/>
  <c r="C154" s="1"/>
  <c r="M118"/>
  <c r="M158" s="1"/>
  <c r="K118"/>
  <c r="K158" s="1"/>
  <c r="I118"/>
  <c r="I158" s="1"/>
  <c r="G118"/>
  <c r="G158" s="1"/>
  <c r="E118"/>
  <c r="E158" s="1"/>
  <c r="C118"/>
  <c r="C158" s="1"/>
  <c r="M117"/>
  <c r="M157" s="1"/>
  <c r="K117"/>
  <c r="K157" s="1"/>
  <c r="I117"/>
  <c r="I157" s="1"/>
  <c r="G117"/>
  <c r="G157" s="1"/>
  <c r="E117"/>
  <c r="E157" s="1"/>
  <c r="M116"/>
  <c r="M156" s="1"/>
  <c r="K116"/>
  <c r="K156" s="1"/>
  <c r="I116"/>
  <c r="I156" s="1"/>
  <c r="G116"/>
  <c r="G156" s="1"/>
  <c r="E116"/>
  <c r="E156" s="1"/>
  <c r="C116"/>
  <c r="L115"/>
  <c r="L155" s="1"/>
  <c r="J115"/>
  <c r="J155" s="1"/>
  <c r="H115"/>
  <c r="H155" s="1"/>
  <c r="F115"/>
  <c r="F155" s="1"/>
  <c r="D115"/>
  <c r="D155" s="1"/>
  <c r="B115"/>
  <c r="B155" s="1"/>
  <c r="L114"/>
  <c r="L154" s="1"/>
  <c r="J114"/>
  <c r="J154" s="1"/>
  <c r="H114"/>
  <c r="H154" s="1"/>
  <c r="F114"/>
  <c r="F154" s="1"/>
  <c r="D114"/>
  <c r="D154" s="1"/>
  <c r="B114"/>
  <c r="B154" s="1"/>
  <c r="N585"/>
  <c r="L118"/>
  <c r="L158" s="1"/>
  <c r="J118"/>
  <c r="J158" s="1"/>
  <c r="H118"/>
  <c r="H158" s="1"/>
  <c r="F118"/>
  <c r="F158" s="1"/>
  <c r="D118"/>
  <c r="D158" s="1"/>
  <c r="B118"/>
  <c r="B158" s="1"/>
  <c r="N593"/>
  <c r="N591"/>
  <c r="N586"/>
  <c r="C117"/>
  <c r="C157" s="1"/>
  <c r="N589"/>
  <c r="N592"/>
  <c r="N588"/>
  <c r="N590"/>
  <c r="N116" l="1"/>
  <c r="C156"/>
  <c r="F38"/>
  <c r="F78"/>
  <c r="D38"/>
  <c r="D78"/>
  <c r="H38"/>
  <c r="H78"/>
  <c r="L38"/>
  <c r="L78"/>
  <c r="D34"/>
  <c r="D74"/>
  <c r="H34"/>
  <c r="H74"/>
  <c r="L34"/>
  <c r="L74"/>
  <c r="D35"/>
  <c r="D75"/>
  <c r="H35"/>
  <c r="H75"/>
  <c r="L35"/>
  <c r="L75"/>
  <c r="E36"/>
  <c r="E76"/>
  <c r="I36"/>
  <c r="I76"/>
  <c r="M36"/>
  <c r="M76"/>
  <c r="G37"/>
  <c r="G77"/>
  <c r="K37"/>
  <c r="K77"/>
  <c r="C38"/>
  <c r="C78"/>
  <c r="G38"/>
  <c r="G78"/>
  <c r="K38"/>
  <c r="K78"/>
  <c r="C34"/>
  <c r="C74"/>
  <c r="G34"/>
  <c r="G74"/>
  <c r="K34"/>
  <c r="K74"/>
  <c r="C35"/>
  <c r="C75"/>
  <c r="G35"/>
  <c r="G75"/>
  <c r="K35"/>
  <c r="K75"/>
  <c r="B36"/>
  <c r="F36"/>
  <c r="F76"/>
  <c r="J36"/>
  <c r="J76"/>
  <c r="B37"/>
  <c r="F37"/>
  <c r="F77"/>
  <c r="J37"/>
  <c r="J77"/>
  <c r="N117"/>
  <c r="C37"/>
  <c r="C77"/>
  <c r="B38"/>
  <c r="J38"/>
  <c r="J78"/>
  <c r="B34"/>
  <c r="F34"/>
  <c r="F74"/>
  <c r="J34"/>
  <c r="J74"/>
  <c r="B35"/>
  <c r="F35"/>
  <c r="F75"/>
  <c r="J35"/>
  <c r="J75"/>
  <c r="C36"/>
  <c r="C76"/>
  <c r="G36"/>
  <c r="G76"/>
  <c r="K36"/>
  <c r="K76"/>
  <c r="E37"/>
  <c r="E77"/>
  <c r="I37"/>
  <c r="I77"/>
  <c r="M37"/>
  <c r="M77"/>
  <c r="E38"/>
  <c r="E78"/>
  <c r="I38"/>
  <c r="I78"/>
  <c r="M38"/>
  <c r="M78"/>
  <c r="E34"/>
  <c r="E74"/>
  <c r="I34"/>
  <c r="I74"/>
  <c r="M34"/>
  <c r="M74"/>
  <c r="E35"/>
  <c r="E75"/>
  <c r="I35"/>
  <c r="I75"/>
  <c r="M35"/>
  <c r="M75"/>
  <c r="D36"/>
  <c r="D76"/>
  <c r="H36"/>
  <c r="H76"/>
  <c r="L36"/>
  <c r="L76"/>
  <c r="D37"/>
  <c r="D77"/>
  <c r="H37"/>
  <c r="H77"/>
  <c r="L37"/>
  <c r="L77"/>
  <c r="N115"/>
  <c r="N114"/>
  <c r="N118"/>
  <c r="N157" l="1"/>
  <c r="B77"/>
  <c r="N156"/>
  <c r="B76"/>
  <c r="N155"/>
  <c r="B75"/>
  <c r="N154"/>
  <c r="B74"/>
  <c r="N158"/>
  <c r="B78"/>
  <c r="AC18"/>
  <c r="M244" l="1"/>
  <c r="L244"/>
  <c r="K244"/>
  <c r="J244"/>
  <c r="I244"/>
  <c r="H244"/>
  <c r="G244"/>
  <c r="F244"/>
  <c r="E244"/>
  <c r="D244"/>
  <c r="C244"/>
  <c r="B244"/>
  <c r="P8" i="42"/>
  <c r="N244" i="23" l="1"/>
  <c r="C2" i="42"/>
  <c r="N384" i="23" l="1"/>
  <c r="CK624" l="1"/>
  <c r="U58" i="41" l="1"/>
  <c r="A58"/>
  <c r="U33"/>
  <c r="A33"/>
  <c r="B31"/>
  <c r="B56" s="1"/>
  <c r="V4" l="1"/>
  <c r="V31" s="1"/>
  <c r="V56" s="1"/>
  <c r="K1" i="25" l="1"/>
  <c r="F199" i="27"/>
  <c r="F195"/>
  <c r="F191"/>
  <c r="F187"/>
  <c r="F183"/>
  <c r="F179"/>
  <c r="F175"/>
  <c r="F171"/>
  <c r="F167"/>
  <c r="F163"/>
  <c r="F159"/>
  <c r="F155" l="1"/>
  <c r="H151"/>
  <c r="G151"/>
  <c r="F151"/>
  <c r="N149"/>
  <c r="N148"/>
  <c r="O148" s="1"/>
  <c r="G147"/>
  <c r="F147"/>
  <c r="N145"/>
  <c r="N144"/>
  <c r="O144" s="1"/>
  <c r="N153" l="1"/>
  <c r="N157" s="1"/>
  <c r="O145"/>
  <c r="O149"/>
  <c r="N152"/>
  <c r="H143"/>
  <c r="G143"/>
  <c r="F143"/>
  <c r="O152" l="1"/>
  <c r="N141"/>
  <c r="N140"/>
  <c r="O140" s="1"/>
  <c r="O141" l="1"/>
  <c r="H139"/>
  <c r="G139"/>
  <c r="F139"/>
  <c r="N137"/>
  <c r="N136"/>
  <c r="O136" s="1"/>
  <c r="O137" l="1"/>
  <c r="H135"/>
  <c r="G135"/>
  <c r="F135"/>
  <c r="N133"/>
  <c r="N132"/>
  <c r="H131"/>
  <c r="G131"/>
  <c r="F131"/>
  <c r="N129"/>
  <c r="N128"/>
  <c r="H127"/>
  <c r="G127"/>
  <c r="F127"/>
  <c r="N125"/>
  <c r="N124"/>
  <c r="H123"/>
  <c r="G123"/>
  <c r="F123"/>
  <c r="N121"/>
  <c r="O121" s="1"/>
  <c r="N120"/>
  <c r="H119"/>
  <c r="G119"/>
  <c r="F119"/>
  <c r="A119"/>
  <c r="N117"/>
  <c r="A117"/>
  <c r="N116"/>
  <c r="A116"/>
  <c r="H115"/>
  <c r="G115"/>
  <c r="F115"/>
  <c r="N113"/>
  <c r="N112"/>
  <c r="H111"/>
  <c r="G111"/>
  <c r="F111"/>
  <c r="O124" l="1"/>
  <c r="O113"/>
  <c r="O132"/>
  <c r="O120"/>
  <c r="O128"/>
  <c r="O129"/>
  <c r="O112"/>
  <c r="O116"/>
  <c r="O125"/>
  <c r="O133"/>
  <c r="O117"/>
  <c r="F95"/>
  <c r="F91"/>
  <c r="F87"/>
  <c r="F83"/>
  <c r="F79"/>
  <c r="F75"/>
  <c r="F71"/>
  <c r="F67"/>
  <c r="F63"/>
  <c r="F59"/>
  <c r="F55"/>
  <c r="F51"/>
  <c r="H47"/>
  <c r="G47"/>
  <c r="F47"/>
  <c r="N45"/>
  <c r="N44"/>
  <c r="G43"/>
  <c r="F43"/>
  <c r="O44" l="1"/>
  <c r="O45"/>
  <c r="F69"/>
  <c r="F85"/>
  <c r="F93"/>
  <c r="F73"/>
  <c r="F77"/>
  <c r="F81"/>
  <c r="F89"/>
  <c r="F97"/>
  <c r="N41"/>
  <c r="N49" s="1"/>
  <c r="N40"/>
  <c r="N48" s="1"/>
  <c r="O48" l="1"/>
  <c r="N52"/>
  <c r="N53"/>
  <c r="O49"/>
  <c r="O41"/>
  <c r="O40"/>
  <c r="H39"/>
  <c r="H40" s="1"/>
  <c r="G39"/>
  <c r="F39"/>
  <c r="N37"/>
  <c r="N36"/>
  <c r="O36" s="1"/>
  <c r="O52" l="1"/>
  <c r="N56"/>
  <c r="N57"/>
  <c r="O53"/>
  <c r="O37"/>
  <c r="G40"/>
  <c r="H35"/>
  <c r="G35"/>
  <c r="F35"/>
  <c r="N33"/>
  <c r="N32"/>
  <c r="O32" s="1"/>
  <c r="H31"/>
  <c r="G31"/>
  <c r="F31"/>
  <c r="N29"/>
  <c r="N28"/>
  <c r="O28" l="1"/>
  <c r="O33"/>
  <c r="O29"/>
  <c r="O56"/>
  <c r="N60"/>
  <c r="N61"/>
  <c r="O57"/>
  <c r="H27"/>
  <c r="G27"/>
  <c r="F27"/>
  <c r="N25"/>
  <c r="N24"/>
  <c r="H23"/>
  <c r="G23"/>
  <c r="F23"/>
  <c r="N21"/>
  <c r="N20"/>
  <c r="H19"/>
  <c r="G19"/>
  <c r="F19"/>
  <c r="N17"/>
  <c r="A17"/>
  <c r="N16"/>
  <c r="A16"/>
  <c r="AL15"/>
  <c r="AK15"/>
  <c r="AI15"/>
  <c r="AH15"/>
  <c r="H15"/>
  <c r="G15"/>
  <c r="F15"/>
  <c r="A15"/>
  <c r="AL14"/>
  <c r="AM14" s="1"/>
  <c r="F145" s="1"/>
  <c r="AK14"/>
  <c r="AI14"/>
  <c r="AH14"/>
  <c r="AL13"/>
  <c r="AM13" s="1"/>
  <c r="F141" s="1"/>
  <c r="AK13"/>
  <c r="AI13"/>
  <c r="AH13"/>
  <c r="N13"/>
  <c r="O13" s="1"/>
  <c r="AL12"/>
  <c r="AK12"/>
  <c r="AI12"/>
  <c r="AH12"/>
  <c r="N12"/>
  <c r="AL11"/>
  <c r="AK11"/>
  <c r="AI11"/>
  <c r="AJ11" s="1"/>
  <c r="AH11"/>
  <c r="H11"/>
  <c r="G11"/>
  <c r="F11"/>
  <c r="AL10"/>
  <c r="AK10"/>
  <c r="AI10"/>
  <c r="AH10"/>
  <c r="AL9"/>
  <c r="AK9"/>
  <c r="AI9"/>
  <c r="AH9"/>
  <c r="N9"/>
  <c r="AL8"/>
  <c r="AK8"/>
  <c r="AI8"/>
  <c r="AH8"/>
  <c r="N8"/>
  <c r="O8" s="1"/>
  <c r="AL7"/>
  <c r="AK7"/>
  <c r="AI7"/>
  <c r="AH7"/>
  <c r="AJ7" s="1"/>
  <c r="H7"/>
  <c r="G7"/>
  <c r="F7"/>
  <c r="AL6"/>
  <c r="AK6"/>
  <c r="AI6"/>
  <c r="AJ6" s="1"/>
  <c r="AH6"/>
  <c r="U5"/>
  <c r="T5"/>
  <c r="O24" l="1"/>
  <c r="O20"/>
  <c r="O12"/>
  <c r="AM8"/>
  <c r="F121" s="1"/>
  <c r="AJ12"/>
  <c r="F33" s="1"/>
  <c r="O16"/>
  <c r="AJ9"/>
  <c r="F21" s="1"/>
  <c r="AJ10"/>
  <c r="F25" s="1"/>
  <c r="AI16"/>
  <c r="AK16"/>
  <c r="AK17" s="1"/>
  <c r="O17"/>
  <c r="AL16"/>
  <c r="AM6"/>
  <c r="AM7"/>
  <c r="F117" s="1"/>
  <c r="AJ8"/>
  <c r="F17" s="1"/>
  <c r="O9"/>
  <c r="AM9"/>
  <c r="F125" s="1"/>
  <c r="AM10"/>
  <c r="F129" s="1"/>
  <c r="AM11"/>
  <c r="F133" s="1"/>
  <c r="AM12"/>
  <c r="F137" s="1"/>
  <c r="AJ13"/>
  <c r="F37" s="1"/>
  <c r="AJ14"/>
  <c r="F41" s="1"/>
  <c r="F40" s="1"/>
  <c r="AH16"/>
  <c r="O21"/>
  <c r="O25"/>
  <c r="O60"/>
  <c r="AJ15"/>
  <c r="F45" s="1"/>
  <c r="AM15"/>
  <c r="F149" s="1"/>
  <c r="O61"/>
  <c r="F29"/>
  <c r="F13"/>
  <c r="AJ16" l="1"/>
  <c r="F49" s="1"/>
  <c r="AM16"/>
  <c r="F153" s="1"/>
  <c r="O135" i="38"/>
  <c r="O134"/>
  <c r="O132"/>
  <c r="O110"/>
  <c r="O109"/>
  <c r="O107"/>
  <c r="A106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111" s="1"/>
  <c r="O85"/>
  <c r="O84"/>
  <c r="O82"/>
  <c r="O57" l="1"/>
  <c r="O56"/>
  <c r="O54"/>
  <c r="A76"/>
  <c r="A75"/>
  <c r="A74"/>
  <c r="A73"/>
  <c r="A71" l="1"/>
  <c r="A70"/>
  <c r="A69"/>
  <c r="A68"/>
  <c r="A67"/>
  <c r="U41"/>
  <c r="A66"/>
  <c r="U40"/>
  <c r="A65"/>
  <c r="U39"/>
  <c r="A64"/>
  <c r="U38"/>
  <c r="A63"/>
  <c r="U37"/>
  <c r="A62"/>
  <c r="U36"/>
  <c r="A61"/>
  <c r="U35"/>
  <c r="A60"/>
  <c r="U34"/>
  <c r="A59"/>
  <c r="T34" l="1"/>
  <c r="T38"/>
  <c r="T35"/>
  <c r="T39"/>
  <c r="T36"/>
  <c r="T40"/>
  <c r="T37"/>
  <c r="T41"/>
  <c r="U33"/>
  <c r="A33"/>
  <c r="A58" s="1"/>
  <c r="O32"/>
  <c r="O31"/>
  <c r="O29"/>
  <c r="T33" l="1"/>
  <c r="M26"/>
  <c r="M25"/>
  <c r="M24"/>
  <c r="M23"/>
  <c r="T22" l="1"/>
  <c r="M22"/>
  <c r="T21"/>
  <c r="M21"/>
  <c r="T20"/>
  <c r="M20"/>
  <c r="T19"/>
  <c r="M19"/>
  <c r="T18"/>
  <c r="M18"/>
  <c r="T17"/>
  <c r="M17"/>
  <c r="U16"/>
  <c r="T16"/>
  <c r="M16"/>
  <c r="U15" l="1"/>
  <c r="T15"/>
  <c r="M15"/>
  <c r="U14"/>
  <c r="T14"/>
  <c r="M14"/>
  <c r="U13"/>
  <c r="T13"/>
  <c r="M13"/>
  <c r="U12"/>
  <c r="T12"/>
  <c r="M12"/>
  <c r="U11"/>
  <c r="T11"/>
  <c r="M11"/>
  <c r="U10"/>
  <c r="T10"/>
  <c r="M10"/>
  <c r="U9"/>
  <c r="T9"/>
  <c r="M9"/>
  <c r="U8" l="1"/>
  <c r="T8"/>
  <c r="N8"/>
  <c r="M8"/>
  <c r="G8" l="1"/>
  <c r="O7"/>
  <c r="O6"/>
  <c r="U5"/>
  <c r="O4"/>
  <c r="A3"/>
  <c r="AA2"/>
  <c r="U1"/>
  <c r="A81" l="1"/>
  <c r="A131" s="1"/>
  <c r="A53"/>
  <c r="O150" i="39" l="1"/>
  <c r="O149"/>
  <c r="O147"/>
  <c r="W32" i="41" l="1"/>
  <c r="W58"/>
  <c r="W6"/>
  <c r="W34"/>
  <c r="W60"/>
  <c r="W8"/>
  <c r="W36"/>
  <c r="W62"/>
  <c r="W10"/>
  <c r="W38"/>
  <c r="W64"/>
  <c r="W12"/>
  <c r="W40"/>
  <c r="W66"/>
  <c r="W14"/>
  <c r="W42"/>
  <c r="W68"/>
  <c r="W16"/>
  <c r="W44"/>
  <c r="W70"/>
  <c r="W18"/>
  <c r="W46"/>
  <c r="W72"/>
  <c r="W20"/>
  <c r="W48"/>
  <c r="W74"/>
  <c r="W22"/>
  <c r="W50"/>
  <c r="W76"/>
  <c r="W24"/>
  <c r="W57"/>
  <c r="W5"/>
  <c r="W33"/>
  <c r="W59"/>
  <c r="W7"/>
  <c r="W35"/>
  <c r="W61"/>
  <c r="W9"/>
  <c r="W37"/>
  <c r="W63"/>
  <c r="W11"/>
  <c r="W39"/>
  <c r="W65"/>
  <c r="W13"/>
  <c r="W41"/>
  <c r="W67"/>
  <c r="W15"/>
  <c r="W43"/>
  <c r="W69"/>
  <c r="W17"/>
  <c r="W45"/>
  <c r="W71"/>
  <c r="W19"/>
  <c r="W47"/>
  <c r="W73"/>
  <c r="W21"/>
  <c r="W49"/>
  <c r="W75"/>
  <c r="W23"/>
  <c r="W51"/>
  <c r="O122" i="39"/>
  <c r="O121"/>
  <c r="O119"/>
  <c r="A118"/>
  <c r="A116"/>
  <c r="A144" s="1"/>
  <c r="A115"/>
  <c r="A143" s="1"/>
  <c r="A114"/>
  <c r="A142" s="1"/>
  <c r="A113"/>
  <c r="A141" s="1"/>
  <c r="A112"/>
  <c r="A140" s="1"/>
  <c r="A111" l="1"/>
  <c r="A139" s="1"/>
  <c r="A110"/>
  <c r="A138" s="1"/>
  <c r="A109"/>
  <c r="A137" s="1"/>
  <c r="A108"/>
  <c r="A136" s="1"/>
  <c r="A107"/>
  <c r="A135" s="1"/>
  <c r="A106"/>
  <c r="A134" s="1"/>
  <c r="A105"/>
  <c r="A133" s="1"/>
  <c r="A104"/>
  <c r="A132" s="1"/>
  <c r="A103"/>
  <c r="A131" s="1"/>
  <c r="A102"/>
  <c r="A130" s="1"/>
  <c r="A101"/>
  <c r="A129" s="1"/>
  <c r="A100"/>
  <c r="A128" s="1"/>
  <c r="A99"/>
  <c r="A127" s="1"/>
  <c r="A98"/>
  <c r="A126" s="1"/>
  <c r="A97" l="1"/>
  <c r="A125" s="1"/>
  <c r="A96" l="1"/>
  <c r="A124" s="1"/>
  <c r="A95"/>
  <c r="A123" s="1"/>
  <c r="O94"/>
  <c r="O93"/>
  <c r="O91"/>
  <c r="A76" l="1"/>
  <c r="O63"/>
  <c r="O62"/>
  <c r="O60"/>
  <c r="A57"/>
  <c r="A85" s="1"/>
  <c r="A56"/>
  <c r="A84" s="1"/>
  <c r="A55"/>
  <c r="A83" s="1"/>
  <c r="A54"/>
  <c r="A82" s="1"/>
  <c r="A53"/>
  <c r="A52"/>
  <c r="A80" s="1"/>
  <c r="S51"/>
  <c r="A51"/>
  <c r="A50"/>
  <c r="A78" s="1"/>
  <c r="A49"/>
  <c r="S49" s="1"/>
  <c r="A48"/>
  <c r="T47"/>
  <c r="A47"/>
  <c r="S47" s="1"/>
  <c r="C68" i="41" l="1"/>
  <c r="C16"/>
  <c r="C69"/>
  <c r="C17"/>
  <c r="C72"/>
  <c r="C20"/>
  <c r="C73"/>
  <c r="C21"/>
  <c r="C74"/>
  <c r="C22"/>
  <c r="C75"/>
  <c r="C23"/>
  <c r="C76"/>
  <c r="C24"/>
  <c r="C66"/>
  <c r="C14"/>
  <c r="C67"/>
  <c r="C15"/>
  <c r="C70"/>
  <c r="C18"/>
  <c r="C71"/>
  <c r="C19"/>
  <c r="T46" i="39"/>
  <c r="A46"/>
  <c r="A74" s="1"/>
  <c r="T45"/>
  <c r="S45"/>
  <c r="A45"/>
  <c r="T44"/>
  <c r="S44" s="1"/>
  <c r="A44"/>
  <c r="A72" s="1"/>
  <c r="S46" l="1"/>
  <c r="C64" i="41"/>
  <c r="C12"/>
  <c r="C65"/>
  <c r="C13"/>
  <c r="C63"/>
  <c r="C11"/>
  <c r="T43" i="39"/>
  <c r="A43"/>
  <c r="S43" s="1"/>
  <c r="T42"/>
  <c r="A42"/>
  <c r="A70" s="1"/>
  <c r="T41"/>
  <c r="S41"/>
  <c r="A41"/>
  <c r="T40"/>
  <c r="S40" s="1"/>
  <c r="A40"/>
  <c r="A68" s="1"/>
  <c r="T39"/>
  <c r="A39"/>
  <c r="S39" s="1"/>
  <c r="T38"/>
  <c r="A38"/>
  <c r="A66" s="1"/>
  <c r="T37"/>
  <c r="S42" l="1"/>
  <c r="C5" i="41"/>
  <c r="C60"/>
  <c r="C8"/>
  <c r="C61"/>
  <c r="C9"/>
  <c r="C58"/>
  <c r="C6"/>
  <c r="C59"/>
  <c r="C7"/>
  <c r="C62"/>
  <c r="C10"/>
  <c r="S38" i="39"/>
  <c r="A37"/>
  <c r="S37" s="1"/>
  <c r="T36"/>
  <c r="A36"/>
  <c r="A64" s="1"/>
  <c r="O35"/>
  <c r="O34"/>
  <c r="O32"/>
  <c r="M29"/>
  <c r="G29"/>
  <c r="M28"/>
  <c r="G28"/>
  <c r="M27"/>
  <c r="G27"/>
  <c r="M26"/>
  <c r="G26"/>
  <c r="S25"/>
  <c r="M25"/>
  <c r="G25"/>
  <c r="S24"/>
  <c r="M24"/>
  <c r="G24"/>
  <c r="S23"/>
  <c r="M23"/>
  <c r="G23"/>
  <c r="S22"/>
  <c r="M22"/>
  <c r="G22"/>
  <c r="S21"/>
  <c r="M21"/>
  <c r="G21"/>
  <c r="S20"/>
  <c r="M20"/>
  <c r="G20"/>
  <c r="T19"/>
  <c r="S19"/>
  <c r="M19"/>
  <c r="G19"/>
  <c r="T18"/>
  <c r="S18"/>
  <c r="M18"/>
  <c r="G18"/>
  <c r="T17"/>
  <c r="S17"/>
  <c r="M17"/>
  <c r="G17"/>
  <c r="S36" l="1"/>
  <c r="T16"/>
  <c r="S16"/>
  <c r="M16"/>
  <c r="G16"/>
  <c r="T15"/>
  <c r="S15"/>
  <c r="M15"/>
  <c r="G15"/>
  <c r="T14"/>
  <c r="S14"/>
  <c r="M14"/>
  <c r="G14"/>
  <c r="T13" l="1"/>
  <c r="S13"/>
  <c r="M13"/>
  <c r="G13"/>
  <c r="T12" l="1"/>
  <c r="S12"/>
  <c r="M12"/>
  <c r="G12"/>
  <c r="T11" l="1"/>
  <c r="S11"/>
  <c r="M11"/>
  <c r="G11"/>
  <c r="T10"/>
  <c r="S10"/>
  <c r="M10" l="1"/>
  <c r="G10"/>
  <c r="T9"/>
  <c r="S9"/>
  <c r="M9"/>
  <c r="G9"/>
  <c r="T8"/>
  <c r="S8"/>
  <c r="N8" l="1"/>
  <c r="M8"/>
  <c r="G8"/>
  <c r="O7"/>
  <c r="O6"/>
  <c r="T5"/>
  <c r="O4"/>
  <c r="T1"/>
  <c r="A59" l="1"/>
  <c r="A146"/>
  <c r="O133" i="36" l="1"/>
  <c r="O132"/>
  <c r="O130"/>
  <c r="O106" l="1"/>
  <c r="K106"/>
  <c r="K133" s="1"/>
  <c r="O105"/>
  <c r="K105"/>
  <c r="K132" s="1"/>
  <c r="O103"/>
  <c r="A102"/>
  <c r="A100"/>
  <c r="A99"/>
  <c r="N103" i="38" l="1"/>
  <c r="N115" i="39"/>
  <c r="N150" i="36"/>
  <c r="N104" i="38"/>
  <c r="N116" i="39"/>
  <c r="A98" i="36"/>
  <c r="A97"/>
  <c r="A96"/>
  <c r="A95"/>
  <c r="A94"/>
  <c r="A93"/>
  <c r="A92"/>
  <c r="A91"/>
  <c r="A90"/>
  <c r="A89"/>
  <c r="A88"/>
  <c r="A87"/>
  <c r="A86"/>
  <c r="A85"/>
  <c r="A84"/>
  <c r="A83"/>
  <c r="A109"/>
  <c r="A108"/>
  <c r="N96" i="39" l="1"/>
  <c r="K97"/>
  <c r="N97"/>
  <c r="N98"/>
  <c r="N87" i="38"/>
  <c r="N99" i="39"/>
  <c r="N88" i="38"/>
  <c r="N100" i="39"/>
  <c r="N135" i="36"/>
  <c r="N89" i="38"/>
  <c r="N101" i="39"/>
  <c r="N90" i="38"/>
  <c r="N102" i="39"/>
  <c r="N137" i="36"/>
  <c r="N91" i="38"/>
  <c r="N103" i="39"/>
  <c r="N92" i="38"/>
  <c r="N139" i="36"/>
  <c r="N93" i="38"/>
  <c r="N105" i="39"/>
  <c r="N140" i="36"/>
  <c r="N94" i="38"/>
  <c r="N106" i="39"/>
  <c r="N141" i="36"/>
  <c r="N95" i="38"/>
  <c r="N107" i="39"/>
  <c r="N96" i="38"/>
  <c r="N108" i="39"/>
  <c r="N143" i="36"/>
  <c r="N97" i="38"/>
  <c r="N109" i="39"/>
  <c r="N98" i="38"/>
  <c r="N110" i="39"/>
  <c r="N145" i="36"/>
  <c r="N99" i="38"/>
  <c r="N111" i="39"/>
  <c r="N146" i="36"/>
  <c r="N100" i="38"/>
  <c r="N112" i="39"/>
  <c r="N101" i="38"/>
  <c r="N113" i="39"/>
  <c r="N148" i="36"/>
  <c r="N102" i="38"/>
  <c r="N114" i="39"/>
  <c r="N149" i="36"/>
  <c r="N153" i="38"/>
  <c r="N151" l="1"/>
  <c r="N147"/>
  <c r="N141"/>
  <c r="N137"/>
  <c r="N149"/>
  <c r="N139"/>
  <c r="K153" i="39"/>
  <c r="I96" l="1"/>
  <c r="A107" i="36"/>
  <c r="N86" i="38" l="1"/>
  <c r="U34" i="41"/>
  <c r="U35" s="1"/>
  <c r="U36" s="1"/>
  <c r="U37" s="1"/>
  <c r="U38" s="1"/>
  <c r="U39" s="1"/>
  <c r="U40" s="1"/>
  <c r="U41" s="1"/>
  <c r="U42" s="1"/>
  <c r="U43" s="1"/>
  <c r="U44" s="1"/>
  <c r="U45" s="1"/>
  <c r="U46" s="1"/>
  <c r="U47" s="1"/>
  <c r="U48" s="1"/>
  <c r="U49" s="1"/>
  <c r="U50" s="1"/>
  <c r="U51" s="1"/>
  <c r="I152" i="39"/>
  <c r="O82" i="36"/>
  <c r="O81"/>
  <c r="O79"/>
  <c r="A129"/>
  <c r="I86" i="38" l="1"/>
  <c r="I136" s="1"/>
  <c r="I95" i="39"/>
  <c r="I151" s="1"/>
  <c r="O55" i="36"/>
  <c r="O54"/>
  <c r="O52"/>
  <c r="A51"/>
  <c r="A73"/>
  <c r="A72"/>
  <c r="A71"/>
  <c r="S47" l="1"/>
  <c r="S48"/>
  <c r="S49"/>
  <c r="A70"/>
  <c r="A69"/>
  <c r="A68"/>
  <c r="A67"/>
  <c r="A66"/>
  <c r="S46" l="1"/>
  <c r="A65"/>
  <c r="A64"/>
  <c r="A63"/>
  <c r="A62"/>
  <c r="A61"/>
  <c r="A60"/>
  <c r="A59"/>
  <c r="S40" l="1"/>
  <c r="U42" i="38"/>
  <c r="T42" s="1"/>
  <c r="T48" i="39"/>
  <c r="S48" s="1"/>
  <c r="A58" i="36"/>
  <c r="A57"/>
  <c r="A56" l="1"/>
  <c r="O31" l="1"/>
  <c r="K31"/>
  <c r="K55" s="1"/>
  <c r="O30"/>
  <c r="K30"/>
  <c r="K54" s="1"/>
  <c r="T29"/>
  <c r="O28"/>
  <c r="U30" i="38" l="1"/>
  <c r="T33" i="39"/>
  <c r="S25" i="36"/>
  <c r="N25" l="1"/>
  <c r="N26" i="38" l="1"/>
  <c r="N29" i="39"/>
  <c r="S24" i="36" l="1"/>
  <c r="N24"/>
  <c r="S23"/>
  <c r="N23"/>
  <c r="N24" i="38" l="1"/>
  <c r="N27" i="39"/>
  <c r="N71" i="36"/>
  <c r="N25" i="38"/>
  <c r="N28" i="39"/>
  <c r="S22" i="36"/>
  <c r="N22"/>
  <c r="S21"/>
  <c r="N23" i="38" l="1"/>
  <c r="N70" i="36"/>
  <c r="N21"/>
  <c r="S20"/>
  <c r="N22" i="38" l="1"/>
  <c r="N25" i="39"/>
  <c r="N69" i="36"/>
  <c r="N20"/>
  <c r="N21" i="38" l="1"/>
  <c r="N24" i="39"/>
  <c r="S19" i="36"/>
  <c r="N19"/>
  <c r="N20" i="38" l="1"/>
  <c r="N23" i="39"/>
  <c r="N67" i="36"/>
  <c r="S18"/>
  <c r="N18"/>
  <c r="S17"/>
  <c r="N17"/>
  <c r="N18" i="38" l="1"/>
  <c r="N21" i="39"/>
  <c r="N65" i="36"/>
  <c r="N19" i="38"/>
  <c r="N22" i="39"/>
  <c r="S16" i="36"/>
  <c r="N16"/>
  <c r="S15"/>
  <c r="N15"/>
  <c r="S14"/>
  <c r="N14"/>
  <c r="S13"/>
  <c r="N13"/>
  <c r="S12"/>
  <c r="N12"/>
  <c r="S11"/>
  <c r="N11"/>
  <c r="S10"/>
  <c r="N10"/>
  <c r="S9"/>
  <c r="N9"/>
  <c r="S8"/>
  <c r="N8"/>
  <c r="U17" i="38" l="1"/>
  <c r="T20" i="39"/>
  <c r="N9" i="38"/>
  <c r="N12" i="39"/>
  <c r="N10" i="38"/>
  <c r="N13" i="39"/>
  <c r="N57" i="36"/>
  <c r="N11" i="38"/>
  <c r="N14" i="39"/>
  <c r="N58" i="36"/>
  <c r="N13" i="38"/>
  <c r="N16" i="39"/>
  <c r="N17" i="38"/>
  <c r="N20" i="39"/>
  <c r="N12" i="38"/>
  <c r="N15" i="39"/>
  <c r="N59" i="36"/>
  <c r="N14" i="38"/>
  <c r="N17" i="39"/>
  <c r="N61" i="36"/>
  <c r="N15" i="38"/>
  <c r="N18" i="39"/>
  <c r="N16" i="38"/>
  <c r="N19" i="39"/>
  <c r="N11" l="1"/>
  <c r="G2" i="42" s="1"/>
  <c r="A34" i="41" l="1"/>
  <c r="A35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N10" i="39" l="1"/>
  <c r="N9" l="1"/>
  <c r="I9" l="1"/>
  <c r="X8" i="38" l="1"/>
  <c r="W8" i="39"/>
  <c r="I8" i="38"/>
  <c r="I8" i="39"/>
  <c r="O7" i="36"/>
  <c r="O6"/>
  <c r="O4"/>
  <c r="T3"/>
  <c r="Y2" s="1"/>
  <c r="AC17" i="23" l="1"/>
  <c r="AC16" l="1"/>
  <c r="AC15" l="1"/>
  <c r="AC14" l="1"/>
  <c r="AC13" l="1"/>
  <c r="AC12" l="1"/>
  <c r="AC11"/>
  <c r="AC10"/>
  <c r="AC9"/>
  <c r="AC8"/>
  <c r="AC7"/>
  <c r="AC6"/>
  <c r="AC5"/>
  <c r="AC4"/>
  <c r="AC3"/>
  <c r="N403" l="1"/>
  <c r="K86" i="38" l="1"/>
  <c r="K136" s="1"/>
  <c r="K95" i="39"/>
  <c r="K151" s="1"/>
  <c r="K96"/>
  <c r="K152" s="1"/>
  <c r="K10" l="1"/>
  <c r="K8" i="38"/>
  <c r="K8" i="39"/>
  <c r="K9"/>
  <c r="C1798" i="23" l="1"/>
  <c r="A1798"/>
  <c r="C1797"/>
  <c r="A1797"/>
  <c r="C1796"/>
  <c r="A1796"/>
  <c r="C1795"/>
  <c r="A1795"/>
  <c r="C1794"/>
  <c r="A1794"/>
  <c r="C1793"/>
  <c r="A1793"/>
  <c r="C1792"/>
  <c r="A1792"/>
  <c r="C1791"/>
  <c r="A1791"/>
  <c r="C1790"/>
  <c r="A1790"/>
  <c r="C1789"/>
  <c r="A1789"/>
  <c r="C1788"/>
  <c r="A1788"/>
  <c r="F1787"/>
  <c r="C1787"/>
  <c r="B1787"/>
  <c r="A1787"/>
  <c r="I1787"/>
  <c r="J1787"/>
  <c r="F1799" l="1"/>
  <c r="C1800"/>
  <c r="C1812" s="1"/>
  <c r="C1802"/>
  <c r="C1814" s="1"/>
  <c r="C1804"/>
  <c r="C1816" s="1"/>
  <c r="C1806"/>
  <c r="C1818" s="1"/>
  <c r="C1799"/>
  <c r="B1799" s="1"/>
  <c r="A1799" s="1"/>
  <c r="C1801"/>
  <c r="C1803"/>
  <c r="C1815" s="1"/>
  <c r="C1805"/>
  <c r="C1817" s="1"/>
  <c r="C1807"/>
  <c r="C1819" s="1"/>
  <c r="C1808"/>
  <c r="C1809"/>
  <c r="C1821" s="1"/>
  <c r="C1810"/>
  <c r="C1811"/>
  <c r="B1811" s="1"/>
  <c r="A1811" s="1"/>
  <c r="C1813"/>
  <c r="J1799"/>
  <c r="I1799"/>
  <c r="F1811" l="1"/>
  <c r="C1823"/>
  <c r="C1826"/>
  <c r="C1824"/>
  <c r="B1823"/>
  <c r="A1823" s="1"/>
  <c r="C1835"/>
  <c r="C1833"/>
  <c r="C1831"/>
  <c r="C1829"/>
  <c r="C1827"/>
  <c r="C1825"/>
  <c r="C1830"/>
  <c r="C1822"/>
  <c r="C1820"/>
  <c r="C1828"/>
  <c r="J1811"/>
  <c r="I1811"/>
  <c r="F1823" l="1"/>
  <c r="C1834"/>
  <c r="C1842"/>
  <c r="C1837"/>
  <c r="C1839"/>
  <c r="C1841"/>
  <c r="C1843"/>
  <c r="C1845"/>
  <c r="B1835"/>
  <c r="A1835" s="1"/>
  <c r="C1847"/>
  <c r="C1836"/>
  <c r="C1838"/>
  <c r="C1840"/>
  <c r="C1832"/>
  <c r="J1823"/>
  <c r="I1823"/>
  <c r="F1835" l="1"/>
  <c r="C1844"/>
  <c r="C1852"/>
  <c r="C1850"/>
  <c r="C1848"/>
  <c r="B1847"/>
  <c r="A1847" s="1"/>
  <c r="C1859"/>
  <c r="C1857"/>
  <c r="C1855"/>
  <c r="C1853"/>
  <c r="C1851"/>
  <c r="C1849"/>
  <c r="C1854"/>
  <c r="C1846"/>
  <c r="I1835"/>
  <c r="J1835"/>
  <c r="F1847" l="1"/>
  <c r="C1858"/>
  <c r="C1866"/>
  <c r="C1861"/>
  <c r="C1863"/>
  <c r="C1865"/>
  <c r="C1867"/>
  <c r="C1869"/>
  <c r="B1859"/>
  <c r="A1859" s="1"/>
  <c r="C1871"/>
  <c r="C1860"/>
  <c r="C1862"/>
  <c r="C1864"/>
  <c r="C1856"/>
  <c r="J1847"/>
  <c r="I1847"/>
  <c r="F1859" l="1"/>
  <c r="C1868"/>
  <c r="C1876"/>
  <c r="C1874"/>
  <c r="C1872"/>
  <c r="B1871"/>
  <c r="A1871" s="1"/>
  <c r="C1883"/>
  <c r="C1881"/>
  <c r="C1879"/>
  <c r="C1877"/>
  <c r="C1875"/>
  <c r="C1873"/>
  <c r="C1878"/>
  <c r="C1870"/>
  <c r="F1776"/>
  <c r="B1776"/>
  <c r="I1776"/>
  <c r="I1859"/>
  <c r="J1776"/>
  <c r="J1859"/>
  <c r="F1871" l="1"/>
  <c r="B1788"/>
  <c r="B1777"/>
  <c r="C1882"/>
  <c r="C1890"/>
  <c r="C1885"/>
  <c r="C1887"/>
  <c r="C1889"/>
  <c r="C1891"/>
  <c r="C1893"/>
  <c r="B1883"/>
  <c r="A1883" s="1"/>
  <c r="C1895"/>
  <c r="C1884"/>
  <c r="C1886"/>
  <c r="C1888"/>
  <c r="C1880"/>
  <c r="F1788"/>
  <c r="F1777"/>
  <c r="I1871"/>
  <c r="J1788"/>
  <c r="I1777"/>
  <c r="I1788"/>
  <c r="J1777"/>
  <c r="J1871"/>
  <c r="F1883" l="1"/>
  <c r="B1800"/>
  <c r="F1789"/>
  <c r="F1778"/>
  <c r="C1892"/>
  <c r="C1900"/>
  <c r="C1898"/>
  <c r="C1896"/>
  <c r="B1895"/>
  <c r="A1895" s="1"/>
  <c r="C1907"/>
  <c r="C1905"/>
  <c r="C1901"/>
  <c r="C1899"/>
  <c r="C1897"/>
  <c r="C1902"/>
  <c r="C1894"/>
  <c r="B1789"/>
  <c r="B1778"/>
  <c r="F1800"/>
  <c r="A1800"/>
  <c r="B1812"/>
  <c r="C1903"/>
  <c r="I1789"/>
  <c r="I1800"/>
  <c r="J1883"/>
  <c r="J1789"/>
  <c r="I1883"/>
  <c r="J1800"/>
  <c r="J1778"/>
  <c r="F1812" l="1"/>
  <c r="F1895"/>
  <c r="B1801"/>
  <c r="B1813" s="1"/>
  <c r="C1915"/>
  <c r="A1812"/>
  <c r="B1824"/>
  <c r="A1801"/>
  <c r="F1801"/>
  <c r="B1790"/>
  <c r="B1779"/>
  <c r="C1906"/>
  <c r="C1914"/>
  <c r="C1909"/>
  <c r="C1911"/>
  <c r="C1913"/>
  <c r="C1917"/>
  <c r="B1907"/>
  <c r="A1907" s="1"/>
  <c r="C1919"/>
  <c r="C1908"/>
  <c r="C1910"/>
  <c r="C1912"/>
  <c r="C1904"/>
  <c r="F1790"/>
  <c r="F1779"/>
  <c r="J86" i="38"/>
  <c r="J136" s="1"/>
  <c r="J95" i="39"/>
  <c r="J151" s="1"/>
  <c r="J8" i="38"/>
  <c r="J8" i="39"/>
  <c r="I1812" i="23"/>
  <c r="I1895"/>
  <c r="J1790"/>
  <c r="J1812"/>
  <c r="J1895"/>
  <c r="J1779"/>
  <c r="I1778"/>
  <c r="I1801"/>
  <c r="J1801"/>
  <c r="I1790"/>
  <c r="F1813" l="1"/>
  <c r="F1824"/>
  <c r="F1907"/>
  <c r="B1802"/>
  <c r="F1802"/>
  <c r="A1802"/>
  <c r="B1814"/>
  <c r="A1813"/>
  <c r="B1825"/>
  <c r="A1824"/>
  <c r="B1836"/>
  <c r="C1927"/>
  <c r="F1791"/>
  <c r="F1780"/>
  <c r="C1916"/>
  <c r="C1924"/>
  <c r="C1922"/>
  <c r="C1920"/>
  <c r="B1919"/>
  <c r="A1919" s="1"/>
  <c r="C1931"/>
  <c r="C1929"/>
  <c r="C1925"/>
  <c r="C1923"/>
  <c r="C1921"/>
  <c r="C1926"/>
  <c r="C1918"/>
  <c r="B1791"/>
  <c r="B1780"/>
  <c r="J1813"/>
  <c r="I1779"/>
  <c r="J1780"/>
  <c r="I1802"/>
  <c r="J1791"/>
  <c r="I1780"/>
  <c r="I1824"/>
  <c r="J1802"/>
  <c r="J1824"/>
  <c r="J1907"/>
  <c r="I1813"/>
  <c r="I1791"/>
  <c r="F1836" l="1"/>
  <c r="F1814"/>
  <c r="F1919"/>
  <c r="F1825"/>
  <c r="B1803"/>
  <c r="B1792"/>
  <c r="B1781"/>
  <c r="C1930"/>
  <c r="C1938"/>
  <c r="C1933"/>
  <c r="C1935"/>
  <c r="C1937"/>
  <c r="C1941"/>
  <c r="B1931"/>
  <c r="A1931" s="1"/>
  <c r="C1943"/>
  <c r="C1932"/>
  <c r="C1934"/>
  <c r="C1936"/>
  <c r="C1928"/>
  <c r="F1792"/>
  <c r="F1781"/>
  <c r="C1939"/>
  <c r="A1836"/>
  <c r="B1848"/>
  <c r="A1825"/>
  <c r="B1837"/>
  <c r="A1814"/>
  <c r="B1826"/>
  <c r="A1803"/>
  <c r="B1815"/>
  <c r="F1803"/>
  <c r="J1781"/>
  <c r="J1836"/>
  <c r="J1803"/>
  <c r="I1836"/>
  <c r="J1814"/>
  <c r="I1814"/>
  <c r="J1792"/>
  <c r="I1781"/>
  <c r="J1919"/>
  <c r="I1907"/>
  <c r="J1825"/>
  <c r="I1792"/>
  <c r="I1825"/>
  <c r="F1815" l="1"/>
  <c r="F1931"/>
  <c r="F1848"/>
  <c r="F1837"/>
  <c r="F1826"/>
  <c r="B1804"/>
  <c r="A1815"/>
  <c r="B1827"/>
  <c r="A1826"/>
  <c r="B1838"/>
  <c r="A1837"/>
  <c r="B1849"/>
  <c r="C1951"/>
  <c r="F1793"/>
  <c r="F1782"/>
  <c r="C1948"/>
  <c r="C1944"/>
  <c r="B1943"/>
  <c r="A1943" s="1"/>
  <c r="C1955"/>
  <c r="C1949"/>
  <c r="C1947"/>
  <c r="C1950"/>
  <c r="C1942"/>
  <c r="F1804"/>
  <c r="A1804"/>
  <c r="B1816"/>
  <c r="A1848"/>
  <c r="B1860"/>
  <c r="C1940"/>
  <c r="C1946"/>
  <c r="C1953"/>
  <c r="C1945"/>
  <c r="B1793"/>
  <c r="B1782"/>
  <c r="I1815"/>
  <c r="I1803"/>
  <c r="I1793"/>
  <c r="J1782"/>
  <c r="I1848"/>
  <c r="J1837"/>
  <c r="I1837"/>
  <c r="J1815"/>
  <c r="J1848"/>
  <c r="I1782"/>
  <c r="I1826"/>
  <c r="J1826"/>
  <c r="J1793"/>
  <c r="I1804"/>
  <c r="I1931"/>
  <c r="I1919"/>
  <c r="J1804"/>
  <c r="F1816" l="1"/>
  <c r="F1849"/>
  <c r="F1838"/>
  <c r="F1860"/>
  <c r="F1827"/>
  <c r="F1943"/>
  <c r="B1805"/>
  <c r="A1805"/>
  <c r="B1817"/>
  <c r="F1805"/>
  <c r="B1794"/>
  <c r="B1783"/>
  <c r="C1957"/>
  <c r="C1965"/>
  <c r="C1958"/>
  <c r="C1952"/>
  <c r="A1860"/>
  <c r="B1872"/>
  <c r="A1816"/>
  <c r="B1828"/>
  <c r="C1954"/>
  <c r="C1962"/>
  <c r="C1959"/>
  <c r="C1961"/>
  <c r="B1955"/>
  <c r="A1955" s="1"/>
  <c r="C1967"/>
  <c r="C1956"/>
  <c r="C1960"/>
  <c r="F1794"/>
  <c r="F1783"/>
  <c r="C1963"/>
  <c r="A1849"/>
  <c r="B1861"/>
  <c r="A1838"/>
  <c r="B1850"/>
  <c r="A1827"/>
  <c r="B1839"/>
  <c r="N1303"/>
  <c r="N1302"/>
  <c r="N1301"/>
  <c r="N1300"/>
  <c r="N1299"/>
  <c r="N1298"/>
  <c r="N1297"/>
  <c r="N1296"/>
  <c r="N1295"/>
  <c r="N1294"/>
  <c r="N1293"/>
  <c r="N1292"/>
  <c r="N1291"/>
  <c r="N1290"/>
  <c r="N1284"/>
  <c r="J1783"/>
  <c r="I1783"/>
  <c r="I1849"/>
  <c r="J1860"/>
  <c r="I1805"/>
  <c r="I1794"/>
  <c r="I1827"/>
  <c r="J1827"/>
  <c r="J1816"/>
  <c r="J1943"/>
  <c r="I1943"/>
  <c r="J1805"/>
  <c r="J1794"/>
  <c r="I1838"/>
  <c r="J1849"/>
  <c r="J1838"/>
  <c r="I1816"/>
  <c r="F1839" l="1"/>
  <c r="F1850"/>
  <c r="F1828"/>
  <c r="F1817"/>
  <c r="F1955"/>
  <c r="F1872"/>
  <c r="F1861"/>
  <c r="B1806"/>
  <c r="A1839"/>
  <c r="B1851"/>
  <c r="A1850"/>
  <c r="B1862"/>
  <c r="A1861"/>
  <c r="B1873"/>
  <c r="C1975"/>
  <c r="F1795"/>
  <c r="F1784"/>
  <c r="C1972"/>
  <c r="C1968"/>
  <c r="B1967"/>
  <c r="A1967" s="1"/>
  <c r="C1979"/>
  <c r="C1973"/>
  <c r="C1971"/>
  <c r="C1974"/>
  <c r="C1966"/>
  <c r="A1828"/>
  <c r="B1840"/>
  <c r="A1872"/>
  <c r="B1884"/>
  <c r="C1964"/>
  <c r="C1970"/>
  <c r="C1977"/>
  <c r="C1969"/>
  <c r="B1795"/>
  <c r="B1784"/>
  <c r="F1806"/>
  <c r="A1806"/>
  <c r="B1818"/>
  <c r="A1817"/>
  <c r="B1829"/>
  <c r="N1283"/>
  <c r="N1204"/>
  <c r="I1850"/>
  <c r="I1839"/>
  <c r="I1955"/>
  <c r="J1839"/>
  <c r="I1860"/>
  <c r="J1850"/>
  <c r="J1806"/>
  <c r="I1817"/>
  <c r="I1784"/>
  <c r="J1828"/>
  <c r="I1795"/>
  <c r="I1806"/>
  <c r="J1784"/>
  <c r="I1861"/>
  <c r="J1955"/>
  <c r="J1861"/>
  <c r="I1828"/>
  <c r="J1795"/>
  <c r="J1817"/>
  <c r="I1872"/>
  <c r="J1872"/>
  <c r="F1818" l="1"/>
  <c r="F1884"/>
  <c r="F1873"/>
  <c r="F1840"/>
  <c r="F1851"/>
  <c r="F1829"/>
  <c r="F1862"/>
  <c r="B1807"/>
  <c r="B1819" s="1"/>
  <c r="A1829"/>
  <c r="B1841"/>
  <c r="A1818"/>
  <c r="B1830"/>
  <c r="A1807"/>
  <c r="F1807"/>
  <c r="B1796"/>
  <c r="B1785"/>
  <c r="C1981"/>
  <c r="C1989"/>
  <c r="C1982"/>
  <c r="C1976"/>
  <c r="A1884"/>
  <c r="B1896"/>
  <c r="A1840"/>
  <c r="B1852"/>
  <c r="C1978"/>
  <c r="C1986"/>
  <c r="C1983"/>
  <c r="C1985"/>
  <c r="B1979"/>
  <c r="A1979" s="1"/>
  <c r="C1991"/>
  <c r="C1980"/>
  <c r="C1984"/>
  <c r="F1796"/>
  <c r="F1785"/>
  <c r="C1987"/>
  <c r="A1873"/>
  <c r="B1885"/>
  <c r="A1862"/>
  <c r="B1874"/>
  <c r="A1851"/>
  <c r="B1863"/>
  <c r="I1840"/>
  <c r="I1818"/>
  <c r="I1829"/>
  <c r="J1796"/>
  <c r="J1818"/>
  <c r="I1862"/>
  <c r="J1862"/>
  <c r="I1873"/>
  <c r="I1884"/>
  <c r="J1873"/>
  <c r="J1884"/>
  <c r="J1785"/>
  <c r="J1840"/>
  <c r="J1851"/>
  <c r="I1807"/>
  <c r="I1851"/>
  <c r="J1807"/>
  <c r="I1785"/>
  <c r="J1829"/>
  <c r="I1796"/>
  <c r="F1819" l="1"/>
  <c r="F1874"/>
  <c r="F1863"/>
  <c r="F1885"/>
  <c r="F1830"/>
  <c r="F1841"/>
  <c r="F1852"/>
  <c r="F1896"/>
  <c r="B1808"/>
  <c r="F1808"/>
  <c r="A1808"/>
  <c r="B1820"/>
  <c r="A1819"/>
  <c r="B1831"/>
  <c r="A1830"/>
  <c r="B1842"/>
  <c r="A1841"/>
  <c r="B1853"/>
  <c r="A1863"/>
  <c r="B1875"/>
  <c r="A1874"/>
  <c r="B1886"/>
  <c r="A1885"/>
  <c r="B1897"/>
  <c r="C1999"/>
  <c r="F1797"/>
  <c r="F1786"/>
  <c r="C1996"/>
  <c r="C1992"/>
  <c r="B1991"/>
  <c r="A1991" s="1"/>
  <c r="C2003"/>
  <c r="C1997"/>
  <c r="C1995"/>
  <c r="C1998"/>
  <c r="C1990"/>
  <c r="A1852"/>
  <c r="B1864"/>
  <c r="A1896"/>
  <c r="B1908"/>
  <c r="C1988"/>
  <c r="C1994"/>
  <c r="C2001"/>
  <c r="C1993"/>
  <c r="B1797"/>
  <c r="B1786"/>
  <c r="J1874"/>
  <c r="J1808"/>
  <c r="J1896"/>
  <c r="J1885"/>
  <c r="J1819"/>
  <c r="J1841"/>
  <c r="J1830"/>
  <c r="I1808"/>
  <c r="I1830"/>
  <c r="I1863"/>
  <c r="I1885"/>
  <c r="J1786"/>
  <c r="I1786"/>
  <c r="I1852"/>
  <c r="J1863"/>
  <c r="I1797"/>
  <c r="I1819"/>
  <c r="I1841"/>
  <c r="I1874"/>
  <c r="J1852"/>
  <c r="J1797"/>
  <c r="I1896"/>
  <c r="F1820" l="1"/>
  <c r="F1908"/>
  <c r="F1853"/>
  <c r="F1897"/>
  <c r="F1864"/>
  <c r="F1842"/>
  <c r="F1875"/>
  <c r="F1831"/>
  <c r="F1886"/>
  <c r="B1809"/>
  <c r="B1798"/>
  <c r="A1810"/>
  <c r="C2013"/>
  <c r="C2000"/>
  <c r="C2002"/>
  <c r="A1809"/>
  <c r="B1821"/>
  <c r="F1809"/>
  <c r="C2005"/>
  <c r="C2006"/>
  <c r="A1908"/>
  <c r="B1920"/>
  <c r="A1864"/>
  <c r="B1876"/>
  <c r="C2010"/>
  <c r="C2007"/>
  <c r="C2009"/>
  <c r="B2003"/>
  <c r="A2003" s="1"/>
  <c r="C2015"/>
  <c r="C2004"/>
  <c r="C2008"/>
  <c r="F1798"/>
  <c r="C2011"/>
  <c r="A1897"/>
  <c r="B1909"/>
  <c r="A1886"/>
  <c r="B1898"/>
  <c r="A1875"/>
  <c r="B1887"/>
  <c r="A1853"/>
  <c r="B1865"/>
  <c r="A1842"/>
  <c r="B1854"/>
  <c r="A1831"/>
  <c r="B1843"/>
  <c r="A1820"/>
  <c r="B1832"/>
  <c r="N323"/>
  <c r="J1886"/>
  <c r="J1897"/>
  <c r="I1864"/>
  <c r="J1831"/>
  <c r="J1798"/>
  <c r="J1842"/>
  <c r="I1842"/>
  <c r="I1853"/>
  <c r="J1864"/>
  <c r="J1820"/>
  <c r="I1831"/>
  <c r="I1886"/>
  <c r="J1809"/>
  <c r="J1853"/>
  <c r="I1809"/>
  <c r="I1897"/>
  <c r="I1908"/>
  <c r="J1875"/>
  <c r="I1875"/>
  <c r="J1908"/>
  <c r="I1820"/>
  <c r="F1821" l="1"/>
  <c r="F1843"/>
  <c r="F1854"/>
  <c r="F1920"/>
  <c r="F1898"/>
  <c r="F1887"/>
  <c r="F1876"/>
  <c r="F1865"/>
  <c r="F1832"/>
  <c r="F1909"/>
  <c r="B1810"/>
  <c r="A1832"/>
  <c r="B1844"/>
  <c r="A1843"/>
  <c r="B1855"/>
  <c r="A1854"/>
  <c r="B1866"/>
  <c r="A1865"/>
  <c r="B1877"/>
  <c r="A1887"/>
  <c r="B1899"/>
  <c r="A1898"/>
  <c r="B1910"/>
  <c r="A1909"/>
  <c r="B1921"/>
  <c r="C2023"/>
  <c r="F1810"/>
  <c r="C2020"/>
  <c r="C2016"/>
  <c r="B2015"/>
  <c r="A2015" s="1"/>
  <c r="C2027"/>
  <c r="C2021"/>
  <c r="C2019"/>
  <c r="C2022"/>
  <c r="A1876"/>
  <c r="B1888"/>
  <c r="A1920"/>
  <c r="B1932"/>
  <c r="C2018"/>
  <c r="C2017"/>
  <c r="A1821"/>
  <c r="B1833"/>
  <c r="C2014"/>
  <c r="C2012"/>
  <c r="C2025"/>
  <c r="A1822"/>
  <c r="J1898"/>
  <c r="I1887"/>
  <c r="I1876"/>
  <c r="I1821"/>
  <c r="J1865"/>
  <c r="I1843"/>
  <c r="I1832"/>
  <c r="I1909"/>
  <c r="J1854"/>
  <c r="J1920"/>
  <c r="J1832"/>
  <c r="I1865"/>
  <c r="J1876"/>
  <c r="I1798"/>
  <c r="J1810"/>
  <c r="I1898"/>
  <c r="J1887"/>
  <c r="I1810"/>
  <c r="I1920"/>
  <c r="J1821"/>
  <c r="J1909"/>
  <c r="J1843"/>
  <c r="F1921" l="1"/>
  <c r="F1877"/>
  <c r="F1899"/>
  <c r="F1932"/>
  <c r="F1844"/>
  <c r="F1888"/>
  <c r="F1910"/>
  <c r="F1866"/>
  <c r="F1833"/>
  <c r="F1855"/>
  <c r="B1822"/>
  <c r="A1834"/>
  <c r="C2037"/>
  <c r="C2024"/>
  <c r="C2026"/>
  <c r="A1833"/>
  <c r="B1845"/>
  <c r="C2029"/>
  <c r="C2030"/>
  <c r="A1932"/>
  <c r="B1944"/>
  <c r="A1888"/>
  <c r="B1900"/>
  <c r="C2034"/>
  <c r="C2031"/>
  <c r="C2033"/>
  <c r="B2027"/>
  <c r="A2027" s="1"/>
  <c r="C2039"/>
  <c r="C2028"/>
  <c r="C2032"/>
  <c r="F1822"/>
  <c r="C2035"/>
  <c r="A1921"/>
  <c r="B1933"/>
  <c r="A1910"/>
  <c r="B1922"/>
  <c r="A1899"/>
  <c r="B1911"/>
  <c r="A1877"/>
  <c r="B1889"/>
  <c r="A1866"/>
  <c r="B1878"/>
  <c r="A1855"/>
  <c r="B1867"/>
  <c r="A1844"/>
  <c r="B1856"/>
  <c r="J1866"/>
  <c r="I1855"/>
  <c r="J1899"/>
  <c r="J1844"/>
  <c r="J1855"/>
  <c r="J1888"/>
  <c r="I1877"/>
  <c r="J1910"/>
  <c r="J1877"/>
  <c r="J1833"/>
  <c r="I1888"/>
  <c r="I1854"/>
  <c r="I1866"/>
  <c r="J1822"/>
  <c r="I1899"/>
  <c r="I1833"/>
  <c r="I1921"/>
  <c r="I1844"/>
  <c r="I1932"/>
  <c r="J1921"/>
  <c r="F1845" l="1"/>
  <c r="F1922"/>
  <c r="F1856"/>
  <c r="F1911"/>
  <c r="F1933"/>
  <c r="F1867"/>
  <c r="F1878"/>
  <c r="F1900"/>
  <c r="F1944"/>
  <c r="F1889"/>
  <c r="B1834"/>
  <c r="A1856"/>
  <c r="B1868"/>
  <c r="A1867"/>
  <c r="B1879"/>
  <c r="A1878"/>
  <c r="B1890"/>
  <c r="A1889"/>
  <c r="B1901"/>
  <c r="A1911"/>
  <c r="B1923"/>
  <c r="A1922"/>
  <c r="B1934"/>
  <c r="A1933"/>
  <c r="B1945"/>
  <c r="B1957" s="1"/>
  <c r="C2047"/>
  <c r="F1834"/>
  <c r="C2044"/>
  <c r="C2040"/>
  <c r="B2039"/>
  <c r="A2039" s="1"/>
  <c r="C2051"/>
  <c r="C2045"/>
  <c r="C2043"/>
  <c r="C2046"/>
  <c r="A1900"/>
  <c r="B1912"/>
  <c r="A1944"/>
  <c r="B1956"/>
  <c r="C2042"/>
  <c r="C2041"/>
  <c r="A1845"/>
  <c r="B1857"/>
  <c r="C2038"/>
  <c r="C2036"/>
  <c r="C2049"/>
  <c r="A1846"/>
  <c r="I1845"/>
  <c r="I1822"/>
  <c r="I1911"/>
  <c r="J1922"/>
  <c r="I1867"/>
  <c r="J1889"/>
  <c r="I1944"/>
  <c r="J1911"/>
  <c r="I1922"/>
  <c r="I1910"/>
  <c r="J1878"/>
  <c r="J1944"/>
  <c r="J1845"/>
  <c r="I1878"/>
  <c r="J1867"/>
  <c r="I1856"/>
  <c r="J1834"/>
  <c r="J1856"/>
  <c r="I1834"/>
  <c r="J1900"/>
  <c r="I1900"/>
  <c r="I1933"/>
  <c r="F1901" l="1"/>
  <c r="F1879"/>
  <c r="F1923"/>
  <c r="F1956"/>
  <c r="F1890"/>
  <c r="F1945"/>
  <c r="F1868"/>
  <c r="F1857"/>
  <c r="F1912"/>
  <c r="F1934"/>
  <c r="B1846"/>
  <c r="F1846"/>
  <c r="A1945"/>
  <c r="A1858"/>
  <c r="C2061"/>
  <c r="C2048"/>
  <c r="C2050"/>
  <c r="A1857"/>
  <c r="B1869"/>
  <c r="C2053"/>
  <c r="C2054"/>
  <c r="A1956"/>
  <c r="B1968"/>
  <c r="A1912"/>
  <c r="B1924"/>
  <c r="C2058"/>
  <c r="C2055"/>
  <c r="C2057"/>
  <c r="B2051"/>
  <c r="A2051" s="1"/>
  <c r="C2063"/>
  <c r="C2052"/>
  <c r="C2056"/>
  <c r="C2059"/>
  <c r="B1969"/>
  <c r="A1934"/>
  <c r="B1946"/>
  <c r="A1923"/>
  <c r="B1935"/>
  <c r="A1901"/>
  <c r="B1913"/>
  <c r="A1890"/>
  <c r="B1902"/>
  <c r="A1879"/>
  <c r="B1891"/>
  <c r="A1868"/>
  <c r="B1880"/>
  <c r="I1945"/>
  <c r="I1857"/>
  <c r="J1868"/>
  <c r="J1956"/>
  <c r="J1857"/>
  <c r="I1879"/>
  <c r="I1846"/>
  <c r="J1879"/>
  <c r="I1889"/>
  <c r="J1890"/>
  <c r="I1912"/>
  <c r="I1956"/>
  <c r="I1890"/>
  <c r="J1901"/>
  <c r="I1923"/>
  <c r="J1846"/>
  <c r="I1934"/>
  <c r="J1945"/>
  <c r="J1912"/>
  <c r="J1923"/>
  <c r="I1901"/>
  <c r="F1924" l="1"/>
  <c r="F1880"/>
  <c r="F1902"/>
  <c r="F1935"/>
  <c r="F1913"/>
  <c r="F1946"/>
  <c r="F1869"/>
  <c r="F1957"/>
  <c r="F1891"/>
  <c r="A1957"/>
  <c r="B1858"/>
  <c r="A1891"/>
  <c r="B1903"/>
  <c r="A1935"/>
  <c r="B1947"/>
  <c r="B1959" s="1"/>
  <c r="C2068"/>
  <c r="F1858"/>
  <c r="A1880"/>
  <c r="B1892"/>
  <c r="A1902"/>
  <c r="B1914"/>
  <c r="A1913"/>
  <c r="B1925"/>
  <c r="A1946"/>
  <c r="B1958"/>
  <c r="A1969"/>
  <c r="B1981"/>
  <c r="C2071"/>
  <c r="C2064"/>
  <c r="B2063"/>
  <c r="A2063" s="1"/>
  <c r="C2075"/>
  <c r="C2069"/>
  <c r="C2067"/>
  <c r="C2070"/>
  <c r="A1924"/>
  <c r="B1936"/>
  <c r="A1968"/>
  <c r="B1980"/>
  <c r="C2066"/>
  <c r="C2065"/>
  <c r="A1869"/>
  <c r="B1881"/>
  <c r="C2062"/>
  <c r="C2060"/>
  <c r="C2073"/>
  <c r="A1870"/>
  <c r="I1946"/>
  <c r="J1913"/>
  <c r="J1957"/>
  <c r="I1935"/>
  <c r="J1880"/>
  <c r="I1868"/>
  <c r="I1891"/>
  <c r="I1880"/>
  <c r="J1902"/>
  <c r="J1935"/>
  <c r="J1946"/>
  <c r="I1858"/>
  <c r="I1913"/>
  <c r="J1924"/>
  <c r="J1858"/>
  <c r="J1869"/>
  <c r="I1957"/>
  <c r="J1891"/>
  <c r="I1924"/>
  <c r="F1903" l="1"/>
  <c r="F1881"/>
  <c r="F1925"/>
  <c r="F1914"/>
  <c r="F1936"/>
  <c r="F1958"/>
  <c r="F1947"/>
  <c r="F1892"/>
  <c r="B1870"/>
  <c r="A1882"/>
  <c r="C2085"/>
  <c r="C2072"/>
  <c r="C2074"/>
  <c r="A1881"/>
  <c r="B1893"/>
  <c r="C2077"/>
  <c r="C2078"/>
  <c r="A1980"/>
  <c r="B1992"/>
  <c r="A1936"/>
  <c r="B1948"/>
  <c r="C2082"/>
  <c r="C2079"/>
  <c r="C2081"/>
  <c r="B2075"/>
  <c r="A2075" s="1"/>
  <c r="C2087"/>
  <c r="C2076"/>
  <c r="C2083"/>
  <c r="A1981"/>
  <c r="B1993"/>
  <c r="A1958"/>
  <c r="B1970"/>
  <c r="A1925"/>
  <c r="B1937"/>
  <c r="A1914"/>
  <c r="B1926"/>
  <c r="A1892"/>
  <c r="B1904"/>
  <c r="F1870"/>
  <c r="A1947"/>
  <c r="C2080"/>
  <c r="B1971"/>
  <c r="A1903"/>
  <c r="B1915"/>
  <c r="I1870"/>
  <c r="I1869"/>
  <c r="J1914"/>
  <c r="J1947"/>
  <c r="I1947"/>
  <c r="J1936"/>
  <c r="J1958"/>
  <c r="I1903"/>
  <c r="I1936"/>
  <c r="I1892"/>
  <c r="I1925"/>
  <c r="I1914"/>
  <c r="J1892"/>
  <c r="J1881"/>
  <c r="I1902"/>
  <c r="J1903"/>
  <c r="J1925"/>
  <c r="J1870"/>
  <c r="F1937" l="1"/>
  <c r="F1959"/>
  <c r="F1948"/>
  <c r="F1915"/>
  <c r="F1904"/>
  <c r="F1926"/>
  <c r="F1893"/>
  <c r="A1959"/>
  <c r="A1971" s="1"/>
  <c r="B1882"/>
  <c r="F1882"/>
  <c r="A1915"/>
  <c r="B1927"/>
  <c r="B1983"/>
  <c r="C2092"/>
  <c r="A1904"/>
  <c r="B1916"/>
  <c r="A1926"/>
  <c r="B1938"/>
  <c r="A1937"/>
  <c r="B1949"/>
  <c r="A1970"/>
  <c r="B1982"/>
  <c r="A1993"/>
  <c r="B2005"/>
  <c r="C2095"/>
  <c r="C2088"/>
  <c r="B2087"/>
  <c r="C2099"/>
  <c r="C2111" s="1"/>
  <c r="C2123" s="1"/>
  <c r="C2093"/>
  <c r="C2091"/>
  <c r="C2094"/>
  <c r="A1948"/>
  <c r="B1960"/>
  <c r="A1992"/>
  <c r="B2004"/>
  <c r="C2090"/>
  <c r="C2089"/>
  <c r="A1893"/>
  <c r="B1905"/>
  <c r="C2086"/>
  <c r="C2084"/>
  <c r="C2097"/>
  <c r="A1894"/>
  <c r="J1915"/>
  <c r="J1904"/>
  <c r="I1937"/>
  <c r="I1904"/>
  <c r="J1948"/>
  <c r="J1937"/>
  <c r="I1948"/>
  <c r="J1882"/>
  <c r="I1915"/>
  <c r="I1881"/>
  <c r="J1959"/>
  <c r="I1958"/>
  <c r="J1893"/>
  <c r="I1893"/>
  <c r="F1905" l="1"/>
  <c r="F1916"/>
  <c r="F1960"/>
  <c r="F1949"/>
  <c r="F1938"/>
  <c r="F1927"/>
  <c r="B1894"/>
  <c r="A1906"/>
  <c r="C2109"/>
  <c r="C2121" s="1"/>
  <c r="C2096"/>
  <c r="C2098"/>
  <c r="A1905"/>
  <c r="B1917"/>
  <c r="C2101"/>
  <c r="C2113" s="1"/>
  <c r="C2102"/>
  <c r="C2114" s="1"/>
  <c r="A2004"/>
  <c r="B2016"/>
  <c r="A1960"/>
  <c r="B1972"/>
  <c r="C2106"/>
  <c r="C2118" s="1"/>
  <c r="C2103"/>
  <c r="C2115" s="1"/>
  <c r="C2105"/>
  <c r="C2117" s="1"/>
  <c r="C2100"/>
  <c r="C2112" s="1"/>
  <c r="C2124" s="1"/>
  <c r="C2107"/>
  <c r="C2119" s="1"/>
  <c r="A2005"/>
  <c r="B2017"/>
  <c r="A1982"/>
  <c r="B1994"/>
  <c r="A1949"/>
  <c r="B1961"/>
  <c r="A1938"/>
  <c r="B1950"/>
  <c r="A1916"/>
  <c r="B1928"/>
  <c r="C2104"/>
  <c r="C2116" s="1"/>
  <c r="A1983"/>
  <c r="B1995"/>
  <c r="A1927"/>
  <c r="B1939"/>
  <c r="F1894"/>
  <c r="A2087"/>
  <c r="B2099"/>
  <c r="B2111" s="1"/>
  <c r="B2123" s="1"/>
  <c r="I1949"/>
  <c r="I1894"/>
  <c r="I1960"/>
  <c r="I1959"/>
  <c r="I1938"/>
  <c r="I1882"/>
  <c r="I1927"/>
  <c r="J1949"/>
  <c r="J1938"/>
  <c r="J1894"/>
  <c r="I1926"/>
  <c r="I1905"/>
  <c r="J1916"/>
  <c r="I1916"/>
  <c r="J1960"/>
  <c r="J1905"/>
  <c r="F1950" l="1"/>
  <c r="F1917"/>
  <c r="F1939"/>
  <c r="F1961"/>
  <c r="F1928"/>
  <c r="A2099"/>
  <c r="A2111" s="1"/>
  <c r="A2123" s="1"/>
  <c r="B1906"/>
  <c r="A1939"/>
  <c r="B1951"/>
  <c r="B1963" s="1"/>
  <c r="A1995"/>
  <c r="B2007"/>
  <c r="A1928"/>
  <c r="B1940"/>
  <c r="A1961"/>
  <c r="B1973"/>
  <c r="A1994"/>
  <c r="B2006"/>
  <c r="A2016"/>
  <c r="B2028"/>
  <c r="A1917"/>
  <c r="B1929"/>
  <c r="F1906"/>
  <c r="A1950"/>
  <c r="B1962"/>
  <c r="A2017"/>
  <c r="B2029"/>
  <c r="A1972"/>
  <c r="B1984"/>
  <c r="C2110"/>
  <c r="C2122" s="1"/>
  <c r="C2108"/>
  <c r="C2120" s="1"/>
  <c r="A1918"/>
  <c r="J1917"/>
  <c r="J1906"/>
  <c r="I1906"/>
  <c r="J1939"/>
  <c r="I1950"/>
  <c r="I1939"/>
  <c r="I1917"/>
  <c r="J1950"/>
  <c r="I1928"/>
  <c r="J1961"/>
  <c r="F1940" l="1"/>
  <c r="F1951"/>
  <c r="F1962"/>
  <c r="F1929"/>
  <c r="B1918"/>
  <c r="A1930"/>
  <c r="A1984"/>
  <c r="B1996"/>
  <c r="A2029"/>
  <c r="B2041"/>
  <c r="A1962"/>
  <c r="B1974"/>
  <c r="F1918"/>
  <c r="A1951"/>
  <c r="A1929"/>
  <c r="B1941"/>
  <c r="A2028"/>
  <c r="B2040"/>
  <c r="A2006"/>
  <c r="B2018"/>
  <c r="A1973"/>
  <c r="B1985"/>
  <c r="A1940"/>
  <c r="B1952"/>
  <c r="A2007"/>
  <c r="B2019"/>
  <c r="B1975"/>
  <c r="N1044"/>
  <c r="J1918"/>
  <c r="J1962"/>
  <c r="J1951"/>
  <c r="E2123"/>
  <c r="I1962"/>
  <c r="J1940"/>
  <c r="I1929"/>
  <c r="I1918"/>
  <c r="I1961"/>
  <c r="I1951"/>
  <c r="D2123"/>
  <c r="F1941" l="1"/>
  <c r="F1963"/>
  <c r="F1952"/>
  <c r="A1963"/>
  <c r="B1930"/>
  <c r="A1975"/>
  <c r="B1987"/>
  <c r="A2019"/>
  <c r="B2031"/>
  <c r="A1952"/>
  <c r="B1964"/>
  <c r="A1985"/>
  <c r="B1997"/>
  <c r="A2018"/>
  <c r="B2030"/>
  <c r="A2040"/>
  <c r="B2052"/>
  <c r="A1941"/>
  <c r="B1953"/>
  <c r="F1930"/>
  <c r="A1974"/>
  <c r="B1986"/>
  <c r="A2041"/>
  <c r="B2053"/>
  <c r="A1996"/>
  <c r="B2008"/>
  <c r="A1942"/>
  <c r="H97" i="39"/>
  <c r="J1941" i="23"/>
  <c r="I1963"/>
  <c r="I1940"/>
  <c r="J1963"/>
  <c r="I1941"/>
  <c r="J1952"/>
  <c r="I1930"/>
  <c r="F1964" l="1"/>
  <c r="F1953"/>
  <c r="B1942"/>
  <c r="A1954"/>
  <c r="A2008"/>
  <c r="B2020"/>
  <c r="A2053"/>
  <c r="B2065"/>
  <c r="A1986"/>
  <c r="B1998"/>
  <c r="F1942"/>
  <c r="A1953"/>
  <c r="B1965"/>
  <c r="A2052"/>
  <c r="B2064"/>
  <c r="A2030"/>
  <c r="B2042"/>
  <c r="A1997"/>
  <c r="B2009"/>
  <c r="A1964"/>
  <c r="B1976"/>
  <c r="A2031"/>
  <c r="B2043"/>
  <c r="A1987"/>
  <c r="B1999"/>
  <c r="H10" i="39"/>
  <c r="H153"/>
  <c r="N1043" i="23"/>
  <c r="N863"/>
  <c r="N862"/>
  <c r="N861"/>
  <c r="N860"/>
  <c r="N859"/>
  <c r="N858"/>
  <c r="N857"/>
  <c r="N856"/>
  <c r="N855"/>
  <c r="N854"/>
  <c r="N853"/>
  <c r="N1004"/>
  <c r="N844"/>
  <c r="N1003"/>
  <c r="N783"/>
  <c r="N782"/>
  <c r="I1964"/>
  <c r="J1953"/>
  <c r="I1942"/>
  <c r="I1952"/>
  <c r="J1942"/>
  <c r="I1953"/>
  <c r="J1964"/>
  <c r="F1965" l="1"/>
  <c r="B1954"/>
  <c r="A1999"/>
  <c r="B2011"/>
  <c r="A2043"/>
  <c r="B2055"/>
  <c r="A1976"/>
  <c r="B1988"/>
  <c r="A2009"/>
  <c r="B2021"/>
  <c r="A2042"/>
  <c r="B2054"/>
  <c r="A2064"/>
  <c r="B2076"/>
  <c r="A1965"/>
  <c r="B1977"/>
  <c r="F1954"/>
  <c r="A1998"/>
  <c r="B2010"/>
  <c r="A2065"/>
  <c r="B2077"/>
  <c r="A2020"/>
  <c r="B2032"/>
  <c r="A1966"/>
  <c r="C27" i="27"/>
  <c r="C31"/>
  <c r="C35"/>
  <c r="C131"/>
  <c r="C135"/>
  <c r="C139"/>
  <c r="N781" i="23"/>
  <c r="N780"/>
  <c r="N779"/>
  <c r="J1954"/>
  <c r="J1965"/>
  <c r="I1954"/>
  <c r="I1965"/>
  <c r="B1966" l="1"/>
  <c r="A1978"/>
  <c r="A2032"/>
  <c r="B2044"/>
  <c r="A2077"/>
  <c r="B2089"/>
  <c r="A2010"/>
  <c r="B2022"/>
  <c r="F1966"/>
  <c r="A1977"/>
  <c r="B1989"/>
  <c r="A2076"/>
  <c r="B2088"/>
  <c r="A2054"/>
  <c r="B2066"/>
  <c r="A2021"/>
  <c r="B2033"/>
  <c r="A1988"/>
  <c r="B2000"/>
  <c r="A2055"/>
  <c r="B2067"/>
  <c r="A2011"/>
  <c r="B2023"/>
  <c r="C143" i="27"/>
  <c r="C39"/>
  <c r="H86" i="38"/>
  <c r="H95" i="39"/>
  <c r="H8"/>
  <c r="H8" i="38"/>
  <c r="N778" i="23"/>
  <c r="N777"/>
  <c r="N776"/>
  <c r="N775"/>
  <c r="I1966"/>
  <c r="J1966"/>
  <c r="B1978" l="1"/>
  <c r="A2023"/>
  <c r="B2035"/>
  <c r="A2067"/>
  <c r="B2079"/>
  <c r="A2000"/>
  <c r="B2012"/>
  <c r="A2033"/>
  <c r="B2045"/>
  <c r="A2066"/>
  <c r="B2078"/>
  <c r="A2088"/>
  <c r="B2100"/>
  <c r="B2112" s="1"/>
  <c r="B2124" s="1"/>
  <c r="A1989"/>
  <c r="B2001"/>
  <c r="A2022"/>
  <c r="B2034"/>
  <c r="A2089"/>
  <c r="B2101"/>
  <c r="B2113" s="1"/>
  <c r="A2044"/>
  <c r="B2056"/>
  <c r="A1990"/>
  <c r="L8" i="38"/>
  <c r="L8" i="39"/>
  <c r="L95"/>
  <c r="L151" s="1"/>
  <c r="H151"/>
  <c r="H136" i="38"/>
  <c r="L86"/>
  <c r="L136" s="1"/>
  <c r="N774" i="23"/>
  <c r="N773"/>
  <c r="N772"/>
  <c r="N771"/>
  <c r="N770"/>
  <c r="N769"/>
  <c r="N768"/>
  <c r="N964"/>
  <c r="N764"/>
  <c r="N963"/>
  <c r="N763"/>
  <c r="N762"/>
  <c r="N743"/>
  <c r="N742"/>
  <c r="N741"/>
  <c r="N740"/>
  <c r="N739"/>
  <c r="B1990" l="1"/>
  <c r="A2101"/>
  <c r="A2113" s="1"/>
  <c r="A2100"/>
  <c r="A2112" s="1"/>
  <c r="A2124" s="1"/>
  <c r="A2002"/>
  <c r="A2056"/>
  <c r="B2068"/>
  <c r="A2034"/>
  <c r="B2046"/>
  <c r="A2001"/>
  <c r="B2013"/>
  <c r="A2078"/>
  <c r="B2090"/>
  <c r="A2045"/>
  <c r="B2057"/>
  <c r="A2012"/>
  <c r="B2024"/>
  <c r="A2079"/>
  <c r="B2091"/>
  <c r="A2035"/>
  <c r="B2047"/>
  <c r="L58" i="38"/>
  <c r="K58" s="1"/>
  <c r="J58" s="1"/>
  <c r="I58" s="1"/>
  <c r="H58" s="1"/>
  <c r="AJ8"/>
  <c r="N738" i="23"/>
  <c r="N737"/>
  <c r="N736"/>
  <c r="N735"/>
  <c r="N734"/>
  <c r="N733"/>
  <c r="N732"/>
  <c r="N731"/>
  <c r="N730"/>
  <c r="N729"/>
  <c r="N728"/>
  <c r="N727"/>
  <c r="N726"/>
  <c r="N725"/>
  <c r="B2002" l="1"/>
  <c r="A2047"/>
  <c r="B2059"/>
  <c r="A2091"/>
  <c r="B2103"/>
  <c r="B2115" s="1"/>
  <c r="A2024"/>
  <c r="B2036"/>
  <c r="A2057"/>
  <c r="B2069"/>
  <c r="A2090"/>
  <c r="B2102"/>
  <c r="B2114" s="1"/>
  <c r="A2013"/>
  <c r="B2025"/>
  <c r="A2046"/>
  <c r="B2058"/>
  <c r="A2068"/>
  <c r="B2080"/>
  <c r="A2014"/>
  <c r="N924"/>
  <c r="N724"/>
  <c r="N923"/>
  <c r="N903"/>
  <c r="N703"/>
  <c r="N902"/>
  <c r="N702"/>
  <c r="N901"/>
  <c r="N701"/>
  <c r="N900"/>
  <c r="N700"/>
  <c r="N899"/>
  <c r="N699"/>
  <c r="N898"/>
  <c r="N698"/>
  <c r="N897"/>
  <c r="N697"/>
  <c r="N896"/>
  <c r="N696"/>
  <c r="N895"/>
  <c r="N695"/>
  <c r="N894"/>
  <c r="N694"/>
  <c r="N893"/>
  <c r="N693"/>
  <c r="N892"/>
  <c r="N692"/>
  <c r="N891"/>
  <c r="N691"/>
  <c r="N690"/>
  <c r="D2124"/>
  <c r="E2124"/>
  <c r="A2102" l="1"/>
  <c r="A2114" s="1"/>
  <c r="A2103"/>
  <c r="A2115" s="1"/>
  <c r="B2014"/>
  <c r="A2026"/>
  <c r="A2080"/>
  <c r="B2092"/>
  <c r="A2058"/>
  <c r="B2070"/>
  <c r="A2025"/>
  <c r="B2037"/>
  <c r="A2036"/>
  <c r="B2048"/>
  <c r="A2059"/>
  <c r="B2071"/>
  <c r="A2069"/>
  <c r="B2081"/>
  <c r="N689"/>
  <c r="B2026" l="1"/>
  <c r="A2081"/>
  <c r="B2093"/>
  <c r="A2071"/>
  <c r="B2083"/>
  <c r="A2048"/>
  <c r="B2060"/>
  <c r="A2037"/>
  <c r="B2049"/>
  <c r="A2070"/>
  <c r="B2082"/>
  <c r="A2092"/>
  <c r="B2104"/>
  <c r="B2116" s="1"/>
  <c r="A2038"/>
  <c r="N688"/>
  <c r="A2104" l="1"/>
  <c r="A2116" s="1"/>
  <c r="B2038"/>
  <c r="A2050"/>
  <c r="A2082"/>
  <c r="B2094"/>
  <c r="A2049"/>
  <c r="B2061"/>
  <c r="A2060"/>
  <c r="B2072"/>
  <c r="A2083"/>
  <c r="B2095"/>
  <c r="A2093"/>
  <c r="B2105"/>
  <c r="B2117" s="1"/>
  <c r="B2050" l="1"/>
  <c r="A2105"/>
  <c r="A2117" s="1"/>
  <c r="A2095"/>
  <c r="B2107"/>
  <c r="B2119" s="1"/>
  <c r="A2072"/>
  <c r="B2084"/>
  <c r="A2061"/>
  <c r="B2073"/>
  <c r="A2094"/>
  <c r="B2106"/>
  <c r="B2118" s="1"/>
  <c r="A2062"/>
  <c r="A2106" l="1"/>
  <c r="A2118" s="1"/>
  <c r="A2107"/>
  <c r="A2119" s="1"/>
  <c r="B2062"/>
  <c r="A2074"/>
  <c r="A2073"/>
  <c r="B2085"/>
  <c r="A2084"/>
  <c r="B2096"/>
  <c r="B2074" l="1"/>
  <c r="A2096"/>
  <c r="B2108"/>
  <c r="B2120" s="1"/>
  <c r="A2085"/>
  <c r="B2097"/>
  <c r="A2086"/>
  <c r="N884"/>
  <c r="N684"/>
  <c r="A2108" l="1"/>
  <c r="A2120" s="1"/>
  <c r="B2086"/>
  <c r="A2098"/>
  <c r="A2097"/>
  <c r="B2109"/>
  <c r="B2121" s="1"/>
  <c r="N883"/>
  <c r="B2098" l="1"/>
  <c r="A2109"/>
  <c r="A2121" s="1"/>
  <c r="A2110"/>
  <c r="A2122" s="1"/>
  <c r="N823"/>
  <c r="N663"/>
  <c r="N822"/>
  <c r="N662"/>
  <c r="N821"/>
  <c r="N661"/>
  <c r="N820"/>
  <c r="N660"/>
  <c r="N819"/>
  <c r="N659"/>
  <c r="N818"/>
  <c r="N658"/>
  <c r="N817"/>
  <c r="N657"/>
  <c r="N816"/>
  <c r="N656"/>
  <c r="N815"/>
  <c r="N655"/>
  <c r="N814"/>
  <c r="N654"/>
  <c r="N813"/>
  <c r="N653"/>
  <c r="N812"/>
  <c r="N652"/>
  <c r="N811"/>
  <c r="N651"/>
  <c r="N810"/>
  <c r="N650"/>
  <c r="N809"/>
  <c r="N649"/>
  <c r="N808"/>
  <c r="N648"/>
  <c r="N647"/>
  <c r="N646"/>
  <c r="N645"/>
  <c r="N804"/>
  <c r="N644"/>
  <c r="N643"/>
  <c r="N802"/>
  <c r="B2110" l="1"/>
  <c r="B2122" s="1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CK606" l="1"/>
  <c r="CK603"/>
  <c r="CK604"/>
  <c r="BV605"/>
  <c r="BV606"/>
  <c r="CK607"/>
  <c r="CK608"/>
  <c r="CK609"/>
  <c r="CK610"/>
  <c r="BV611"/>
  <c r="BV612"/>
  <c r="CK613"/>
  <c r="BV614"/>
  <c r="CK615"/>
  <c r="CK616"/>
  <c r="BV617"/>
  <c r="CK618"/>
  <c r="CK619"/>
  <c r="BV620"/>
  <c r="CK621"/>
  <c r="BV622"/>
  <c r="BV623"/>
  <c r="BV603"/>
  <c r="BV604"/>
  <c r="CK605"/>
  <c r="BV607"/>
  <c r="BV608"/>
  <c r="BV609"/>
  <c r="BV610"/>
  <c r="CK611"/>
  <c r="CK612"/>
  <c r="BV613"/>
  <c r="CK614"/>
  <c r="BV615"/>
  <c r="BV616"/>
  <c r="CK617"/>
  <c r="BV618"/>
  <c r="BV619"/>
  <c r="CK620"/>
  <c r="BV621"/>
  <c r="CK622"/>
  <c r="CK623"/>
  <c r="N602"/>
  <c r="AC602" s="1"/>
  <c r="AR602" s="1"/>
  <c r="BG602" s="1"/>
  <c r="BV602" s="1"/>
  <c r="CK602" s="1"/>
  <c r="CZ602" s="1"/>
  <c r="A59" i="41" l="1"/>
  <c r="A60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N584" i="23" l="1"/>
  <c r="E100" i="36"/>
  <c r="G151" s="1"/>
  <c r="E99"/>
  <c r="G150" s="1"/>
  <c r="E98"/>
  <c r="G149" s="1"/>
  <c r="E97"/>
  <c r="G148" s="1"/>
  <c r="E96"/>
  <c r="G147" s="1"/>
  <c r="E95"/>
  <c r="G146" s="1"/>
  <c r="E94"/>
  <c r="G145" s="1"/>
  <c r="E93"/>
  <c r="G144" s="1"/>
  <c r="E92"/>
  <c r="G143" s="1"/>
  <c r="E91"/>
  <c r="G142" s="1"/>
  <c r="E90"/>
  <c r="G141" s="1"/>
  <c r="E89"/>
  <c r="G140" s="1"/>
  <c r="E88"/>
  <c r="G139" s="1"/>
  <c r="E87"/>
  <c r="G138" s="1"/>
  <c r="E86"/>
  <c r="G137" s="1"/>
  <c r="E85"/>
  <c r="G136" s="1"/>
  <c r="E101" i="39" l="1"/>
  <c r="E89" i="38"/>
  <c r="E136" i="36"/>
  <c r="E108" i="39"/>
  <c r="E96" i="38"/>
  <c r="E109" i="39"/>
  <c r="E97" i="38"/>
  <c r="E98"/>
  <c r="E110" i="39"/>
  <c r="E111"/>
  <c r="E99" i="38"/>
  <c r="N571" i="23"/>
  <c r="N572"/>
  <c r="N574"/>
  <c r="N579"/>
  <c r="N580"/>
  <c r="N581"/>
  <c r="N582"/>
  <c r="N583"/>
  <c r="E102" i="39"/>
  <c r="E90" i="38"/>
  <c r="E91"/>
  <c r="E103" i="39"/>
  <c r="E104"/>
  <c r="E92" i="38"/>
  <c r="E93"/>
  <c r="E105" i="39"/>
  <c r="E106"/>
  <c r="E94" i="38"/>
  <c r="E95"/>
  <c r="E107" i="39"/>
  <c r="E100" i="38"/>
  <c r="E112" i="39"/>
  <c r="E113"/>
  <c r="E101" i="38"/>
  <c r="E148" i="36"/>
  <c r="E114" i="39"/>
  <c r="E102" i="38"/>
  <c r="E149" i="36"/>
  <c r="E103" i="38"/>
  <c r="E150" i="36"/>
  <c r="E104" i="38"/>
  <c r="E151" i="36"/>
  <c r="N570" i="23"/>
  <c r="N573"/>
  <c r="N568"/>
  <c r="N569"/>
  <c r="N575"/>
  <c r="N576"/>
  <c r="N577"/>
  <c r="N578"/>
  <c r="E84" i="36"/>
  <c r="G135" s="1"/>
  <c r="E83"/>
  <c r="E10"/>
  <c r="G58" s="1"/>
  <c r="BE562" i="23"/>
  <c r="BD562"/>
  <c r="BC562"/>
  <c r="BB562"/>
  <c r="BA562"/>
  <c r="AZ562"/>
  <c r="AY562"/>
  <c r="AX562"/>
  <c r="AW562"/>
  <c r="AV562"/>
  <c r="AU562"/>
  <c r="AT562"/>
  <c r="AS562"/>
  <c r="M562"/>
  <c r="M602" s="1"/>
  <c r="L562"/>
  <c r="L602" s="1"/>
  <c r="K562"/>
  <c r="K602" s="1"/>
  <c r="J562"/>
  <c r="J602" s="1"/>
  <c r="I562"/>
  <c r="I602" s="1"/>
  <c r="H562"/>
  <c r="H602" s="1"/>
  <c r="G562"/>
  <c r="G602" s="1"/>
  <c r="F562"/>
  <c r="F602" s="1"/>
  <c r="E562"/>
  <c r="E602" s="1"/>
  <c r="D562"/>
  <c r="D602" s="1"/>
  <c r="C562"/>
  <c r="C602" s="1"/>
  <c r="B562"/>
  <c r="B602" s="1"/>
  <c r="A562"/>
  <c r="A602" s="1"/>
  <c r="E15" i="36" l="1"/>
  <c r="G63" s="1"/>
  <c r="E25"/>
  <c r="E21"/>
  <c r="E17"/>
  <c r="G65" s="1"/>
  <c r="E13"/>
  <c r="E24"/>
  <c r="E20"/>
  <c r="E16"/>
  <c r="E12"/>
  <c r="E23"/>
  <c r="E19"/>
  <c r="G67" s="1"/>
  <c r="E11"/>
  <c r="G59" s="1"/>
  <c r="E22"/>
  <c r="E18"/>
  <c r="G66" s="1"/>
  <c r="E14"/>
  <c r="G62" s="1"/>
  <c r="S602" i="23"/>
  <c r="AH602" s="1"/>
  <c r="AW602" s="1"/>
  <c r="BL602" s="1"/>
  <c r="CA602" s="1"/>
  <c r="CP602" s="1"/>
  <c r="D642"/>
  <c r="P602"/>
  <c r="AE602" s="1"/>
  <c r="AT602" s="1"/>
  <c r="BI602" s="1"/>
  <c r="BX602" s="1"/>
  <c r="CM602" s="1"/>
  <c r="A642"/>
  <c r="T602"/>
  <c r="AI602" s="1"/>
  <c r="AX602" s="1"/>
  <c r="BM602" s="1"/>
  <c r="CB602" s="1"/>
  <c r="CQ602" s="1"/>
  <c r="E642"/>
  <c r="X602"/>
  <c r="AM602" s="1"/>
  <c r="BB602" s="1"/>
  <c r="BQ602" s="1"/>
  <c r="CF602" s="1"/>
  <c r="CU602" s="1"/>
  <c r="I642"/>
  <c r="AB602"/>
  <c r="AQ602" s="1"/>
  <c r="BF602" s="1"/>
  <c r="BU602" s="1"/>
  <c r="CJ602" s="1"/>
  <c r="CY602" s="1"/>
  <c r="M642"/>
  <c r="W602"/>
  <c r="AL602" s="1"/>
  <c r="BA602" s="1"/>
  <c r="BP602" s="1"/>
  <c r="CE602" s="1"/>
  <c r="CT602" s="1"/>
  <c r="H642"/>
  <c r="U602"/>
  <c r="AJ602" s="1"/>
  <c r="AY602" s="1"/>
  <c r="BN602" s="1"/>
  <c r="CC602" s="1"/>
  <c r="CR602" s="1"/>
  <c r="F642"/>
  <c r="Y602"/>
  <c r="AN602" s="1"/>
  <c r="BC602" s="1"/>
  <c r="BR602" s="1"/>
  <c r="CG602" s="1"/>
  <c r="CV602" s="1"/>
  <c r="J642"/>
  <c r="AA602"/>
  <c r="AP602" s="1"/>
  <c r="BE602" s="1"/>
  <c r="BT602" s="1"/>
  <c r="CI602" s="1"/>
  <c r="CX602" s="1"/>
  <c r="L642"/>
  <c r="Q602"/>
  <c r="AF602" s="1"/>
  <c r="AU602" s="1"/>
  <c r="BJ602" s="1"/>
  <c r="BY602" s="1"/>
  <c r="CN602" s="1"/>
  <c r="B642"/>
  <c r="R602"/>
  <c r="AG602" s="1"/>
  <c r="AV602" s="1"/>
  <c r="BK602" s="1"/>
  <c r="BZ602" s="1"/>
  <c r="CO602" s="1"/>
  <c r="C642"/>
  <c r="V602"/>
  <c r="AK602" s="1"/>
  <c r="AZ602" s="1"/>
  <c r="BO602" s="1"/>
  <c r="CD602" s="1"/>
  <c r="CS602" s="1"/>
  <c r="G642"/>
  <c r="Z602"/>
  <c r="AO602" s="1"/>
  <c r="BD602" s="1"/>
  <c r="BS602" s="1"/>
  <c r="CH602" s="1"/>
  <c r="CW602" s="1"/>
  <c r="K642"/>
  <c r="E99" i="39"/>
  <c r="E87" i="38"/>
  <c r="E88"/>
  <c r="E100" i="39"/>
  <c r="E17" i="38"/>
  <c r="E86"/>
  <c r="E95" i="39"/>
  <c r="E96"/>
  <c r="E97"/>
  <c r="E98"/>
  <c r="N567" i="23"/>
  <c r="E21" i="38" l="1"/>
  <c r="G68" i="36"/>
  <c r="E15" i="39"/>
  <c r="E24" i="38"/>
  <c r="G71" i="36"/>
  <c r="E28" i="39"/>
  <c r="G72" i="36"/>
  <c r="E26" i="38"/>
  <c r="G73" i="36"/>
  <c r="E20" i="39"/>
  <c r="G64" i="36"/>
  <c r="E12" i="38"/>
  <c r="E25" i="39"/>
  <c r="G69" i="36"/>
  <c r="E26" i="39"/>
  <c r="G70" i="36"/>
  <c r="E13" i="38"/>
  <c r="G60" i="36"/>
  <c r="E14" i="38"/>
  <c r="G61" i="36"/>
  <c r="E24" i="39"/>
  <c r="E25" i="38"/>
  <c r="E16" i="39"/>
  <c r="E23" i="38"/>
  <c r="E61" i="36"/>
  <c r="E69"/>
  <c r="E22" i="38"/>
  <c r="E27" i="39"/>
  <c r="E70" i="36"/>
  <c r="E29" i="39"/>
  <c r="E73" i="36"/>
  <c r="E13" i="39"/>
  <c r="E10" i="38"/>
  <c r="E57" i="36"/>
  <c r="E11" i="39"/>
  <c r="A444" i="23" l="1"/>
  <c r="A484" s="1"/>
  <c r="A483"/>
  <c r="A524" l="1"/>
  <c r="A564" s="1"/>
  <c r="A604" s="1"/>
  <c r="A523"/>
  <c r="A563" s="1"/>
  <c r="A603" s="1"/>
  <c r="A445"/>
  <c r="P564" l="1"/>
  <c r="A485"/>
  <c r="A446"/>
  <c r="P563"/>
  <c r="A486" l="1"/>
  <c r="A447"/>
  <c r="A364"/>
  <c r="A644" s="1"/>
  <c r="P604"/>
  <c r="A363"/>
  <c r="A643" s="1"/>
  <c r="P603"/>
  <c r="A525"/>
  <c r="A565" s="1"/>
  <c r="A605" s="1"/>
  <c r="Z182" i="22"/>
  <c r="V181"/>
  <c r="X181"/>
  <c r="Z181"/>
  <c r="AB181"/>
  <c r="AD181"/>
  <c r="V182"/>
  <c r="X182"/>
  <c r="AB182"/>
  <c r="AD182"/>
  <c r="V183"/>
  <c r="X183"/>
  <c r="Z183"/>
  <c r="AB183"/>
  <c r="AD183"/>
  <c r="V184"/>
  <c r="X184"/>
  <c r="Z184"/>
  <c r="AB184"/>
  <c r="AD184"/>
  <c r="V185"/>
  <c r="X185"/>
  <c r="Z185"/>
  <c r="AB185"/>
  <c r="AD185"/>
  <c r="AI180"/>
  <c r="U181"/>
  <c r="W181"/>
  <c r="Y181"/>
  <c r="AA181"/>
  <c r="AC181"/>
  <c r="AE181"/>
  <c r="AI181"/>
  <c r="U182"/>
  <c r="W182"/>
  <c r="Y182"/>
  <c r="AA182"/>
  <c r="AC182"/>
  <c r="AE182"/>
  <c r="AI182"/>
  <c r="U183"/>
  <c r="W183"/>
  <c r="Y183"/>
  <c r="AA183"/>
  <c r="AC183"/>
  <c r="AE183"/>
  <c r="AI183"/>
  <c r="U184"/>
  <c r="W184"/>
  <c r="Y184"/>
  <c r="AA184"/>
  <c r="AC184"/>
  <c r="AE184"/>
  <c r="AI184"/>
  <c r="U185"/>
  <c r="W185"/>
  <c r="Y185"/>
  <c r="AA185"/>
  <c r="AC185"/>
  <c r="AE185"/>
  <c r="AI185"/>
  <c r="U180"/>
  <c r="U179"/>
  <c r="P565" i="23" l="1"/>
  <c r="AD565" s="1"/>
  <c r="A684"/>
  <c r="A724" s="1"/>
  <c r="A764" s="1"/>
  <c r="A804" s="1"/>
  <c r="A844" s="1"/>
  <c r="A884" s="1"/>
  <c r="A924" s="1"/>
  <c r="A964" s="1"/>
  <c r="A1004" s="1"/>
  <c r="A1044" s="1"/>
  <c r="A448"/>
  <c r="A487"/>
  <c r="A683"/>
  <c r="A723" s="1"/>
  <c r="A763" s="1"/>
  <c r="A803" s="1"/>
  <c r="A843" s="1"/>
  <c r="A883" s="1"/>
  <c r="A923" s="1"/>
  <c r="A963" s="1"/>
  <c r="A1003" s="1"/>
  <c r="A1043" s="1"/>
  <c r="A526"/>
  <c r="A566" s="1"/>
  <c r="A606" s="1"/>
  <c r="AC179" i="22"/>
  <c r="Y179"/>
  <c r="W180"/>
  <c r="W179"/>
  <c r="AA179"/>
  <c r="AE179"/>
  <c r="AI179"/>
  <c r="AD180"/>
  <c r="AE180"/>
  <c r="AC180"/>
  <c r="AA180"/>
  <c r="Y180"/>
  <c r="AB180"/>
  <c r="Z180"/>
  <c r="X180"/>
  <c r="V179"/>
  <c r="X179"/>
  <c r="Z179"/>
  <c r="AB179"/>
  <c r="AD179"/>
  <c r="V180"/>
  <c r="A1084" i="23" l="1"/>
  <c r="A1124" s="1"/>
  <c r="A1164" s="1"/>
  <c r="A1204"/>
  <c r="A1244" s="1"/>
  <c r="A1284" s="1"/>
  <c r="A1324" s="1"/>
  <c r="A1083"/>
  <c r="A1123" s="1"/>
  <c r="A1163" s="1"/>
  <c r="A1203"/>
  <c r="A1243" s="1"/>
  <c r="A1283" s="1"/>
  <c r="A1323" s="1"/>
  <c r="A488"/>
  <c r="A449"/>
  <c r="A365"/>
  <c r="A645" s="1"/>
  <c r="P605"/>
  <c r="AS565"/>
  <c r="P566"/>
  <c r="AD566" s="1"/>
  <c r="A527"/>
  <c r="A567" s="1"/>
  <c r="A607" s="1"/>
  <c r="AI178" i="22"/>
  <c r="A366" i="23" l="1"/>
  <c r="A646" s="1"/>
  <c r="P606"/>
  <c r="A489"/>
  <c r="A450"/>
  <c r="AS566"/>
  <c r="P567"/>
  <c r="AD567" s="1"/>
  <c r="AS567" s="1"/>
  <c r="A685"/>
  <c r="A725" s="1"/>
  <c r="A765" s="1"/>
  <c r="A805" s="1"/>
  <c r="A845" s="1"/>
  <c r="A885" s="1"/>
  <c r="A925" s="1"/>
  <c r="A965" s="1"/>
  <c r="A1005" s="1"/>
  <c r="A1045" s="1"/>
  <c r="A528"/>
  <c r="A568" s="1"/>
  <c r="A608" s="1"/>
  <c r="AE178" i="22"/>
  <c r="V177"/>
  <c r="X177"/>
  <c r="Z177"/>
  <c r="AB177"/>
  <c r="AD177"/>
  <c r="V178"/>
  <c r="X178"/>
  <c r="Z178"/>
  <c r="AB178"/>
  <c r="AD178"/>
  <c r="U177"/>
  <c r="W177"/>
  <c r="Y177"/>
  <c r="AA177"/>
  <c r="AC177"/>
  <c r="AE177"/>
  <c r="AI177"/>
  <c r="U178"/>
  <c r="W178"/>
  <c r="Y178"/>
  <c r="AA178"/>
  <c r="AC178"/>
  <c r="A1205" i="23" l="1"/>
  <c r="A1245" s="1"/>
  <c r="A1285" s="1"/>
  <c r="A1325" s="1"/>
  <c r="A1085"/>
  <c r="A1125" s="1"/>
  <c r="A1165" s="1"/>
  <c r="P568"/>
  <c r="AD568" s="1"/>
  <c r="AS568" s="1"/>
  <c r="A529"/>
  <c r="A569" s="1"/>
  <c r="A609" s="1"/>
  <c r="A686"/>
  <c r="A726" s="1"/>
  <c r="A766" s="1"/>
  <c r="A806" s="1"/>
  <c r="A846" s="1"/>
  <c r="A886" s="1"/>
  <c r="A926" s="1"/>
  <c r="A966" s="1"/>
  <c r="A1006" s="1"/>
  <c r="A1046" s="1"/>
  <c r="A367"/>
  <c r="A647" s="1"/>
  <c r="P607"/>
  <c r="A451"/>
  <c r="A490"/>
  <c r="AI176" i="22"/>
  <c r="A1086" i="23" l="1"/>
  <c r="A1126" s="1"/>
  <c r="A1166" s="1"/>
  <c r="A1206"/>
  <c r="A1246" s="1"/>
  <c r="A1286" s="1"/>
  <c r="A1326" s="1"/>
  <c r="A530"/>
  <c r="A570" s="1"/>
  <c r="A610" s="1"/>
  <c r="A368"/>
  <c r="A648" s="1"/>
  <c r="P608"/>
  <c r="A452"/>
  <c r="A491"/>
  <c r="A687"/>
  <c r="A727" s="1"/>
  <c r="A767" s="1"/>
  <c r="A807" s="1"/>
  <c r="A847" s="1"/>
  <c r="A887" s="1"/>
  <c r="A927" s="1"/>
  <c r="A967" s="1"/>
  <c r="A1007" s="1"/>
  <c r="A1047" s="1"/>
  <c r="P569"/>
  <c r="AD569" s="1"/>
  <c r="AS569" s="1"/>
  <c r="AE176" i="22"/>
  <c r="AC176"/>
  <c r="AA176"/>
  <c r="AD176"/>
  <c r="AB176"/>
  <c r="Z176"/>
  <c r="V171"/>
  <c r="Z171"/>
  <c r="AB171"/>
  <c r="V172"/>
  <c r="Z172"/>
  <c r="AD172"/>
  <c r="X173"/>
  <c r="AB173"/>
  <c r="AD173"/>
  <c r="X174"/>
  <c r="AB174"/>
  <c r="AD174"/>
  <c r="V175"/>
  <c r="X175"/>
  <c r="Z175"/>
  <c r="AB175"/>
  <c r="AD175"/>
  <c r="V176"/>
  <c r="U171"/>
  <c r="W171"/>
  <c r="Y171"/>
  <c r="AA171"/>
  <c r="AC171"/>
  <c r="AE171"/>
  <c r="AI171"/>
  <c r="U172"/>
  <c r="W172"/>
  <c r="Y172"/>
  <c r="AA172"/>
  <c r="AC172"/>
  <c r="AE172"/>
  <c r="AI172"/>
  <c r="U173"/>
  <c r="W173"/>
  <c r="Y173"/>
  <c r="AA173"/>
  <c r="AC173"/>
  <c r="AE173"/>
  <c r="AI173"/>
  <c r="U174"/>
  <c r="W174"/>
  <c r="Y174"/>
  <c r="AA174"/>
  <c r="AC174"/>
  <c r="AE174"/>
  <c r="AI174"/>
  <c r="U175"/>
  <c r="W175"/>
  <c r="Y175"/>
  <c r="AA175"/>
  <c r="AC175"/>
  <c r="AE175"/>
  <c r="AI175"/>
  <c r="U176"/>
  <c r="W176"/>
  <c r="Y176"/>
  <c r="X171"/>
  <c r="AD171"/>
  <c r="X172"/>
  <c r="AB172"/>
  <c r="V173"/>
  <c r="Z173"/>
  <c r="V174"/>
  <c r="Z174"/>
  <c r="X176"/>
  <c r="A1207" i="23" l="1"/>
  <c r="A1247" s="1"/>
  <c r="A1287" s="1"/>
  <c r="A1327" s="1"/>
  <c r="A1087"/>
  <c r="A1127" s="1"/>
  <c r="A1167" s="1"/>
  <c r="A531"/>
  <c r="A571" s="1"/>
  <c r="A611" s="1"/>
  <c r="A369"/>
  <c r="A649" s="1"/>
  <c r="P609"/>
  <c r="A492"/>
  <c r="A453"/>
  <c r="A688"/>
  <c r="A728" s="1"/>
  <c r="A768" s="1"/>
  <c r="A808" s="1"/>
  <c r="A848" s="1"/>
  <c r="A888" s="1"/>
  <c r="A928" s="1"/>
  <c r="A968" s="1"/>
  <c r="A1008" s="1"/>
  <c r="A1048" s="1"/>
  <c r="P570"/>
  <c r="AD570" s="1"/>
  <c r="AS570" s="1"/>
  <c r="AI170" i="22"/>
  <c r="V170"/>
  <c r="X170"/>
  <c r="Z170"/>
  <c r="AB170"/>
  <c r="AD170"/>
  <c r="U170"/>
  <c r="W170"/>
  <c r="Y170"/>
  <c r="AA170"/>
  <c r="AC170"/>
  <c r="AE170"/>
  <c r="A1088" i="23" l="1"/>
  <c r="A1128" s="1"/>
  <c r="A1168" s="1"/>
  <c r="A1208"/>
  <c r="A1248" s="1"/>
  <c r="A1288" s="1"/>
  <c r="A1328" s="1"/>
  <c r="A532"/>
  <c r="A572" s="1"/>
  <c r="A612" s="1"/>
  <c r="A370"/>
  <c r="A650" s="1"/>
  <c r="P610"/>
  <c r="A454"/>
  <c r="A493"/>
  <c r="A689"/>
  <c r="A729" s="1"/>
  <c r="A769" s="1"/>
  <c r="A809" s="1"/>
  <c r="A849" s="1"/>
  <c r="A889" s="1"/>
  <c r="A929" s="1"/>
  <c r="A969" s="1"/>
  <c r="A1009" s="1"/>
  <c r="A1049" s="1"/>
  <c r="P571"/>
  <c r="AD571" s="1"/>
  <c r="AS571" s="1"/>
  <c r="V169" i="22"/>
  <c r="X169"/>
  <c r="Z169"/>
  <c r="AB169"/>
  <c r="U169"/>
  <c r="W169"/>
  <c r="Y169"/>
  <c r="AA169"/>
  <c r="AC169"/>
  <c r="AE169"/>
  <c r="AD169"/>
  <c r="A1209" i="23" l="1"/>
  <c r="A1249" s="1"/>
  <c r="A1289" s="1"/>
  <c r="A1329" s="1"/>
  <c r="A1089"/>
  <c r="A1129" s="1"/>
  <c r="A1169" s="1"/>
  <c r="A371"/>
  <c r="A651" s="1"/>
  <c r="P611"/>
  <c r="A455"/>
  <c r="A494"/>
  <c r="A690"/>
  <c r="A730" s="1"/>
  <c r="A770" s="1"/>
  <c r="A810" s="1"/>
  <c r="A850" s="1"/>
  <c r="A890" s="1"/>
  <c r="A930" s="1"/>
  <c r="A970" s="1"/>
  <c r="A1010" s="1"/>
  <c r="A1050" s="1"/>
  <c r="P572"/>
  <c r="AD572" s="1"/>
  <c r="AS572" s="1"/>
  <c r="A533"/>
  <c r="A573" s="1"/>
  <c r="A613" s="1"/>
  <c r="A1090" l="1"/>
  <c r="A1130" s="1"/>
  <c r="A1170" s="1"/>
  <c r="A1210"/>
  <c r="A1250" s="1"/>
  <c r="A1290" s="1"/>
  <c r="A1330" s="1"/>
  <c r="P573"/>
  <c r="AD573" s="1"/>
  <c r="AS573" s="1"/>
  <c r="P612"/>
  <c r="A372"/>
  <c r="A652" s="1"/>
  <c r="A534"/>
  <c r="A574" s="1"/>
  <c r="A614" s="1"/>
  <c r="A495"/>
  <c r="A456"/>
  <c r="A691"/>
  <c r="A731" s="1"/>
  <c r="A771" s="1"/>
  <c r="A811" s="1"/>
  <c r="A851" s="1"/>
  <c r="A891" s="1"/>
  <c r="A931" s="1"/>
  <c r="A971" s="1"/>
  <c r="A1011" s="1"/>
  <c r="A1051" s="1"/>
  <c r="A1211" l="1"/>
  <c r="A1251" s="1"/>
  <c r="A1291" s="1"/>
  <c r="A1331" s="1"/>
  <c r="A1091"/>
  <c r="A1131" s="1"/>
  <c r="A1171" s="1"/>
  <c r="A457"/>
  <c r="A496"/>
  <c r="A692"/>
  <c r="A732" s="1"/>
  <c r="A772" s="1"/>
  <c r="A812" s="1"/>
  <c r="A852" s="1"/>
  <c r="A892" s="1"/>
  <c r="A932" s="1"/>
  <c r="A972" s="1"/>
  <c r="A1012" s="1"/>
  <c r="A1052" s="1"/>
  <c r="A535"/>
  <c r="A575" s="1"/>
  <c r="A615" s="1"/>
  <c r="P574"/>
  <c r="AD574" s="1"/>
  <c r="AS574" s="1"/>
  <c r="P613"/>
  <c r="A373"/>
  <c r="A653" s="1"/>
  <c r="A1092" l="1"/>
  <c r="A1132" s="1"/>
  <c r="A1172" s="1"/>
  <c r="A1212"/>
  <c r="A1252" s="1"/>
  <c r="A1292" s="1"/>
  <c r="A1332" s="1"/>
  <c r="P575"/>
  <c r="AD575" s="1"/>
  <c r="AS575" s="1"/>
  <c r="A536"/>
  <c r="A576" s="1"/>
  <c r="A616" s="1"/>
  <c r="A693"/>
  <c r="A733" s="1"/>
  <c r="A773" s="1"/>
  <c r="A813" s="1"/>
  <c r="A853" s="1"/>
  <c r="A893" s="1"/>
  <c r="A933" s="1"/>
  <c r="A973" s="1"/>
  <c r="A1013" s="1"/>
  <c r="A1053" s="1"/>
  <c r="A374"/>
  <c r="A654" s="1"/>
  <c r="P614"/>
  <c r="A458"/>
  <c r="A497"/>
  <c r="A1213" l="1"/>
  <c r="A1253" s="1"/>
  <c r="A1293" s="1"/>
  <c r="A1333" s="1"/>
  <c r="A1093"/>
  <c r="A1133" s="1"/>
  <c r="A1173" s="1"/>
  <c r="A537"/>
  <c r="A577" s="1"/>
  <c r="A617" s="1"/>
  <c r="A694"/>
  <c r="A734" s="1"/>
  <c r="A774" s="1"/>
  <c r="A814" s="1"/>
  <c r="A854" s="1"/>
  <c r="A894" s="1"/>
  <c r="A934" s="1"/>
  <c r="A974" s="1"/>
  <c r="A1014" s="1"/>
  <c r="A1054" s="1"/>
  <c r="A498"/>
  <c r="A459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P576"/>
  <c r="AD576" s="1"/>
  <c r="AS576" s="1"/>
  <c r="P615"/>
  <c r="A375"/>
  <c r="A655" s="1"/>
  <c r="A1094" l="1"/>
  <c r="A1134" s="1"/>
  <c r="A1174" s="1"/>
  <c r="A1214"/>
  <c r="A1254" s="1"/>
  <c r="A1294" s="1"/>
  <c r="A1334" s="1"/>
  <c r="A695"/>
  <c r="A735" s="1"/>
  <c r="A775" s="1"/>
  <c r="A815" s="1"/>
  <c r="A855" s="1"/>
  <c r="A895" s="1"/>
  <c r="A935" s="1"/>
  <c r="A975" s="1"/>
  <c r="A1015" s="1"/>
  <c r="A1055" s="1"/>
  <c r="P616"/>
  <c r="A376"/>
  <c r="A656" s="1"/>
  <c r="A499"/>
  <c r="A538"/>
  <c r="A578" s="1"/>
  <c r="A618" s="1"/>
  <c r="P577"/>
  <c r="AD577" s="1"/>
  <c r="AS577" s="1"/>
  <c r="A1215" l="1"/>
  <c r="A1255" s="1"/>
  <c r="A1295" s="1"/>
  <c r="A1095"/>
  <c r="A1135" s="1"/>
  <c r="A1175" s="1"/>
  <c r="A539"/>
  <c r="A579" s="1"/>
  <c r="A619" s="1"/>
  <c r="A500"/>
  <c r="A377"/>
  <c r="A657" s="1"/>
  <c r="P617"/>
  <c r="P578"/>
  <c r="AD578" s="1"/>
  <c r="AS578" s="1"/>
  <c r="A696"/>
  <c r="A736" s="1"/>
  <c r="A776" s="1"/>
  <c r="A816" s="1"/>
  <c r="A856" s="1"/>
  <c r="A896" s="1"/>
  <c r="A936" s="1"/>
  <c r="A976" s="1"/>
  <c r="A1016" s="1"/>
  <c r="A1056" s="1"/>
  <c r="A1096" l="1"/>
  <c r="A1136" s="1"/>
  <c r="A1176" s="1"/>
  <c r="A1216"/>
  <c r="A1256" s="1"/>
  <c r="A1296" s="1"/>
  <c r="A1335"/>
  <c r="A1575"/>
  <c r="A1615" s="1"/>
  <c r="A1655" s="1"/>
  <c r="A1695" s="1"/>
  <c r="A1735" s="1"/>
  <c r="A1375"/>
  <c r="P618"/>
  <c r="A378"/>
  <c r="A658" s="1"/>
  <c r="P579"/>
  <c r="AD579" s="1"/>
  <c r="AS579" s="1"/>
  <c r="A697"/>
  <c r="A737" s="1"/>
  <c r="A777" s="1"/>
  <c r="A817" s="1"/>
  <c r="A857" s="1"/>
  <c r="A897" s="1"/>
  <c r="A937" s="1"/>
  <c r="A977" s="1"/>
  <c r="A1017" s="1"/>
  <c r="A1057" s="1"/>
  <c r="A540"/>
  <c r="A580" s="1"/>
  <c r="A620" s="1"/>
  <c r="A501"/>
  <c r="BG162" i="22"/>
  <c r="BF162"/>
  <c r="BE162"/>
  <c r="BD162"/>
  <c r="BC162"/>
  <c r="BB162"/>
  <c r="BA162"/>
  <c r="AZ162"/>
  <c r="AY162"/>
  <c r="AX162"/>
  <c r="AW162"/>
  <c r="A1217" i="23" l="1"/>
  <c r="A1257" s="1"/>
  <c r="A1297" s="1"/>
  <c r="A1097"/>
  <c r="A1137" s="1"/>
  <c r="A1177" s="1"/>
  <c r="A1415"/>
  <c r="A1455" s="1"/>
  <c r="A1495"/>
  <c r="A1336"/>
  <c r="A1376"/>
  <c r="A1576"/>
  <c r="A1616" s="1"/>
  <c r="A1656" s="1"/>
  <c r="A1696" s="1"/>
  <c r="A1736" s="1"/>
  <c r="P619"/>
  <c r="A379"/>
  <c r="A659" s="1"/>
  <c r="A698"/>
  <c r="A738" s="1"/>
  <c r="A778" s="1"/>
  <c r="A818" s="1"/>
  <c r="A858" s="1"/>
  <c r="A898" s="1"/>
  <c r="A938" s="1"/>
  <c r="A978" s="1"/>
  <c r="A1018" s="1"/>
  <c r="A1058" s="1"/>
  <c r="A541"/>
  <c r="A581" s="1"/>
  <c r="A621" s="1"/>
  <c r="A502"/>
  <c r="P580"/>
  <c r="AD580" s="1"/>
  <c r="AS580" s="1"/>
  <c r="AV162" i="22"/>
  <c r="BG161"/>
  <c r="BF161"/>
  <c r="BE161"/>
  <c r="BD161"/>
  <c r="BC161"/>
  <c r="BB161"/>
  <c r="BA161"/>
  <c r="AZ161"/>
  <c r="AY161"/>
  <c r="AX161"/>
  <c r="AW161"/>
  <c r="BG160"/>
  <c r="BF160"/>
  <c r="BE160"/>
  <c r="BD160"/>
  <c r="BC160"/>
  <c r="BB160"/>
  <c r="BA160"/>
  <c r="AZ160"/>
  <c r="AY160"/>
  <c r="AX160"/>
  <c r="AW160"/>
  <c r="AU154"/>
  <c r="AG152"/>
  <c r="AE118"/>
  <c r="AD118"/>
  <c r="AC118"/>
  <c r="AB118"/>
  <c r="AA118"/>
  <c r="Z118"/>
  <c r="Y118"/>
  <c r="X118"/>
  <c r="W118"/>
  <c r="V118"/>
  <c r="U118"/>
  <c r="T118"/>
  <c r="I34" s="1"/>
  <c r="AE117"/>
  <c r="AD117"/>
  <c r="AC117"/>
  <c r="AB117"/>
  <c r="AA117"/>
  <c r="Z117"/>
  <c r="Y117"/>
  <c r="X117"/>
  <c r="W117"/>
  <c r="V117"/>
  <c r="U117"/>
  <c r="T117"/>
  <c r="AE116"/>
  <c r="AD116"/>
  <c r="AC116"/>
  <c r="AB116"/>
  <c r="AA116"/>
  <c r="Z116"/>
  <c r="Y116"/>
  <c r="X116"/>
  <c r="W116"/>
  <c r="V116"/>
  <c r="U116"/>
  <c r="T116"/>
  <c r="S92"/>
  <c r="S91"/>
  <c r="S90"/>
  <c r="S89"/>
  <c r="A1098" i="23" l="1"/>
  <c r="A1138" s="1"/>
  <c r="A1178" s="1"/>
  <c r="A1218"/>
  <c r="A1258" s="1"/>
  <c r="A1298" s="1"/>
  <c r="A1416"/>
  <c r="A1456" s="1"/>
  <c r="A1496"/>
  <c r="A1535"/>
  <c r="A1337"/>
  <c r="A1577"/>
  <c r="A1617" s="1"/>
  <c r="A1657" s="1"/>
  <c r="A1697" s="1"/>
  <c r="A1737" s="1"/>
  <c r="A1377"/>
  <c r="P620"/>
  <c r="A380"/>
  <c r="A660" s="1"/>
  <c r="A542"/>
  <c r="A582" s="1"/>
  <c r="A622" s="1"/>
  <c r="A503"/>
  <c r="P581"/>
  <c r="AD581" s="1"/>
  <c r="AS581" s="1"/>
  <c r="A699"/>
  <c r="A739" s="1"/>
  <c r="A779" s="1"/>
  <c r="A819" s="1"/>
  <c r="A859" s="1"/>
  <c r="A899" s="1"/>
  <c r="A939" s="1"/>
  <c r="A979" s="1"/>
  <c r="A1019" s="1"/>
  <c r="A1059" s="1"/>
  <c r="AV160" i="22"/>
  <c r="AV161"/>
  <c r="S88"/>
  <c r="S87"/>
  <c r="S86"/>
  <c r="S85"/>
  <c r="S84"/>
  <c r="S83"/>
  <c r="S82"/>
  <c r="S81"/>
  <c r="S80"/>
  <c r="S79"/>
  <c r="S78"/>
  <c r="S77"/>
  <c r="S76"/>
  <c r="S75"/>
  <c r="S74"/>
  <c r="AW166"/>
  <c r="AV166"/>
  <c r="S73"/>
  <c r="S119" s="1"/>
  <c r="A1219" i="23" l="1"/>
  <c r="A1259" s="1"/>
  <c r="A1299" s="1"/>
  <c r="A1099"/>
  <c r="A1139" s="1"/>
  <c r="A1179" s="1"/>
  <c r="A1536"/>
  <c r="A1338"/>
  <c r="A1578"/>
  <c r="A1618" s="1"/>
  <c r="A1658" s="1"/>
  <c r="A1698" s="1"/>
  <c r="A1738" s="1"/>
  <c r="A1378"/>
  <c r="A1417"/>
  <c r="A1457" s="1"/>
  <c r="A1497"/>
  <c r="P621"/>
  <c r="A381"/>
  <c r="A661" s="1"/>
  <c r="A700"/>
  <c r="A740" s="1"/>
  <c r="A780" s="1"/>
  <c r="A820" s="1"/>
  <c r="A860" s="1"/>
  <c r="A900" s="1"/>
  <c r="A940" s="1"/>
  <c r="A980" s="1"/>
  <c r="A1020" s="1"/>
  <c r="A1060" s="1"/>
  <c r="A504"/>
  <c r="A505" s="1"/>
  <c r="A543"/>
  <c r="A583" s="1"/>
  <c r="A623" s="1"/>
  <c r="P582"/>
  <c r="AD582" s="1"/>
  <c r="AS582" s="1"/>
  <c r="BE166" i="22"/>
  <c r="BA166"/>
  <c r="AY166"/>
  <c r="BC166"/>
  <c r="BG166"/>
  <c r="AX166"/>
  <c r="AZ166"/>
  <c r="BB166"/>
  <c r="BD166"/>
  <c r="BF166"/>
  <c r="AE72"/>
  <c r="BG165" s="1"/>
  <c r="AD72"/>
  <c r="BF165" s="1"/>
  <c r="AC72"/>
  <c r="BE165" s="1"/>
  <c r="AB72"/>
  <c r="BD165" s="1"/>
  <c r="AA72"/>
  <c r="BC165" s="1"/>
  <c r="Z72"/>
  <c r="BB165" s="1"/>
  <c r="Y72"/>
  <c r="BA165" s="1"/>
  <c r="X72"/>
  <c r="AZ165" s="1"/>
  <c r="W72"/>
  <c r="AY165" s="1"/>
  <c r="V72"/>
  <c r="AX165" s="1"/>
  <c r="U72"/>
  <c r="AW165" s="1"/>
  <c r="T72"/>
  <c r="AV165" s="1"/>
  <c r="S72"/>
  <c r="S118" s="1"/>
  <c r="S165" s="1"/>
  <c r="AG165" s="1"/>
  <c r="AE71"/>
  <c r="BG164" s="1"/>
  <c r="AD71"/>
  <c r="BF164" s="1"/>
  <c r="AC71"/>
  <c r="BE164" s="1"/>
  <c r="AB71"/>
  <c r="BD164" s="1"/>
  <c r="AA71"/>
  <c r="BC164" s="1"/>
  <c r="Z71"/>
  <c r="BB164" s="1"/>
  <c r="Y71"/>
  <c r="BA164" s="1"/>
  <c r="X71"/>
  <c r="AZ164" s="1"/>
  <c r="W71"/>
  <c r="AY164" s="1"/>
  <c r="V71"/>
  <c r="AX164" s="1"/>
  <c r="U71"/>
  <c r="AW164" s="1"/>
  <c r="T71"/>
  <c r="AV164" s="1"/>
  <c r="S71"/>
  <c r="S117" s="1"/>
  <c r="S164" s="1"/>
  <c r="AG164" s="1"/>
  <c r="AE70"/>
  <c r="BG163" s="1"/>
  <c r="AD70"/>
  <c r="BF163" s="1"/>
  <c r="AC70"/>
  <c r="BE163" s="1"/>
  <c r="AB70"/>
  <c r="BD163" s="1"/>
  <c r="AA70"/>
  <c r="BC163" s="1"/>
  <c r="Z70"/>
  <c r="BB163" s="1"/>
  <c r="Y70"/>
  <c r="BA163" s="1"/>
  <c r="X70"/>
  <c r="AZ163" s="1"/>
  <c r="W70"/>
  <c r="AY163" s="1"/>
  <c r="V70"/>
  <c r="AX163" s="1"/>
  <c r="U70"/>
  <c r="AW163" s="1"/>
  <c r="T70"/>
  <c r="AV163" s="1"/>
  <c r="S70"/>
  <c r="S116" s="1"/>
  <c r="S69"/>
  <c r="S68"/>
  <c r="S67"/>
  <c r="S66"/>
  <c r="S65"/>
  <c r="S64"/>
  <c r="S63"/>
  <c r="S62"/>
  <c r="S61"/>
  <c r="S60"/>
  <c r="AE56"/>
  <c r="AD56"/>
  <c r="AC56"/>
  <c r="AB56"/>
  <c r="AA56"/>
  <c r="Z56"/>
  <c r="Y56"/>
  <c r="X56"/>
  <c r="W56"/>
  <c r="V56"/>
  <c r="U56"/>
  <c r="D38"/>
  <c r="S115" l="1"/>
  <c r="A1100" i="23"/>
  <c r="A1140" s="1"/>
  <c r="A1180" s="1"/>
  <c r="A1220"/>
  <c r="A1260" s="1"/>
  <c r="A1300" s="1"/>
  <c r="A1537"/>
  <c r="A1418"/>
  <c r="A1458" s="1"/>
  <c r="A1498"/>
  <c r="A1339"/>
  <c r="A1579"/>
  <c r="A1619" s="1"/>
  <c r="A1659" s="1"/>
  <c r="A1699" s="1"/>
  <c r="A1739" s="1"/>
  <c r="A1379"/>
  <c r="A506"/>
  <c r="A545"/>
  <c r="A585" s="1"/>
  <c r="A625" s="1"/>
  <c r="P583"/>
  <c r="AD583" s="1"/>
  <c r="AS583" s="1"/>
  <c r="P622"/>
  <c r="A382"/>
  <c r="A662" s="1"/>
  <c r="A544"/>
  <c r="A584" s="1"/>
  <c r="A624" s="1"/>
  <c r="A701"/>
  <c r="A741" s="1"/>
  <c r="A781" s="1"/>
  <c r="A821" s="1"/>
  <c r="A861" s="1"/>
  <c r="A901" s="1"/>
  <c r="A941" s="1"/>
  <c r="A981" s="1"/>
  <c r="A1021" s="1"/>
  <c r="A1061" s="1"/>
  <c r="S121" i="22"/>
  <c r="S168" s="1"/>
  <c r="AG168" s="1"/>
  <c r="S114"/>
  <c r="S113" s="1"/>
  <c r="S112" s="1"/>
  <c r="S111" s="1"/>
  <c r="S110" s="1"/>
  <c r="S109" s="1"/>
  <c r="S108" s="1"/>
  <c r="S107" s="1"/>
  <c r="S106" s="1"/>
  <c r="S162"/>
  <c r="AG162" s="1"/>
  <c r="A1221" i="23" l="1"/>
  <c r="A1261" s="1"/>
  <c r="A1301" s="1"/>
  <c r="A1101"/>
  <c r="A1141" s="1"/>
  <c r="A1181" s="1"/>
  <c r="A1340"/>
  <c r="A1580"/>
  <c r="A1620" s="1"/>
  <c r="A1660" s="1"/>
  <c r="A1700" s="1"/>
  <c r="A1740" s="1"/>
  <c r="A1380"/>
  <c r="A1419"/>
  <c r="A1459" s="1"/>
  <c r="A1499"/>
  <c r="A1538"/>
  <c r="P585"/>
  <c r="AD585" s="1"/>
  <c r="AS585" s="1"/>
  <c r="A507"/>
  <c r="A546"/>
  <c r="A586" s="1"/>
  <c r="A626" s="1"/>
  <c r="P584"/>
  <c r="AD584" s="1"/>
  <c r="AS584" s="1"/>
  <c r="A702"/>
  <c r="A742" s="1"/>
  <c r="A782" s="1"/>
  <c r="A822" s="1"/>
  <c r="A862" s="1"/>
  <c r="A902" s="1"/>
  <c r="A942" s="1"/>
  <c r="A982" s="1"/>
  <c r="A1022" s="1"/>
  <c r="A1062" s="1"/>
  <c r="P623"/>
  <c r="A383"/>
  <c r="A663" s="1"/>
  <c r="L39" i="22"/>
  <c r="M39" s="1"/>
  <c r="S122"/>
  <c r="S169" s="1"/>
  <c r="AG169" s="1"/>
  <c r="A1102" i="23" l="1"/>
  <c r="A1142" s="1"/>
  <c r="A1182" s="1"/>
  <c r="A1222"/>
  <c r="A1262" s="1"/>
  <c r="A1302" s="1"/>
  <c r="A1539"/>
  <c r="A1420"/>
  <c r="A1460" s="1"/>
  <c r="A1500"/>
  <c r="A1341"/>
  <c r="A1581"/>
  <c r="A1621" s="1"/>
  <c r="A1661" s="1"/>
  <c r="A1701" s="1"/>
  <c r="A1741" s="1"/>
  <c r="A1381"/>
  <c r="P586"/>
  <c r="AD586" s="1"/>
  <c r="AS586" s="1"/>
  <c r="A547"/>
  <c r="A587" s="1"/>
  <c r="A627" s="1"/>
  <c r="A508"/>
  <c r="P625"/>
  <c r="AE625" s="1"/>
  <c r="AT625" s="1"/>
  <c r="BI625" s="1"/>
  <c r="BX625" s="1"/>
  <c r="CM625" s="1"/>
  <c r="A385"/>
  <c r="A665" s="1"/>
  <c r="A705" s="1"/>
  <c r="A745" s="1"/>
  <c r="A785" s="1"/>
  <c r="A825" s="1"/>
  <c r="A865" s="1"/>
  <c r="A905" s="1"/>
  <c r="A945" s="1"/>
  <c r="A703"/>
  <c r="A743" s="1"/>
  <c r="A783" s="1"/>
  <c r="A823" s="1"/>
  <c r="A863" s="1"/>
  <c r="A903" s="1"/>
  <c r="A943" s="1"/>
  <c r="A983" s="1"/>
  <c r="A1023" s="1"/>
  <c r="A1063" s="1"/>
  <c r="A384"/>
  <c r="A664" s="1"/>
  <c r="A704" s="1"/>
  <c r="A744" s="1"/>
  <c r="A784" s="1"/>
  <c r="A824" s="1"/>
  <c r="A864" s="1"/>
  <c r="A904" s="1"/>
  <c r="A944" s="1"/>
  <c r="P624"/>
  <c r="AE624" s="1"/>
  <c r="AT624" s="1"/>
  <c r="BI624" s="1"/>
  <c r="BX624" s="1"/>
  <c r="CM624" s="1"/>
  <c r="S120" i="22"/>
  <c r="S167" s="1"/>
  <c r="AG167" s="1"/>
  <c r="T123"/>
  <c r="L40"/>
  <c r="M40" s="1"/>
  <c r="A1540" i="23" l="1"/>
  <c r="A1342"/>
  <c r="A1382"/>
  <c r="A1582"/>
  <c r="A1622" s="1"/>
  <c r="A1662" s="1"/>
  <c r="A1702" s="1"/>
  <c r="A1742" s="1"/>
  <c r="A1223"/>
  <c r="A1263" s="1"/>
  <c r="A1303" s="1"/>
  <c r="A1103"/>
  <c r="A1143" s="1"/>
  <c r="A1183" s="1"/>
  <c r="A1421"/>
  <c r="A1461" s="1"/>
  <c r="A1501"/>
  <c r="A984"/>
  <c r="A1024" s="1"/>
  <c r="A1064" s="1"/>
  <c r="A985"/>
  <c r="A1025" s="1"/>
  <c r="A1065" s="1"/>
  <c r="A548"/>
  <c r="A588" s="1"/>
  <c r="A628" s="1"/>
  <c r="A509"/>
  <c r="P587"/>
  <c r="AD587" s="1"/>
  <c r="AS587" s="1"/>
  <c r="P626"/>
  <c r="AE626" s="1"/>
  <c r="AT626" s="1"/>
  <c r="BI626" s="1"/>
  <c r="BX626" s="1"/>
  <c r="CM626" s="1"/>
  <c r="A386"/>
  <c r="A666" s="1"/>
  <c r="A706" s="1"/>
  <c r="A746" s="1"/>
  <c r="A786" s="1"/>
  <c r="A826" s="1"/>
  <c r="A866" s="1"/>
  <c r="A906" s="1"/>
  <c r="A946" s="1"/>
  <c r="L41" i="22"/>
  <c r="M41" s="1"/>
  <c r="T124"/>
  <c r="S123"/>
  <c r="S170" s="1"/>
  <c r="AG170" s="1"/>
  <c r="U123"/>
  <c r="V123" s="1"/>
  <c r="W123" s="1"/>
  <c r="X123" s="1"/>
  <c r="Y123" s="1"/>
  <c r="Z123" s="1"/>
  <c r="AA123" s="1"/>
  <c r="AB123" s="1"/>
  <c r="AC123" s="1"/>
  <c r="AD123" s="1"/>
  <c r="AE123" s="1"/>
  <c r="K34"/>
  <c r="E34"/>
  <c r="A1225" i="23" l="1"/>
  <c r="A1265" s="1"/>
  <c r="A1305" s="1"/>
  <c r="A1105"/>
  <c r="A1145" s="1"/>
  <c r="A1185" s="1"/>
  <c r="A1541"/>
  <c r="A1343"/>
  <c r="A1383"/>
  <c r="A1583"/>
  <c r="A1623" s="1"/>
  <c r="A1663" s="1"/>
  <c r="A1703" s="1"/>
  <c r="A1743" s="1"/>
  <c r="A1422"/>
  <c r="A1462" s="1"/>
  <c r="A1502"/>
  <c r="A1104"/>
  <c r="A1144" s="1"/>
  <c r="A1184" s="1"/>
  <c r="A1224"/>
  <c r="A1264" s="1"/>
  <c r="A1304" s="1"/>
  <c r="A986"/>
  <c r="A1026" s="1"/>
  <c r="A1066" s="1"/>
  <c r="A387"/>
  <c r="A667" s="1"/>
  <c r="A707" s="1"/>
  <c r="A747" s="1"/>
  <c r="A787" s="1"/>
  <c r="A827" s="1"/>
  <c r="A867" s="1"/>
  <c r="A907" s="1"/>
  <c r="A947" s="1"/>
  <c r="P627"/>
  <c r="AE627" s="1"/>
  <c r="AT627" s="1"/>
  <c r="BI627" s="1"/>
  <c r="BX627" s="1"/>
  <c r="CM627" s="1"/>
  <c r="A549"/>
  <c r="A589" s="1"/>
  <c r="A629" s="1"/>
  <c r="A510"/>
  <c r="P588"/>
  <c r="AD588" s="1"/>
  <c r="AS588" s="1"/>
  <c r="S124" i="22"/>
  <c r="S171" s="1"/>
  <c r="AG171" s="1"/>
  <c r="U124"/>
  <c r="V124" s="1"/>
  <c r="W124" s="1"/>
  <c r="X124" s="1"/>
  <c r="Y124" s="1"/>
  <c r="Z124" s="1"/>
  <c r="AA124" s="1"/>
  <c r="AB124" s="1"/>
  <c r="AC124" s="1"/>
  <c r="AD124" s="1"/>
  <c r="AE124" s="1"/>
  <c r="T125"/>
  <c r="L42"/>
  <c r="M42" s="1"/>
  <c r="L34"/>
  <c r="L35"/>
  <c r="C34"/>
  <c r="F34" s="1"/>
  <c r="A1423" i="23" l="1"/>
  <c r="A1463" s="1"/>
  <c r="A1503"/>
  <c r="A1106"/>
  <c r="A1146" s="1"/>
  <c r="A1186" s="1"/>
  <c r="A1226"/>
  <c r="A1266" s="1"/>
  <c r="A1306" s="1"/>
  <c r="A1344"/>
  <c r="A1384"/>
  <c r="A1584"/>
  <c r="A1624" s="1"/>
  <c r="A1664" s="1"/>
  <c r="A1704" s="1"/>
  <c r="A1744" s="1"/>
  <c r="A1542"/>
  <c r="A1345"/>
  <c r="A1585"/>
  <c r="A1625" s="1"/>
  <c r="A1665" s="1"/>
  <c r="A1705" s="1"/>
  <c r="A1745" s="1"/>
  <c r="A1385"/>
  <c r="A987"/>
  <c r="A1027" s="1"/>
  <c r="A1067" s="1"/>
  <c r="P628"/>
  <c r="AE628" s="1"/>
  <c r="AT628" s="1"/>
  <c r="BI628" s="1"/>
  <c r="BX628" s="1"/>
  <c r="CM628" s="1"/>
  <c r="A388"/>
  <c r="A668" s="1"/>
  <c r="A708" s="1"/>
  <c r="A748" s="1"/>
  <c r="A788" s="1"/>
  <c r="A828" s="1"/>
  <c r="A868" s="1"/>
  <c r="A908" s="1"/>
  <c r="A948" s="1"/>
  <c r="A550"/>
  <c r="A590" s="1"/>
  <c r="A630" s="1"/>
  <c r="A511"/>
  <c r="P589"/>
  <c r="AD589" s="1"/>
  <c r="AS589" s="1"/>
  <c r="L43" i="22"/>
  <c r="M43" s="1"/>
  <c r="T126"/>
  <c r="S125"/>
  <c r="S172" s="1"/>
  <c r="AG172" s="1"/>
  <c r="U125"/>
  <c r="V125" s="1"/>
  <c r="W125" s="1"/>
  <c r="X125" s="1"/>
  <c r="Y125" s="1"/>
  <c r="Z125" s="1"/>
  <c r="AA125" s="1"/>
  <c r="AB125" s="1"/>
  <c r="AC125" s="1"/>
  <c r="AD125" s="1"/>
  <c r="AE125" s="1"/>
  <c r="K33"/>
  <c r="I33"/>
  <c r="A1425" i="23" l="1"/>
  <c r="A1465" s="1"/>
  <c r="A1505"/>
  <c r="A1424"/>
  <c r="A1464" s="1"/>
  <c r="A1504"/>
  <c r="A1346"/>
  <c r="A1386"/>
  <c r="A1586"/>
  <c r="A1626" s="1"/>
  <c r="A1666" s="1"/>
  <c r="A1706" s="1"/>
  <c r="A1746" s="1"/>
  <c r="A1543"/>
  <c r="A1227"/>
  <c r="A1267" s="1"/>
  <c r="A1307" s="1"/>
  <c r="A1107"/>
  <c r="A1147" s="1"/>
  <c r="A1187" s="1"/>
  <c r="A988"/>
  <c r="A1028" s="1"/>
  <c r="A1068" s="1"/>
  <c r="A389"/>
  <c r="A669" s="1"/>
  <c r="A709" s="1"/>
  <c r="A749" s="1"/>
  <c r="A789" s="1"/>
  <c r="A829" s="1"/>
  <c r="A869" s="1"/>
  <c r="A909" s="1"/>
  <c r="A949" s="1"/>
  <c r="P629"/>
  <c r="AE629" s="1"/>
  <c r="AT629" s="1"/>
  <c r="BI629" s="1"/>
  <c r="BX629" s="1"/>
  <c r="CM629" s="1"/>
  <c r="A551"/>
  <c r="A591" s="1"/>
  <c r="A631" s="1"/>
  <c r="A512"/>
  <c r="P590"/>
  <c r="AD590" s="1"/>
  <c r="AS590" s="1"/>
  <c r="S126" i="22"/>
  <c r="S173" s="1"/>
  <c r="AG173" s="1"/>
  <c r="U126"/>
  <c r="V126" s="1"/>
  <c r="W126" s="1"/>
  <c r="X126" s="1"/>
  <c r="Y126" s="1"/>
  <c r="Z126" s="1"/>
  <c r="AA126" s="1"/>
  <c r="AB126" s="1"/>
  <c r="AC126" s="1"/>
  <c r="AD126" s="1"/>
  <c r="AE126" s="1"/>
  <c r="L44"/>
  <c r="M44" s="1"/>
  <c r="T127"/>
  <c r="L33"/>
  <c r="E33"/>
  <c r="C33"/>
  <c r="A1347" i="23" l="1"/>
  <c r="A1587"/>
  <c r="A1627" s="1"/>
  <c r="A1667" s="1"/>
  <c r="A1707" s="1"/>
  <c r="A1747" s="1"/>
  <c r="A1387"/>
  <c r="A1426"/>
  <c r="A1466" s="1"/>
  <c r="A1506"/>
  <c r="A1544"/>
  <c r="A1545"/>
  <c r="A1108"/>
  <c r="A1148" s="1"/>
  <c r="A1188" s="1"/>
  <c r="A1228"/>
  <c r="A1268" s="1"/>
  <c r="A1308" s="1"/>
  <c r="A989"/>
  <c r="A1029" s="1"/>
  <c r="A1069" s="1"/>
  <c r="P630"/>
  <c r="AE630" s="1"/>
  <c r="AT630" s="1"/>
  <c r="BI630" s="1"/>
  <c r="BX630" s="1"/>
  <c r="CM630" s="1"/>
  <c r="A390"/>
  <c r="A670" s="1"/>
  <c r="A710" s="1"/>
  <c r="A750" s="1"/>
  <c r="A790" s="1"/>
  <c r="A830" s="1"/>
  <c r="A870" s="1"/>
  <c r="A910" s="1"/>
  <c r="A950" s="1"/>
  <c r="A552"/>
  <c r="A592" s="1"/>
  <c r="A632" s="1"/>
  <c r="A513"/>
  <c r="P591"/>
  <c r="AD591" s="1"/>
  <c r="AS591" s="1"/>
  <c r="S127" i="22"/>
  <c r="S174" s="1"/>
  <c r="AG174" s="1"/>
  <c r="U127"/>
  <c r="V127" s="1"/>
  <c r="W127" s="1"/>
  <c r="X127" s="1"/>
  <c r="Y127" s="1"/>
  <c r="Z127" s="1"/>
  <c r="AA127" s="1"/>
  <c r="AB127" s="1"/>
  <c r="AC127" s="1"/>
  <c r="AD127" s="1"/>
  <c r="AE127" s="1"/>
  <c r="T128"/>
  <c r="L45"/>
  <c r="M45" s="1"/>
  <c r="F33"/>
  <c r="P33" s="1"/>
  <c r="K32"/>
  <c r="A1229" i="23" l="1"/>
  <c r="A1269" s="1"/>
  <c r="A1309" s="1"/>
  <c r="A1109"/>
  <c r="A1149" s="1"/>
  <c r="A1189" s="1"/>
  <c r="A1348"/>
  <c r="A1388"/>
  <c r="A1588"/>
  <c r="A1628" s="1"/>
  <c r="A1668" s="1"/>
  <c r="A1708" s="1"/>
  <c r="A1748" s="1"/>
  <c r="A1546"/>
  <c r="A1427"/>
  <c r="A1467" s="1"/>
  <c r="A1507"/>
  <c r="A990"/>
  <c r="A1030" s="1"/>
  <c r="A1070" s="1"/>
  <c r="A391"/>
  <c r="A671" s="1"/>
  <c r="A711" s="1"/>
  <c r="A751" s="1"/>
  <c r="A791" s="1"/>
  <c r="A831" s="1"/>
  <c r="A871" s="1"/>
  <c r="A911" s="1"/>
  <c r="A951" s="1"/>
  <c r="P631"/>
  <c r="AE631" s="1"/>
  <c r="AT631" s="1"/>
  <c r="BI631" s="1"/>
  <c r="BX631" s="1"/>
  <c r="CM631" s="1"/>
  <c r="A514"/>
  <c r="A553"/>
  <c r="A593" s="1"/>
  <c r="A633" s="1"/>
  <c r="P592"/>
  <c r="AD592" s="1"/>
  <c r="AS592" s="1"/>
  <c r="L46" i="22"/>
  <c r="M46" s="1"/>
  <c r="T129"/>
  <c r="S128"/>
  <c r="S175" s="1"/>
  <c r="AG175" s="1"/>
  <c r="U128"/>
  <c r="V128" s="1"/>
  <c r="W128" s="1"/>
  <c r="X128" s="1"/>
  <c r="Y128" s="1"/>
  <c r="Z128" s="1"/>
  <c r="AA128" s="1"/>
  <c r="AB128" s="1"/>
  <c r="AC128" s="1"/>
  <c r="AD128" s="1"/>
  <c r="AE128" s="1"/>
  <c r="I32"/>
  <c r="L32" s="1"/>
  <c r="E32"/>
  <c r="C32"/>
  <c r="I31"/>
  <c r="C31"/>
  <c r="F31" s="1"/>
  <c r="I30"/>
  <c r="C30"/>
  <c r="F30" s="1"/>
  <c r="I29"/>
  <c r="C29"/>
  <c r="F29" s="1"/>
  <c r="I28"/>
  <c r="C28"/>
  <c r="F28" s="1"/>
  <c r="I27"/>
  <c r="C27"/>
  <c r="F27" s="1"/>
  <c r="I26"/>
  <c r="C26"/>
  <c r="F26" s="1"/>
  <c r="I25"/>
  <c r="F25"/>
  <c r="L24"/>
  <c r="F24"/>
  <c r="L23"/>
  <c r="F23"/>
  <c r="L22"/>
  <c r="F22"/>
  <c r="L21"/>
  <c r="F21"/>
  <c r="AE20"/>
  <c r="AS20" s="1"/>
  <c r="AD20"/>
  <c r="AR20" s="1"/>
  <c r="AC20"/>
  <c r="AQ20" s="1"/>
  <c r="AB20"/>
  <c r="AP20" s="1"/>
  <c r="AA20"/>
  <c r="AO20" s="1"/>
  <c r="Z20"/>
  <c r="AN20" s="1"/>
  <c r="Y20"/>
  <c r="AM20" s="1"/>
  <c r="X20"/>
  <c r="AL20" s="1"/>
  <c r="W20"/>
  <c r="V20"/>
  <c r="U20"/>
  <c r="T20"/>
  <c r="L20"/>
  <c r="F20"/>
  <c r="AE19"/>
  <c r="AD19"/>
  <c r="AC19"/>
  <c r="AB19"/>
  <c r="AA19"/>
  <c r="Z19"/>
  <c r="Y19"/>
  <c r="X19"/>
  <c r="W19"/>
  <c r="V19"/>
  <c r="U19"/>
  <c r="T19"/>
  <c r="L19"/>
  <c r="F19"/>
  <c r="AE18"/>
  <c r="AD18"/>
  <c r="AC18"/>
  <c r="AB18"/>
  <c r="AA18"/>
  <c r="Z18"/>
  <c r="Y18"/>
  <c r="X18"/>
  <c r="W18"/>
  <c r="V18"/>
  <c r="U18"/>
  <c r="T18"/>
  <c r="L18"/>
  <c r="F18"/>
  <c r="AE17"/>
  <c r="AD17"/>
  <c r="AC17"/>
  <c r="AB17"/>
  <c r="AA17"/>
  <c r="Z17"/>
  <c r="Y17"/>
  <c r="X17"/>
  <c r="W17"/>
  <c r="V17"/>
  <c r="U17"/>
  <c r="T17"/>
  <c r="L17"/>
  <c r="F17"/>
  <c r="AE16"/>
  <c r="AD16"/>
  <c r="AC16"/>
  <c r="AB16"/>
  <c r="AA16"/>
  <c r="Z16"/>
  <c r="Y16"/>
  <c r="X16"/>
  <c r="W16"/>
  <c r="V16"/>
  <c r="U16"/>
  <c r="T16"/>
  <c r="L16"/>
  <c r="F16"/>
  <c r="AE15"/>
  <c r="AD15"/>
  <c r="AC15"/>
  <c r="AB15"/>
  <c r="AA15"/>
  <c r="Z15"/>
  <c r="Y15"/>
  <c r="X15"/>
  <c r="W15"/>
  <c r="V15"/>
  <c r="U15"/>
  <c r="T15"/>
  <c r="L15"/>
  <c r="F15"/>
  <c r="AE14"/>
  <c r="AD14"/>
  <c r="AC14"/>
  <c r="AB14"/>
  <c r="AA14"/>
  <c r="Z14"/>
  <c r="Y14"/>
  <c r="X14"/>
  <c r="W14"/>
  <c r="V14"/>
  <c r="U14"/>
  <c r="T14"/>
  <c r="L14"/>
  <c r="F14"/>
  <c r="AE13"/>
  <c r="AD13"/>
  <c r="AC13"/>
  <c r="AB13"/>
  <c r="AA13"/>
  <c r="Z13"/>
  <c r="Y13"/>
  <c r="X13"/>
  <c r="W13"/>
  <c r="V13"/>
  <c r="U13"/>
  <c r="T13"/>
  <c r="L13"/>
  <c r="F13"/>
  <c r="AE12"/>
  <c r="AD12"/>
  <c r="AC12"/>
  <c r="AB12"/>
  <c r="AA12"/>
  <c r="Z12"/>
  <c r="Y12"/>
  <c r="X12"/>
  <c r="W12"/>
  <c r="V12"/>
  <c r="U12"/>
  <c r="P13" l="1"/>
  <c r="P15"/>
  <c r="P17"/>
  <c r="Q17" s="1"/>
  <c r="P19"/>
  <c r="Q19" s="1"/>
  <c r="P21"/>
  <c r="Q21" s="1"/>
  <c r="P23"/>
  <c r="Q23" s="1"/>
  <c r="P14"/>
  <c r="P16"/>
  <c r="Q16" s="1"/>
  <c r="P18"/>
  <c r="Q18" s="1"/>
  <c r="P20"/>
  <c r="Q20" s="1"/>
  <c r="P22"/>
  <c r="Q22" s="1"/>
  <c r="P24"/>
  <c r="AJ19"/>
  <c r="AL19"/>
  <c r="AN19"/>
  <c r="AP19"/>
  <c r="AR19"/>
  <c r="AI19"/>
  <c r="AK19"/>
  <c r="AM19"/>
  <c r="AO19"/>
  <c r="AQ19"/>
  <c r="AS19"/>
  <c r="A1110" i="23"/>
  <c r="A1150" s="1"/>
  <c r="A1190" s="1"/>
  <c r="A1230"/>
  <c r="A1270" s="1"/>
  <c r="A1310" s="1"/>
  <c r="A1349"/>
  <c r="A1389"/>
  <c r="A1589"/>
  <c r="A1629" s="1"/>
  <c r="A1669" s="1"/>
  <c r="A1709" s="1"/>
  <c r="A1749" s="1"/>
  <c r="A1547"/>
  <c r="A1428"/>
  <c r="A1468" s="1"/>
  <c r="A1508"/>
  <c r="A991"/>
  <c r="A1031" s="1"/>
  <c r="A1071" s="1"/>
  <c r="P632"/>
  <c r="AE632" s="1"/>
  <c r="AT632" s="1"/>
  <c r="BI632" s="1"/>
  <c r="BX632" s="1"/>
  <c r="CM632" s="1"/>
  <c r="A392"/>
  <c r="A672" s="1"/>
  <c r="A712" s="1"/>
  <c r="A752" s="1"/>
  <c r="A792" s="1"/>
  <c r="A832" s="1"/>
  <c r="A872" s="1"/>
  <c r="A912" s="1"/>
  <c r="A952" s="1"/>
  <c r="P593"/>
  <c r="AD593" s="1"/>
  <c r="AS593" s="1"/>
  <c r="A515"/>
  <c r="A554"/>
  <c r="A594" s="1"/>
  <c r="A634" s="1"/>
  <c r="T130" i="22"/>
  <c r="L47"/>
  <c r="M47" s="1"/>
  <c r="Q13"/>
  <c r="Q15"/>
  <c r="Q14"/>
  <c r="AF17"/>
  <c r="AF18"/>
  <c r="S129"/>
  <c r="S176" s="1"/>
  <c r="AG176" s="1"/>
  <c r="U129"/>
  <c r="V129" s="1"/>
  <c r="W129" s="1"/>
  <c r="X129" s="1"/>
  <c r="Y129" s="1"/>
  <c r="Z129" s="1"/>
  <c r="AA129" s="1"/>
  <c r="AB129" s="1"/>
  <c r="AC129" s="1"/>
  <c r="AD129" s="1"/>
  <c r="AE129" s="1"/>
  <c r="AF13"/>
  <c r="AF15"/>
  <c r="AF14"/>
  <c r="AF16"/>
  <c r="AF19"/>
  <c r="AH19"/>
  <c r="AF20"/>
  <c r="AH20"/>
  <c r="AK20"/>
  <c r="F32"/>
  <c r="T12"/>
  <c r="L12"/>
  <c r="F12"/>
  <c r="P12" s="1"/>
  <c r="AE11"/>
  <c r="AD11"/>
  <c r="AC11"/>
  <c r="AB11"/>
  <c r="AA11"/>
  <c r="Z11"/>
  <c r="Y11"/>
  <c r="X11"/>
  <c r="W11"/>
  <c r="V11"/>
  <c r="U11"/>
  <c r="T11"/>
  <c r="L11"/>
  <c r="F11"/>
  <c r="P11" s="1"/>
  <c r="AE10"/>
  <c r="AD10"/>
  <c r="AC10"/>
  <c r="AB10"/>
  <c r="AA10"/>
  <c r="Z10"/>
  <c r="Y10"/>
  <c r="X10"/>
  <c r="W10"/>
  <c r="V10"/>
  <c r="U10"/>
  <c r="T10"/>
  <c r="L10"/>
  <c r="F10"/>
  <c r="P10" s="1"/>
  <c r="AE9"/>
  <c r="AD9"/>
  <c r="AC9"/>
  <c r="AB9"/>
  <c r="AA9"/>
  <c r="Z9"/>
  <c r="Y9"/>
  <c r="X9"/>
  <c r="W9"/>
  <c r="V9"/>
  <c r="U9"/>
  <c r="T9"/>
  <c r="L9"/>
  <c r="F9"/>
  <c r="P9" s="1"/>
  <c r="AS8"/>
  <c r="AR8"/>
  <c r="AQ8"/>
  <c r="AP8"/>
  <c r="AO8"/>
  <c r="AN8"/>
  <c r="AM8"/>
  <c r="AL8"/>
  <c r="AK8"/>
  <c r="AJ8"/>
  <c r="AI8"/>
  <c r="AH8"/>
  <c r="AF8"/>
  <c r="AS7"/>
  <c r="AR7"/>
  <c r="AQ7"/>
  <c r="AP7"/>
  <c r="AO7"/>
  <c r="AN7"/>
  <c r="AM7"/>
  <c r="AL7"/>
  <c r="AK7"/>
  <c r="AJ7"/>
  <c r="AI7"/>
  <c r="AH7"/>
  <c r="AF7"/>
  <c r="AT8" l="1"/>
  <c r="AT7"/>
  <c r="A1231" i="23"/>
  <c r="A1271" s="1"/>
  <c r="A1311" s="1"/>
  <c r="A1111"/>
  <c r="A1151" s="1"/>
  <c r="A1191" s="1"/>
  <c r="A1429"/>
  <c r="A1469" s="1"/>
  <c r="A1509"/>
  <c r="A1350"/>
  <c r="A1590"/>
  <c r="A1630" s="1"/>
  <c r="A1670" s="1"/>
  <c r="A1710" s="1"/>
  <c r="A1750" s="1"/>
  <c r="A1390"/>
  <c r="A1548"/>
  <c r="A992"/>
  <c r="A1032" s="1"/>
  <c r="A1072" s="1"/>
  <c r="P594"/>
  <c r="AD594" s="1"/>
  <c r="AS594" s="1"/>
  <c r="A516"/>
  <c r="A555"/>
  <c r="A595" s="1"/>
  <c r="A635" s="1"/>
  <c r="A393"/>
  <c r="A673" s="1"/>
  <c r="A713" s="1"/>
  <c r="A753" s="1"/>
  <c r="A793" s="1"/>
  <c r="A833" s="1"/>
  <c r="A873" s="1"/>
  <c r="A913" s="1"/>
  <c r="A953" s="1"/>
  <c r="P633"/>
  <c r="AE633" s="1"/>
  <c r="AT633" s="1"/>
  <c r="BI633" s="1"/>
  <c r="BX633" s="1"/>
  <c r="CM633" s="1"/>
  <c r="L48" i="22"/>
  <c r="M48" s="1"/>
  <c r="S130"/>
  <c r="S177" s="1"/>
  <c r="AG177" s="1"/>
  <c r="U130"/>
  <c r="V130" s="1"/>
  <c r="W130" s="1"/>
  <c r="X130" s="1"/>
  <c r="Y130" s="1"/>
  <c r="Z130" s="1"/>
  <c r="AA130" s="1"/>
  <c r="AB130" s="1"/>
  <c r="AC130" s="1"/>
  <c r="AD130" s="1"/>
  <c r="AE130" s="1"/>
  <c r="Q10"/>
  <c r="Q9"/>
  <c r="Q11"/>
  <c r="AH11"/>
  <c r="T131"/>
  <c r="AF9"/>
  <c r="AF11"/>
  <c r="Q12"/>
  <c r="AH12"/>
  <c r="AF12"/>
  <c r="AF10"/>
  <c r="AT19"/>
  <c r="AJ20"/>
  <c r="AD101" i="35"/>
  <c r="AB101"/>
  <c r="AA101"/>
  <c r="AD100"/>
  <c r="AB100"/>
  <c r="AA100"/>
  <c r="AD99"/>
  <c r="AB99"/>
  <c r="AA99"/>
  <c r="AD98"/>
  <c r="AB98"/>
  <c r="AA98"/>
  <c r="AD97"/>
  <c r="AB97"/>
  <c r="AA97"/>
  <c r="AD96"/>
  <c r="AB96"/>
  <c r="AA96"/>
  <c r="AD95"/>
  <c r="AB95"/>
  <c r="AA95"/>
  <c r="AD94"/>
  <c r="AB94"/>
  <c r="AA94"/>
  <c r="AD93"/>
  <c r="AB93"/>
  <c r="AA93"/>
  <c r="AD92"/>
  <c r="AB92"/>
  <c r="AA92"/>
  <c r="AD91"/>
  <c r="AB91"/>
  <c r="AA91"/>
  <c r="AD90"/>
  <c r="AB90"/>
  <c r="AA90"/>
  <c r="AD89"/>
  <c r="AB89"/>
  <c r="AA89"/>
  <c r="AD88"/>
  <c r="AB88"/>
  <c r="AA88"/>
  <c r="AD87"/>
  <c r="AB87"/>
  <c r="AA87"/>
  <c r="AD86"/>
  <c r="AB86"/>
  <c r="AA86"/>
  <c r="AD85"/>
  <c r="AB85"/>
  <c r="AA85"/>
  <c r="AD84"/>
  <c r="AB84"/>
  <c r="AA84"/>
  <c r="AD83"/>
  <c r="AB83"/>
  <c r="AA83"/>
  <c r="A1112" i="23" l="1"/>
  <c r="A1152" s="1"/>
  <c r="A1192" s="1"/>
  <c r="A1232"/>
  <c r="A1272" s="1"/>
  <c r="A1312" s="1"/>
  <c r="A1430"/>
  <c r="A1470" s="1"/>
  <c r="A1510"/>
  <c r="A1549"/>
  <c r="A1351"/>
  <c r="A1391"/>
  <c r="A1591"/>
  <c r="A1631" s="1"/>
  <c r="A1671" s="1"/>
  <c r="A1711" s="1"/>
  <c r="A1751" s="1"/>
  <c r="A993"/>
  <c r="A1033" s="1"/>
  <c r="A1073" s="1"/>
  <c r="A556"/>
  <c r="A596" s="1"/>
  <c r="A636" s="1"/>
  <c r="A517"/>
  <c r="P634"/>
  <c r="AE634" s="1"/>
  <c r="AT634" s="1"/>
  <c r="BI634" s="1"/>
  <c r="BX634" s="1"/>
  <c r="CM634" s="1"/>
  <c r="A394"/>
  <c r="A674" s="1"/>
  <c r="A714" s="1"/>
  <c r="A754" s="1"/>
  <c r="A794" s="1"/>
  <c r="A834" s="1"/>
  <c r="A874" s="1"/>
  <c r="A914" s="1"/>
  <c r="A954" s="1"/>
  <c r="P595"/>
  <c r="AD595" s="1"/>
  <c r="AS595" s="1"/>
  <c r="S131" i="22"/>
  <c r="S178" s="1"/>
  <c r="AG178" s="1"/>
  <c r="U131"/>
  <c r="V131" s="1"/>
  <c r="W131" s="1"/>
  <c r="X131" s="1"/>
  <c r="Y131" s="1"/>
  <c r="Z131" s="1"/>
  <c r="AA131" s="1"/>
  <c r="AB131" s="1"/>
  <c r="AC131" s="1"/>
  <c r="AD131" s="1"/>
  <c r="AE131" s="1"/>
  <c r="L49"/>
  <c r="M49" s="1"/>
  <c r="T132"/>
  <c r="AI20"/>
  <c r="AD82" i="35"/>
  <c r="AB82"/>
  <c r="AA82"/>
  <c r="AD81"/>
  <c r="AB81"/>
  <c r="AA81"/>
  <c r="AD80"/>
  <c r="AB80"/>
  <c r="AA80"/>
  <c r="AD79"/>
  <c r="AB79"/>
  <c r="AA79"/>
  <c r="A1113" i="23" l="1"/>
  <c r="A1153" s="1"/>
  <c r="A1193" s="1"/>
  <c r="A1233"/>
  <c r="A1273" s="1"/>
  <c r="A1313" s="1"/>
  <c r="A1431"/>
  <c r="A1471" s="1"/>
  <c r="A1511"/>
  <c r="A1352"/>
  <c r="A1392"/>
  <c r="A1592"/>
  <c r="A1632" s="1"/>
  <c r="A1672" s="1"/>
  <c r="A1712" s="1"/>
  <c r="A1752" s="1"/>
  <c r="A1550"/>
  <c r="A994"/>
  <c r="A1034" s="1"/>
  <c r="A1074" s="1"/>
  <c r="P635"/>
  <c r="AE635" s="1"/>
  <c r="AT635" s="1"/>
  <c r="BI635" s="1"/>
  <c r="BX635" s="1"/>
  <c r="CM635" s="1"/>
  <c r="A395"/>
  <c r="A675" s="1"/>
  <c r="A715" s="1"/>
  <c r="A755" s="1"/>
  <c r="A795" s="1"/>
  <c r="A835" s="1"/>
  <c r="A875" s="1"/>
  <c r="A915" s="1"/>
  <c r="A955" s="1"/>
  <c r="A557"/>
  <c r="A597" s="1"/>
  <c r="A637" s="1"/>
  <c r="A518"/>
  <c r="P596"/>
  <c r="AD596" s="1"/>
  <c r="AS596" s="1"/>
  <c r="S132" i="22"/>
  <c r="S179" s="1"/>
  <c r="AG179" s="1"/>
  <c r="U132"/>
  <c r="V132" s="1"/>
  <c r="W132" s="1"/>
  <c r="X132" s="1"/>
  <c r="Y132" s="1"/>
  <c r="Z132" s="1"/>
  <c r="AA132" s="1"/>
  <c r="AB132" s="1"/>
  <c r="AC132" s="1"/>
  <c r="AD132" s="1"/>
  <c r="AE132" s="1"/>
  <c r="T133"/>
  <c r="L50"/>
  <c r="M50" s="1"/>
  <c r="AT20"/>
  <c r="AD61" i="35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1432" i="23" l="1"/>
  <c r="A1472" s="1"/>
  <c r="A1512"/>
  <c r="A1551"/>
  <c r="A1353"/>
  <c r="A1393"/>
  <c r="A1593"/>
  <c r="A1633" s="1"/>
  <c r="A1673" s="1"/>
  <c r="A1713" s="1"/>
  <c r="A1753" s="1"/>
  <c r="A1114"/>
  <c r="A1154" s="1"/>
  <c r="A1194" s="1"/>
  <c r="A1234"/>
  <c r="A1274" s="1"/>
  <c r="A1314" s="1"/>
  <c r="A995"/>
  <c r="A1035" s="1"/>
  <c r="A1075" s="1"/>
  <c r="P636"/>
  <c r="AE636" s="1"/>
  <c r="AT636" s="1"/>
  <c r="BI636" s="1"/>
  <c r="BX636" s="1"/>
  <c r="CM636" s="1"/>
  <c r="A396"/>
  <c r="A676" s="1"/>
  <c r="A716" s="1"/>
  <c r="A756" s="1"/>
  <c r="A796" s="1"/>
  <c r="A836" s="1"/>
  <c r="A876" s="1"/>
  <c r="A916" s="1"/>
  <c r="A956" s="1"/>
  <c r="A558"/>
  <c r="A598" s="1"/>
  <c r="A638" s="1"/>
  <c r="P597"/>
  <c r="AD597" s="1"/>
  <c r="AS597" s="1"/>
  <c r="T134" i="22"/>
  <c r="L51"/>
  <c r="M51" s="1"/>
  <c r="S133"/>
  <c r="S180" s="1"/>
  <c r="AG180" s="1"/>
  <c r="U133"/>
  <c r="V133" s="1"/>
  <c r="W133" s="1"/>
  <c r="X133" s="1"/>
  <c r="Y133" s="1"/>
  <c r="Z133" s="1"/>
  <c r="AA133" s="1"/>
  <c r="AB133" s="1"/>
  <c r="AC133" s="1"/>
  <c r="AD133" s="1"/>
  <c r="AE133" s="1"/>
  <c r="A1115" i="23" l="1"/>
  <c r="A1155" s="1"/>
  <c r="A1195" s="1"/>
  <c r="A1235"/>
  <c r="A1275" s="1"/>
  <c r="A1315" s="1"/>
  <c r="A1433"/>
  <c r="A1473" s="1"/>
  <c r="A1513"/>
  <c r="A1552"/>
  <c r="A1354"/>
  <c r="A1594"/>
  <c r="A1634" s="1"/>
  <c r="A1674" s="1"/>
  <c r="A1714" s="1"/>
  <c r="A1754" s="1"/>
  <c r="A1394"/>
  <c r="A996"/>
  <c r="A1036" s="1"/>
  <c r="A1076" s="1"/>
  <c r="P598"/>
  <c r="AD598" s="1"/>
  <c r="AS598" s="1"/>
  <c r="P637"/>
  <c r="AE637" s="1"/>
  <c r="AT637" s="1"/>
  <c r="BI637" s="1"/>
  <c r="BX637" s="1"/>
  <c r="CM637" s="1"/>
  <c r="A397"/>
  <c r="A677" s="1"/>
  <c r="A717" s="1"/>
  <c r="A757" s="1"/>
  <c r="A797" s="1"/>
  <c r="A837" s="1"/>
  <c r="A877" s="1"/>
  <c r="A917" s="1"/>
  <c r="A957" s="1"/>
  <c r="T135" i="22"/>
  <c r="L52"/>
  <c r="M52" s="1"/>
  <c r="S134"/>
  <c r="S181" s="1"/>
  <c r="AG181" s="1"/>
  <c r="U134"/>
  <c r="V134" s="1"/>
  <c r="W134" s="1"/>
  <c r="X134" s="1"/>
  <c r="Y134" s="1"/>
  <c r="Z134" s="1"/>
  <c r="AA134" s="1"/>
  <c r="AB134" s="1"/>
  <c r="AC134" s="1"/>
  <c r="AD134" s="1"/>
  <c r="AE134" s="1"/>
  <c r="A1553" i="23" l="1"/>
  <c r="A1355"/>
  <c r="A1595"/>
  <c r="A1635" s="1"/>
  <c r="A1675" s="1"/>
  <c r="A1715" s="1"/>
  <c r="A1755" s="1"/>
  <c r="A1395"/>
  <c r="A1116"/>
  <c r="A1156" s="1"/>
  <c r="A1196" s="1"/>
  <c r="A1236"/>
  <c r="A1276" s="1"/>
  <c r="A1316" s="1"/>
  <c r="A1434"/>
  <c r="A1474" s="1"/>
  <c r="A1514"/>
  <c r="A997"/>
  <c r="A1037" s="1"/>
  <c r="A1077" s="1"/>
  <c r="A398"/>
  <c r="A678" s="1"/>
  <c r="A718" s="1"/>
  <c r="A758" s="1"/>
  <c r="A798" s="1"/>
  <c r="A838" s="1"/>
  <c r="A878" s="1"/>
  <c r="A918" s="1"/>
  <c r="A958" s="1"/>
  <c r="P638"/>
  <c r="AE638" s="1"/>
  <c r="AT638" s="1"/>
  <c r="BI638" s="1"/>
  <c r="BX638" s="1"/>
  <c r="CM638" s="1"/>
  <c r="T136" i="22"/>
  <c r="L53"/>
  <c r="M53" s="1"/>
  <c r="S135"/>
  <c r="S182" s="1"/>
  <c r="AG182" s="1"/>
  <c r="U135"/>
  <c r="V135" s="1"/>
  <c r="W135" s="1"/>
  <c r="X135" s="1"/>
  <c r="Y135" s="1"/>
  <c r="Z135" s="1"/>
  <c r="AA135" s="1"/>
  <c r="AB135" s="1"/>
  <c r="AC135" s="1"/>
  <c r="AD135" s="1"/>
  <c r="AE135" s="1"/>
  <c r="D43" i="35"/>
  <c r="AC101" s="1"/>
  <c r="D42"/>
  <c r="AC100" s="1"/>
  <c r="AH41"/>
  <c r="AG41"/>
  <c r="AD41"/>
  <c r="N41"/>
  <c r="D41"/>
  <c r="AC99" s="1"/>
  <c r="AH40"/>
  <c r="AG40"/>
  <c r="AD40"/>
  <c r="AH38"/>
  <c r="J40"/>
  <c r="O40" s="1"/>
  <c r="D40"/>
  <c r="AC98" s="1"/>
  <c r="AG39"/>
  <c r="AD39"/>
  <c r="AH37"/>
  <c r="AG37"/>
  <c r="D39"/>
  <c r="AG38"/>
  <c r="AD38"/>
  <c r="V38"/>
  <c r="D38"/>
  <c r="AC97" s="1"/>
  <c r="AD37"/>
  <c r="D37"/>
  <c r="AC96" s="1"/>
  <c r="AH36"/>
  <c r="AD36"/>
  <c r="D36"/>
  <c r="AC95" s="1"/>
  <c r="AH35"/>
  <c r="AG35"/>
  <c r="AD35"/>
  <c r="J35"/>
  <c r="O35" s="1"/>
  <c r="D35"/>
  <c r="AC94" s="1"/>
  <c r="AG34"/>
  <c r="AD34"/>
  <c r="D34"/>
  <c r="AC93" s="1"/>
  <c r="AG33"/>
  <c r="AD33"/>
  <c r="D33"/>
  <c r="AC92" s="1"/>
  <c r="AH32"/>
  <c r="AG32"/>
  <c r="AD32"/>
  <c r="D32"/>
  <c r="AC91" s="1"/>
  <c r="AH31"/>
  <c r="AG31"/>
  <c r="AD31"/>
  <c r="R31"/>
  <c r="U45" s="1"/>
  <c r="D31"/>
  <c r="AC90" s="1"/>
  <c r="AD30"/>
  <c r="AH28"/>
  <c r="R30"/>
  <c r="J30"/>
  <c r="O30" s="1"/>
  <c r="D30"/>
  <c r="AD29"/>
  <c r="AH27"/>
  <c r="U29"/>
  <c r="D29"/>
  <c r="AG28"/>
  <c r="AD28"/>
  <c r="P28"/>
  <c r="AF89" s="1"/>
  <c r="D28"/>
  <c r="AC89" s="1"/>
  <c r="AG27"/>
  <c r="AD27"/>
  <c r="P27"/>
  <c r="D27"/>
  <c r="AH26"/>
  <c r="AG26"/>
  <c r="AD26"/>
  <c r="AH88"/>
  <c r="AG88"/>
  <c r="P26"/>
  <c r="AF88" s="1"/>
  <c r="D26"/>
  <c r="AC88" s="1"/>
  <c r="AH25"/>
  <c r="AG25"/>
  <c r="AD25"/>
  <c r="AH87"/>
  <c r="AG87"/>
  <c r="P25"/>
  <c r="D25"/>
  <c r="AC87" s="1"/>
  <c r="AH24"/>
  <c r="AG24"/>
  <c r="AD24"/>
  <c r="AH86"/>
  <c r="AG86"/>
  <c r="P24"/>
  <c r="AF86" s="1"/>
  <c r="D24"/>
  <c r="AC86" s="1"/>
  <c r="AH23"/>
  <c r="AG23"/>
  <c r="AD23"/>
  <c r="AH85"/>
  <c r="AG85"/>
  <c r="P23"/>
  <c r="AF85" s="1"/>
  <c r="J23"/>
  <c r="O23" s="1"/>
  <c r="D23"/>
  <c r="AC85" s="1"/>
  <c r="AH22"/>
  <c r="AG22"/>
  <c r="AD22"/>
  <c r="P22"/>
  <c r="J22"/>
  <c r="D22"/>
  <c r="AH21"/>
  <c r="AG21"/>
  <c r="AD21"/>
  <c r="AH84"/>
  <c r="AG84"/>
  <c r="P21"/>
  <c r="AF84" s="1"/>
  <c r="J21"/>
  <c r="D21"/>
  <c r="AC84" s="1"/>
  <c r="AH20"/>
  <c r="AG20"/>
  <c r="AD20"/>
  <c r="AH83"/>
  <c r="AG83"/>
  <c r="P20"/>
  <c r="D20"/>
  <c r="AC83" s="1"/>
  <c r="AH19"/>
  <c r="AG19"/>
  <c r="AD19"/>
  <c r="P19"/>
  <c r="U19" s="1"/>
  <c r="D19"/>
  <c r="AD18"/>
  <c r="BC18" s="1"/>
  <c r="AH82"/>
  <c r="AG82"/>
  <c r="P18"/>
  <c r="D18"/>
  <c r="AC82" s="1"/>
  <c r="AD17"/>
  <c r="AH81"/>
  <c r="AG81"/>
  <c r="P17"/>
  <c r="AF81" s="1"/>
  <c r="D17"/>
  <c r="AC81" s="1"/>
  <c r="AD16"/>
  <c r="AH80"/>
  <c r="AG80"/>
  <c r="P16"/>
  <c r="AF80" s="1"/>
  <c r="D16"/>
  <c r="AC80" s="1"/>
  <c r="AD15"/>
  <c r="AH79"/>
  <c r="AG79"/>
  <c r="P15"/>
  <c r="AF79" s="1"/>
  <c r="J15"/>
  <c r="D15"/>
  <c r="AC79" s="1"/>
  <c r="BG14"/>
  <c r="AD14"/>
  <c r="AH14"/>
  <c r="AG14"/>
  <c r="P14"/>
  <c r="D14"/>
  <c r="BG13"/>
  <c r="AD13"/>
  <c r="AH13"/>
  <c r="AG13"/>
  <c r="P13"/>
  <c r="D13"/>
  <c r="P12"/>
  <c r="U12" s="1"/>
  <c r="D12"/>
  <c r="P11"/>
  <c r="U11" s="1"/>
  <c r="D11"/>
  <c r="P10"/>
  <c r="U10" s="1"/>
  <c r="D10"/>
  <c r="P9"/>
  <c r="U9" s="1"/>
  <c r="D9"/>
  <c r="P8"/>
  <c r="U8" s="1"/>
  <c r="D8"/>
  <c r="D43" i="34"/>
  <c r="U20" i="35" l="1"/>
  <c r="AF83"/>
  <c r="U25"/>
  <c r="AF24" s="1"/>
  <c r="AF87"/>
  <c r="U18"/>
  <c r="AF82"/>
  <c r="J19"/>
  <c r="J24"/>
  <c r="O24" s="1"/>
  <c r="A1554" i="23"/>
  <c r="A1356"/>
  <c r="A1396"/>
  <c r="A1596"/>
  <c r="A1636" s="1"/>
  <c r="A1676" s="1"/>
  <c r="A1716" s="1"/>
  <c r="A1756" s="1"/>
  <c r="A1435"/>
  <c r="A1475" s="1"/>
  <c r="A1515"/>
  <c r="A1237"/>
  <c r="A1277" s="1"/>
  <c r="A1317" s="1"/>
  <c r="A1117"/>
  <c r="A1157" s="1"/>
  <c r="A1197" s="1"/>
  <c r="A998"/>
  <c r="A1038" s="1"/>
  <c r="A1078" s="1"/>
  <c r="L54" i="22"/>
  <c r="M54" s="1"/>
  <c r="S136"/>
  <c r="S183" s="1"/>
  <c r="AG183" s="1"/>
  <c r="U136"/>
  <c r="V136" s="1"/>
  <c r="W136" s="1"/>
  <c r="X136" s="1"/>
  <c r="Y136" s="1"/>
  <c r="Z136" s="1"/>
  <c r="AA136" s="1"/>
  <c r="AB136" s="1"/>
  <c r="AC136" s="1"/>
  <c r="AD136" s="1"/>
  <c r="AE136" s="1"/>
  <c r="T137"/>
  <c r="J16" i="35"/>
  <c r="J17"/>
  <c r="AG29"/>
  <c r="AH30"/>
  <c r="J33"/>
  <c r="O33" s="1"/>
  <c r="AH33"/>
  <c r="AG36"/>
  <c r="J13"/>
  <c r="J14"/>
  <c r="J18"/>
  <c r="AH29"/>
  <c r="AG30"/>
  <c r="J32"/>
  <c r="O32" s="1"/>
  <c r="J34"/>
  <c r="O34" s="1"/>
  <c r="AH34"/>
  <c r="AH39"/>
  <c r="AH16"/>
  <c r="J31"/>
  <c r="O31" s="1"/>
  <c r="J36"/>
  <c r="O36" s="1"/>
  <c r="J37"/>
  <c r="O37" s="1"/>
  <c r="J38"/>
  <c r="O38" s="1"/>
  <c r="J39"/>
  <c r="O39" s="1"/>
  <c r="J41"/>
  <c r="O41" s="1"/>
  <c r="AH15"/>
  <c r="AH17"/>
  <c r="J20"/>
  <c r="J25"/>
  <c r="O25" s="1"/>
  <c r="J26"/>
  <c r="O26" s="1"/>
  <c r="J27"/>
  <c r="O27" s="1"/>
  <c r="J28"/>
  <c r="O28" s="1"/>
  <c r="J29"/>
  <c r="O29" s="1"/>
  <c r="Y74"/>
  <c r="AG18"/>
  <c r="AF19"/>
  <c r="M23"/>
  <c r="M35"/>
  <c r="X74"/>
  <c r="AG15"/>
  <c r="AG16"/>
  <c r="AG17"/>
  <c r="AH18"/>
  <c r="M21"/>
  <c r="M22"/>
  <c r="M30"/>
  <c r="Z74"/>
  <c r="U16"/>
  <c r="AF16" s="1"/>
  <c r="U22"/>
  <c r="AF21" s="1"/>
  <c r="AE21" s="1"/>
  <c r="BE21" s="1"/>
  <c r="U23"/>
  <c r="AF22" s="1"/>
  <c r="U27"/>
  <c r="AF27"/>
  <c r="R63"/>
  <c r="R62"/>
  <c r="R60"/>
  <c r="R58"/>
  <c r="R55"/>
  <c r="R53"/>
  <c r="R51"/>
  <c r="R49"/>
  <c r="R47"/>
  <c r="R61"/>
  <c r="R59"/>
  <c r="R57"/>
  <c r="R56"/>
  <c r="R54"/>
  <c r="R52"/>
  <c r="R50"/>
  <c r="R48"/>
  <c r="R46"/>
  <c r="U13"/>
  <c r="AF13" s="1"/>
  <c r="U14"/>
  <c r="AF14" s="1"/>
  <c r="U15"/>
  <c r="AF15" s="1"/>
  <c r="U17"/>
  <c r="AF17" s="1"/>
  <c r="U21"/>
  <c r="AF20" s="1"/>
  <c r="U24"/>
  <c r="U26"/>
  <c r="U28"/>
  <c r="W29" s="1"/>
  <c r="AF18"/>
  <c r="D42" i="34"/>
  <c r="M16" i="35" l="1"/>
  <c r="M20"/>
  <c r="M18"/>
  <c r="AE82"/>
  <c r="M17"/>
  <c r="M19"/>
  <c r="M37"/>
  <c r="M27"/>
  <c r="M32"/>
  <c r="M33"/>
  <c r="M26"/>
  <c r="AE25"/>
  <c r="M29"/>
  <c r="M25"/>
  <c r="AE87"/>
  <c r="M41"/>
  <c r="AE99"/>
  <c r="M36"/>
  <c r="M24"/>
  <c r="AE23"/>
  <c r="M28"/>
  <c r="AE89"/>
  <c r="M31"/>
  <c r="M34"/>
  <c r="AH62"/>
  <c r="AH122"/>
  <c r="AH123"/>
  <c r="AH124"/>
  <c r="AH125"/>
  <c r="AH126"/>
  <c r="AH127"/>
  <c r="AH128"/>
  <c r="AH129"/>
  <c r="AH63"/>
  <c r="AA27"/>
  <c r="AG63"/>
  <c r="AG62"/>
  <c r="AG122"/>
  <c r="AG123"/>
  <c r="AG124"/>
  <c r="AG125"/>
  <c r="AG126"/>
  <c r="AG127"/>
  <c r="AG128"/>
  <c r="AG129"/>
  <c r="A1118" i="23"/>
  <c r="A1158" s="1"/>
  <c r="A1198" s="1"/>
  <c r="A1238"/>
  <c r="A1278" s="1"/>
  <c r="A1318" s="1"/>
  <c r="A1357"/>
  <c r="A1597"/>
  <c r="A1637" s="1"/>
  <c r="A1677" s="1"/>
  <c r="A1717" s="1"/>
  <c r="A1757" s="1"/>
  <c r="A1397"/>
  <c r="A1555"/>
  <c r="A1436"/>
  <c r="A1476" s="1"/>
  <c r="A1516"/>
  <c r="S137" i="22"/>
  <c r="S184" s="1"/>
  <c r="AG184" s="1"/>
  <c r="U137"/>
  <c r="V137" s="1"/>
  <c r="W137" s="1"/>
  <c r="X137" s="1"/>
  <c r="Y137" s="1"/>
  <c r="Z137" s="1"/>
  <c r="AA137" s="1"/>
  <c r="AB137" s="1"/>
  <c r="AC137" s="1"/>
  <c r="AD137" s="1"/>
  <c r="AE137" s="1"/>
  <c r="T138"/>
  <c r="AE28" i="35"/>
  <c r="AE86"/>
  <c r="AE84"/>
  <c r="AE20"/>
  <c r="AE27"/>
  <c r="AE85"/>
  <c r="AE22"/>
  <c r="BE22" s="1"/>
  <c r="AE18"/>
  <c r="AE81"/>
  <c r="AE17"/>
  <c r="AE80"/>
  <c r="AE16"/>
  <c r="AA29"/>
  <c r="W27"/>
  <c r="AE83"/>
  <c r="AE19"/>
  <c r="AQ19" s="1"/>
  <c r="AG117"/>
  <c r="AG113"/>
  <c r="AG110"/>
  <c r="AG107"/>
  <c r="AG105"/>
  <c r="AG103"/>
  <c r="AG121"/>
  <c r="AG120"/>
  <c r="AG119"/>
  <c r="AG118"/>
  <c r="AG116"/>
  <c r="AG115"/>
  <c r="AG114"/>
  <c r="AG112"/>
  <c r="AG111"/>
  <c r="AG109"/>
  <c r="AG108"/>
  <c r="AG106"/>
  <c r="AG104"/>
  <c r="AG60"/>
  <c r="AG58"/>
  <c r="AG56"/>
  <c r="AG54"/>
  <c r="AG52"/>
  <c r="AG50"/>
  <c r="AG61"/>
  <c r="AG59"/>
  <c r="AG57"/>
  <c r="AG55"/>
  <c r="AG53"/>
  <c r="AG51"/>
  <c r="AG49"/>
  <c r="AG47"/>
  <c r="AG45"/>
  <c r="AG43"/>
  <c r="AG48"/>
  <c r="AG46"/>
  <c r="AG44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61"/>
  <c r="AH59"/>
  <c r="AH57"/>
  <c r="AH55"/>
  <c r="AH53"/>
  <c r="AH51"/>
  <c r="AH49"/>
  <c r="AH47"/>
  <c r="AH43"/>
  <c r="AH60"/>
  <c r="AH58"/>
  <c r="AH56"/>
  <c r="AH54"/>
  <c r="AH52"/>
  <c r="AH50"/>
  <c r="AH48"/>
  <c r="AH46"/>
  <c r="AH44"/>
  <c r="AH45"/>
  <c r="AF23"/>
  <c r="AA24"/>
  <c r="AA28"/>
  <c r="W28"/>
  <c r="AF26"/>
  <c r="AA26"/>
  <c r="AF25"/>
  <c r="AA25"/>
  <c r="N41" i="34"/>
  <c r="D41"/>
  <c r="D40"/>
  <c r="D39"/>
  <c r="BC38" s="1"/>
  <c r="V38"/>
  <c r="D38"/>
  <c r="D37"/>
  <c r="D36"/>
  <c r="D35"/>
  <c r="BC34" s="1"/>
  <c r="D34"/>
  <c r="AE39" i="35" l="1"/>
  <c r="AE26"/>
  <c r="BE26" s="1"/>
  <c r="AE24"/>
  <c r="BE24" s="1"/>
  <c r="AE88"/>
  <c r="AQ88" s="1"/>
  <c r="AQ83"/>
  <c r="BC36" i="34"/>
  <c r="BC35"/>
  <c r="BC37"/>
  <c r="AQ87" i="35"/>
  <c r="AQ81"/>
  <c r="BE85"/>
  <c r="AQ85"/>
  <c r="AQ84"/>
  <c r="AQ86"/>
  <c r="AQ82"/>
  <c r="A1556" i="23"/>
  <c r="A1437"/>
  <c r="A1477" s="1"/>
  <c r="A1517"/>
  <c r="A1358"/>
  <c r="A1398"/>
  <c r="S138" i="22"/>
  <c r="S185" s="1"/>
  <c r="AG185" s="1"/>
  <c r="U138"/>
  <c r="V138" s="1"/>
  <c r="W138" s="1"/>
  <c r="X138" s="1"/>
  <c r="Y138" s="1"/>
  <c r="Z138" s="1"/>
  <c r="AA138" s="1"/>
  <c r="AB138" s="1"/>
  <c r="AC138" s="1"/>
  <c r="AD138" s="1"/>
  <c r="AE138" s="1"/>
  <c r="J34" i="34"/>
  <c r="O34" s="1"/>
  <c r="J37"/>
  <c r="O37" s="1"/>
  <c r="J38"/>
  <c r="O38" s="1"/>
  <c r="J39"/>
  <c r="O39" s="1"/>
  <c r="J40"/>
  <c r="O40" s="1"/>
  <c r="J41"/>
  <c r="O41" s="1"/>
  <c r="AQ23" i="35"/>
  <c r="AQ28"/>
  <c r="J35" i="34"/>
  <c r="O35" s="1"/>
  <c r="J36"/>
  <c r="O36" s="1"/>
  <c r="BE16" i="35"/>
  <c r="AQ17"/>
  <c r="BE17"/>
  <c r="BE18"/>
  <c r="AQ18"/>
  <c r="BE20"/>
  <c r="AQ20"/>
  <c r="BE25"/>
  <c r="BE39"/>
  <c r="BE99"/>
  <c r="AG33" i="34"/>
  <c r="AD33"/>
  <c r="D33"/>
  <c r="AG32"/>
  <c r="AD32"/>
  <c r="D32"/>
  <c r="AG31"/>
  <c r="AD31"/>
  <c r="R31"/>
  <c r="D31"/>
  <c r="AG30"/>
  <c r="AD30"/>
  <c r="R30"/>
  <c r="J30"/>
  <c r="O30" s="1"/>
  <c r="D30"/>
  <c r="AG29"/>
  <c r="AD29"/>
  <c r="U29"/>
  <c r="D29"/>
  <c r="AG28"/>
  <c r="AD28"/>
  <c r="P28"/>
  <c r="U28" s="1"/>
  <c r="D28"/>
  <c r="AD27"/>
  <c r="AG21"/>
  <c r="P27"/>
  <c r="AF21" s="1"/>
  <c r="D27"/>
  <c r="AG26"/>
  <c r="AD26"/>
  <c r="P26"/>
  <c r="D26"/>
  <c r="AG25"/>
  <c r="AD25"/>
  <c r="P25"/>
  <c r="J25"/>
  <c r="O25" s="1"/>
  <c r="D25"/>
  <c r="AG24"/>
  <c r="AD24"/>
  <c r="P24"/>
  <c r="J24"/>
  <c r="O24" s="1"/>
  <c r="D24"/>
  <c r="AD23"/>
  <c r="P23"/>
  <c r="J23"/>
  <c r="O23" s="1"/>
  <c r="D23"/>
  <c r="AG22"/>
  <c r="AD22"/>
  <c r="P22"/>
  <c r="AF19" s="1"/>
  <c r="J22"/>
  <c r="D22"/>
  <c r="AD21"/>
  <c r="P21"/>
  <c r="AF18" s="1"/>
  <c r="D21"/>
  <c r="AG20"/>
  <c r="AD20"/>
  <c r="P20"/>
  <c r="D20"/>
  <c r="AG19"/>
  <c r="AD19"/>
  <c r="P19"/>
  <c r="AF17" s="1"/>
  <c r="D19"/>
  <c r="AD18"/>
  <c r="P18"/>
  <c r="AF16" s="1"/>
  <c r="D18"/>
  <c r="AG17"/>
  <c r="AD17"/>
  <c r="P17"/>
  <c r="D17"/>
  <c r="AG16"/>
  <c r="AD16"/>
  <c r="P16"/>
  <c r="D16"/>
  <c r="AD15"/>
  <c r="AG15"/>
  <c r="P15"/>
  <c r="D15"/>
  <c r="AD14"/>
  <c r="P14"/>
  <c r="U14" s="1"/>
  <c r="D14"/>
  <c r="BC13" s="1"/>
  <c r="AD13"/>
  <c r="P13"/>
  <c r="U13" s="1"/>
  <c r="D13"/>
  <c r="P12"/>
  <c r="U12" s="1"/>
  <c r="D12"/>
  <c r="P11"/>
  <c r="U11" s="1"/>
  <c r="D11"/>
  <c r="P10"/>
  <c r="U10" s="1"/>
  <c r="D10"/>
  <c r="P9"/>
  <c r="U9" s="1"/>
  <c r="D9"/>
  <c r="P8"/>
  <c r="U8" s="1"/>
  <c r="D8"/>
  <c r="AD63" i="3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Q89" i="35" l="1"/>
  <c r="AQ24"/>
  <c r="AQ25"/>
  <c r="U15" i="34"/>
  <c r="AF15"/>
  <c r="U23"/>
  <c r="AF20"/>
  <c r="AQ27" i="35"/>
  <c r="AQ26"/>
  <c r="M41" i="34"/>
  <c r="M39"/>
  <c r="M37"/>
  <c r="M40"/>
  <c r="M34"/>
  <c r="BC14"/>
  <c r="W29"/>
  <c r="J17"/>
  <c r="J18"/>
  <c r="J19"/>
  <c r="J20"/>
  <c r="J21"/>
  <c r="A1518" i="23"/>
  <c r="A1558" s="1"/>
  <c r="A1598" s="1"/>
  <c r="A1638" s="1"/>
  <c r="A1678" s="1"/>
  <c r="A1718" s="1"/>
  <c r="A1758" s="1"/>
  <c r="A1438"/>
  <c r="A1478" s="1"/>
  <c r="A1557"/>
  <c r="J31" i="34"/>
  <c r="O31" s="1"/>
  <c r="J32"/>
  <c r="O32" s="1"/>
  <c r="J13"/>
  <c r="J14"/>
  <c r="J15"/>
  <c r="J16"/>
  <c r="J26"/>
  <c r="O26" s="1"/>
  <c r="J27"/>
  <c r="O27" s="1"/>
  <c r="J28"/>
  <c r="O28" s="1"/>
  <c r="J29"/>
  <c r="O29" s="1"/>
  <c r="AG53"/>
  <c r="AA74"/>
  <c r="J33"/>
  <c r="O33" s="1"/>
  <c r="X74"/>
  <c r="Z74"/>
  <c r="AG38"/>
  <c r="M17"/>
  <c r="M22"/>
  <c r="M23"/>
  <c r="M25"/>
  <c r="M30"/>
  <c r="M24"/>
  <c r="U21"/>
  <c r="U27"/>
  <c r="U16"/>
  <c r="U17"/>
  <c r="U18"/>
  <c r="U19"/>
  <c r="U20"/>
  <c r="U22"/>
  <c r="U24"/>
  <c r="U25"/>
  <c r="U26"/>
  <c r="R63"/>
  <c r="R62"/>
  <c r="R61"/>
  <c r="R60"/>
  <c r="R59"/>
  <c r="R52"/>
  <c r="R51"/>
  <c r="R50"/>
  <c r="R49"/>
  <c r="R48"/>
  <c r="R47"/>
  <c r="R46"/>
  <c r="R45"/>
  <c r="R58"/>
  <c r="R57"/>
  <c r="R56"/>
  <c r="R55"/>
  <c r="R54"/>
  <c r="R53"/>
  <c r="AD43" i="33"/>
  <c r="D43"/>
  <c r="M19" i="34" l="1"/>
  <c r="AE17"/>
  <c r="M21"/>
  <c r="M20"/>
  <c r="M18"/>
  <c r="AE16"/>
  <c r="M27"/>
  <c r="AE21"/>
  <c r="M29"/>
  <c r="AE22"/>
  <c r="M26"/>
  <c r="M32"/>
  <c r="M33"/>
  <c r="M28"/>
  <c r="M31"/>
  <c r="AE18"/>
  <c r="BE18" s="1"/>
  <c r="AG46"/>
  <c r="AG42"/>
  <c r="AG50"/>
  <c r="AE20"/>
  <c r="AG36"/>
  <c r="AG40"/>
  <c r="AG44"/>
  <c r="AG48"/>
  <c r="AG52"/>
  <c r="AG37"/>
  <c r="AG39"/>
  <c r="AG41"/>
  <c r="AG43"/>
  <c r="AG45"/>
  <c r="AG47"/>
  <c r="AG49"/>
  <c r="AG51"/>
  <c r="W28"/>
  <c r="AE19"/>
  <c r="W27"/>
  <c r="AD42" i="33"/>
  <c r="N42"/>
  <c r="D42"/>
  <c r="AP18" i="34" l="1"/>
  <c r="AP20"/>
  <c r="AP17"/>
  <c r="BE17"/>
  <c r="AP21"/>
  <c r="BE21"/>
  <c r="BE19"/>
  <c r="AP19"/>
  <c r="AP22"/>
  <c r="BE16"/>
  <c r="AD41" i="33"/>
  <c r="N41"/>
  <c r="D41"/>
  <c r="AD40"/>
  <c r="D40"/>
  <c r="AD39"/>
  <c r="D39"/>
  <c r="AD38"/>
  <c r="V38"/>
  <c r="D38"/>
  <c r="AD37"/>
  <c r="D37"/>
  <c r="AD36"/>
  <c r="D36"/>
  <c r="AI35"/>
  <c r="AD35"/>
  <c r="D35"/>
  <c r="AD34"/>
  <c r="D34"/>
  <c r="AD33"/>
  <c r="D33"/>
  <c r="AD32"/>
  <c r="D32"/>
  <c r="AD31"/>
  <c r="R31"/>
  <c r="U45" s="1"/>
  <c r="J31"/>
  <c r="O31" s="1"/>
  <c r="D31"/>
  <c r="AD30"/>
  <c r="R30"/>
  <c r="D30"/>
  <c r="AD29"/>
  <c r="U29"/>
  <c r="D29"/>
  <c r="AD28"/>
  <c r="P28"/>
  <c r="AF28" s="1"/>
  <c r="J28"/>
  <c r="O28" s="1"/>
  <c r="D28"/>
  <c r="AD27"/>
  <c r="P27"/>
  <c r="AF27" s="1"/>
  <c r="D27"/>
  <c r="AD26"/>
  <c r="P26"/>
  <c r="AF26" s="1"/>
  <c r="J26"/>
  <c r="O26" s="1"/>
  <c r="D26"/>
  <c r="AD25"/>
  <c r="P25"/>
  <c r="AF25" s="1"/>
  <c r="D25"/>
  <c r="AD24"/>
  <c r="P24"/>
  <c r="AF24" s="1"/>
  <c r="J24"/>
  <c r="O24" s="1"/>
  <c r="D24"/>
  <c r="AD23"/>
  <c r="P23"/>
  <c r="AF23" s="1"/>
  <c r="D23"/>
  <c r="AD22"/>
  <c r="P22"/>
  <c r="AF22" s="1"/>
  <c r="J22"/>
  <c r="D22"/>
  <c r="AD21"/>
  <c r="P21"/>
  <c r="AF21" s="1"/>
  <c r="D21"/>
  <c r="AD20"/>
  <c r="P20"/>
  <c r="AF20" s="1"/>
  <c r="J20"/>
  <c r="D20"/>
  <c r="AD19"/>
  <c r="P19"/>
  <c r="AF19" s="1"/>
  <c r="D19"/>
  <c r="AD18"/>
  <c r="P18"/>
  <c r="AF18" s="1"/>
  <c r="J18"/>
  <c r="D18"/>
  <c r="AD17"/>
  <c r="P17"/>
  <c r="AF17" s="1"/>
  <c r="J17"/>
  <c r="D17"/>
  <c r="AD16"/>
  <c r="P16"/>
  <c r="AF16" s="1"/>
  <c r="J16"/>
  <c r="D16"/>
  <c r="AD15"/>
  <c r="P15"/>
  <c r="D15"/>
  <c r="AD14"/>
  <c r="X74"/>
  <c r="P14"/>
  <c r="AF14" s="1"/>
  <c r="D14"/>
  <c r="U15" l="1"/>
  <c r="AF15"/>
  <c r="J36"/>
  <c r="O36" s="1"/>
  <c r="J33"/>
  <c r="O33" s="1"/>
  <c r="J34"/>
  <c r="O34" s="1"/>
  <c r="J37"/>
  <c r="O37" s="1"/>
  <c r="J38"/>
  <c r="O38" s="1"/>
  <c r="J14"/>
  <c r="J15"/>
  <c r="J19"/>
  <c r="J21"/>
  <c r="J23"/>
  <c r="O23" s="1"/>
  <c r="J25"/>
  <c r="O25" s="1"/>
  <c r="J27"/>
  <c r="O27" s="1"/>
  <c r="J29"/>
  <c r="O29" s="1"/>
  <c r="J30"/>
  <c r="O30" s="1"/>
  <c r="J32"/>
  <c r="O32" s="1"/>
  <c r="J35"/>
  <c r="O35" s="1"/>
  <c r="J39"/>
  <c r="O39" s="1"/>
  <c r="J40"/>
  <c r="O40" s="1"/>
  <c r="J41"/>
  <c r="O41" s="1"/>
  <c r="Y74"/>
  <c r="M18"/>
  <c r="M20"/>
  <c r="M22"/>
  <c r="M24"/>
  <c r="M26"/>
  <c r="M28"/>
  <c r="M31"/>
  <c r="U14"/>
  <c r="U16"/>
  <c r="U17"/>
  <c r="U18"/>
  <c r="U19"/>
  <c r="U20"/>
  <c r="U21"/>
  <c r="U22"/>
  <c r="U23"/>
  <c r="U24"/>
  <c r="U25"/>
  <c r="U26"/>
  <c r="U27"/>
  <c r="U28"/>
  <c r="M21" l="1"/>
  <c r="M19"/>
  <c r="M39"/>
  <c r="M41"/>
  <c r="M32"/>
  <c r="M25"/>
  <c r="M34"/>
  <c r="M27"/>
  <c r="M40"/>
  <c r="M30"/>
  <c r="M23"/>
  <c r="AE23"/>
  <c r="M33"/>
  <c r="M35"/>
  <c r="M29"/>
  <c r="AE29"/>
  <c r="M38"/>
  <c r="M36"/>
  <c r="AE20"/>
  <c r="AG64"/>
  <c r="AG66"/>
  <c r="AG68"/>
  <c r="AG70"/>
  <c r="AG72"/>
  <c r="AG65"/>
  <c r="AG67"/>
  <c r="AG69"/>
  <c r="AG71"/>
  <c r="AG73"/>
  <c r="AE26"/>
  <c r="AE22"/>
  <c r="AE18"/>
  <c r="AE24"/>
  <c r="AG63"/>
  <c r="AG62"/>
  <c r="AG61"/>
  <c r="AG60"/>
  <c r="AG59"/>
  <c r="AG58"/>
  <c r="AG57"/>
  <c r="AG56"/>
  <c r="AG55"/>
  <c r="AG54"/>
  <c r="AG53"/>
  <c r="AG49"/>
  <c r="AG48"/>
  <c r="AG52"/>
  <c r="AG51"/>
  <c r="AG50"/>
  <c r="AG47"/>
  <c r="AG46"/>
  <c r="AE25"/>
  <c r="AE21"/>
  <c r="AE19"/>
  <c r="W29"/>
  <c r="AE28"/>
  <c r="W28"/>
  <c r="AE27"/>
  <c r="W27"/>
  <c r="AD13"/>
  <c r="P13"/>
  <c r="AF13" s="1"/>
  <c r="J13"/>
  <c r="D13"/>
  <c r="P12"/>
  <c r="U12" s="1"/>
  <c r="D12"/>
  <c r="P11"/>
  <c r="U11" s="1"/>
  <c r="D11"/>
  <c r="P10"/>
  <c r="U10" s="1"/>
  <c r="D10"/>
  <c r="P9"/>
  <c r="U9" s="1"/>
  <c r="D9"/>
  <c r="P8"/>
  <c r="U8" s="1"/>
  <c r="D8"/>
  <c r="AD63" i="32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3"/>
  <c r="AE41" i="33" l="1"/>
  <c r="BE41" s="1"/>
  <c r="BE29"/>
  <c r="U13"/>
  <c r="R61"/>
  <c r="R60"/>
  <c r="R59"/>
  <c r="R58"/>
  <c r="R57"/>
  <c r="R56"/>
  <c r="R55"/>
  <c r="R54"/>
  <c r="R53"/>
  <c r="R52"/>
  <c r="R51"/>
  <c r="R50"/>
  <c r="R49"/>
  <c r="R48"/>
  <c r="R47"/>
  <c r="R63"/>
  <c r="R62"/>
  <c r="R46"/>
  <c r="D43" i="32"/>
  <c r="AD42"/>
  <c r="N42"/>
  <c r="D42"/>
  <c r="AD41" l="1"/>
  <c r="N41"/>
  <c r="D41"/>
  <c r="AD40"/>
  <c r="D40"/>
  <c r="AD39"/>
  <c r="D39"/>
  <c r="AD38"/>
  <c r="V38"/>
  <c r="D38"/>
  <c r="AD37"/>
  <c r="D37"/>
  <c r="AD36"/>
  <c r="D36"/>
  <c r="AD35"/>
  <c r="D35"/>
  <c r="AD34"/>
  <c r="D34"/>
  <c r="AD33"/>
  <c r="D33"/>
  <c r="AD32"/>
  <c r="D32"/>
  <c r="AD31"/>
  <c r="R31"/>
  <c r="U45" s="1"/>
  <c r="D31"/>
  <c r="AD30"/>
  <c r="R30"/>
  <c r="J30"/>
  <c r="O30" s="1"/>
  <c r="D30"/>
  <c r="AD29"/>
  <c r="D29"/>
  <c r="AD28"/>
  <c r="P28"/>
  <c r="AF28" s="1"/>
  <c r="J28"/>
  <c r="O28" s="1"/>
  <c r="D28"/>
  <c r="AD27"/>
  <c r="P27"/>
  <c r="J27"/>
  <c r="O27" s="1"/>
  <c r="D27"/>
  <c r="AD26"/>
  <c r="P26"/>
  <c r="AF26" s="1"/>
  <c r="D26"/>
  <c r="AD25"/>
  <c r="P25"/>
  <c r="AF25" s="1"/>
  <c r="J25"/>
  <c r="O25" s="1"/>
  <c r="D25"/>
  <c r="AD24"/>
  <c r="P24"/>
  <c r="AF24" s="1"/>
  <c r="D24"/>
  <c r="AD23"/>
  <c r="P23"/>
  <c r="AF23" s="1"/>
  <c r="J23"/>
  <c r="O23" s="1"/>
  <c r="D23"/>
  <c r="AD22"/>
  <c r="P22"/>
  <c r="AF22" s="1"/>
  <c r="D22"/>
  <c r="AD21"/>
  <c r="P21"/>
  <c r="AF21" s="1"/>
  <c r="J21"/>
  <c r="D21"/>
  <c r="AD20"/>
  <c r="P20"/>
  <c r="AF20" s="1"/>
  <c r="D20"/>
  <c r="AD19"/>
  <c r="P19"/>
  <c r="AF19" s="1"/>
  <c r="J19"/>
  <c r="D19"/>
  <c r="AD18"/>
  <c r="P18"/>
  <c r="AF18" s="1"/>
  <c r="D18"/>
  <c r="AD17"/>
  <c r="P17"/>
  <c r="AF17" s="1"/>
  <c r="D17"/>
  <c r="AD16"/>
  <c r="P16"/>
  <c r="AF16" s="1"/>
  <c r="D16"/>
  <c r="AD15"/>
  <c r="P15"/>
  <c r="AF15" s="1"/>
  <c r="D15"/>
  <c r="AD14"/>
  <c r="Y74"/>
  <c r="AG73" s="1"/>
  <c r="P14"/>
  <c r="AF14" s="1"/>
  <c r="J14"/>
  <c r="D14"/>
  <c r="AD13"/>
  <c r="P13"/>
  <c r="AF13" s="1"/>
  <c r="J13"/>
  <c r="D13"/>
  <c r="P12"/>
  <c r="U12" s="1"/>
  <c r="D12"/>
  <c r="P11"/>
  <c r="U11" s="1"/>
  <c r="D11"/>
  <c r="P10"/>
  <c r="U10" s="1"/>
  <c r="D10"/>
  <c r="P9"/>
  <c r="U9" s="1"/>
  <c r="D9"/>
  <c r="P8"/>
  <c r="U8" s="1"/>
  <c r="D8"/>
  <c r="U27" l="1"/>
  <c r="AF27"/>
  <c r="AG64"/>
  <c r="AG65"/>
  <c r="AG66"/>
  <c r="AG67"/>
  <c r="AG68"/>
  <c r="AG69"/>
  <c r="AG70"/>
  <c r="AG71"/>
  <c r="AG72"/>
  <c r="J16"/>
  <c r="J17"/>
  <c r="J18"/>
  <c r="J32"/>
  <c r="O32" s="1"/>
  <c r="J33"/>
  <c r="O33" s="1"/>
  <c r="J34"/>
  <c r="O34" s="1"/>
  <c r="J35"/>
  <c r="O35" s="1"/>
  <c r="J36"/>
  <c r="O36" s="1"/>
  <c r="J37"/>
  <c r="O37" s="1"/>
  <c r="J38"/>
  <c r="O38" s="1"/>
  <c r="J39"/>
  <c r="O39" s="1"/>
  <c r="J41"/>
  <c r="O41" s="1"/>
  <c r="J20"/>
  <c r="J22"/>
  <c r="J24"/>
  <c r="O24" s="1"/>
  <c r="J26"/>
  <c r="O26" s="1"/>
  <c r="J29"/>
  <c r="O29" s="1"/>
  <c r="J31"/>
  <c r="O31" s="1"/>
  <c r="J40"/>
  <c r="O40" s="1"/>
  <c r="J15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63"/>
  <c r="M25"/>
  <c r="M27"/>
  <c r="M28"/>
  <c r="X74"/>
  <c r="M18"/>
  <c r="M19"/>
  <c r="M21"/>
  <c r="M23"/>
  <c r="U23"/>
  <c r="U29"/>
  <c r="M30"/>
  <c r="W10"/>
  <c r="U25"/>
  <c r="W11"/>
  <c r="W12"/>
  <c r="W9"/>
  <c r="U13"/>
  <c r="W13" s="1"/>
  <c r="U14"/>
  <c r="U15"/>
  <c r="U16"/>
  <c r="U18"/>
  <c r="U19"/>
  <c r="U22"/>
  <c r="R52"/>
  <c r="R51"/>
  <c r="R48"/>
  <c r="R47"/>
  <c r="R46"/>
  <c r="R63"/>
  <c r="R62"/>
  <c r="R61"/>
  <c r="R60"/>
  <c r="R59"/>
  <c r="R58"/>
  <c r="R57"/>
  <c r="R56"/>
  <c r="R55"/>
  <c r="R54"/>
  <c r="R53"/>
  <c r="R50"/>
  <c r="R49"/>
  <c r="U17"/>
  <c r="U20"/>
  <c r="U21"/>
  <c r="U24"/>
  <c r="U26"/>
  <c r="U28"/>
  <c r="M20" l="1"/>
  <c r="AE20"/>
  <c r="M15"/>
  <c r="AE15"/>
  <c r="BE15" s="1"/>
  <c r="M22"/>
  <c r="W27"/>
  <c r="M24"/>
  <c r="AE24"/>
  <c r="M31"/>
  <c r="M38"/>
  <c r="M34"/>
  <c r="M40"/>
  <c r="M35"/>
  <c r="M29"/>
  <c r="AE29"/>
  <c r="M33"/>
  <c r="M39"/>
  <c r="M26"/>
  <c r="AE26"/>
  <c r="M41"/>
  <c r="M32"/>
  <c r="W23"/>
  <c r="AE25"/>
  <c r="BE25" s="1"/>
  <c r="W17"/>
  <c r="AE27"/>
  <c r="BE27" s="1"/>
  <c r="AE23"/>
  <c r="AE19"/>
  <c r="W21"/>
  <c r="AE28"/>
  <c r="AA28"/>
  <c r="W28"/>
  <c r="AA24"/>
  <c r="W24"/>
  <c r="W16"/>
  <c r="W14"/>
  <c r="AA26"/>
  <c r="W26"/>
  <c r="W20"/>
  <c r="W22"/>
  <c r="AE22"/>
  <c r="AA22"/>
  <c r="AE21"/>
  <c r="W18"/>
  <c r="W29"/>
  <c r="AE18"/>
  <c r="AA29"/>
  <c r="AA27"/>
  <c r="AA25"/>
  <c r="W19"/>
  <c r="W15"/>
  <c r="W25"/>
  <c r="AA23"/>
  <c r="AE41" l="1"/>
  <c r="AP21"/>
  <c r="BE21"/>
  <c r="BE22"/>
  <c r="AP22"/>
  <c r="AP26"/>
  <c r="BE26"/>
  <c r="BE28"/>
  <c r="AP28"/>
  <c r="BE29"/>
  <c r="AP29"/>
  <c r="AP19"/>
  <c r="BE19"/>
  <c r="AP27"/>
  <c r="BE20"/>
  <c r="AP20"/>
  <c r="AP24"/>
  <c r="BE24"/>
  <c r="BE23"/>
  <c r="AP23"/>
  <c r="AP25"/>
  <c r="AK43" i="6"/>
  <c r="L43"/>
  <c r="C43"/>
  <c r="AK42" l="1"/>
  <c r="L42" l="1"/>
  <c r="C42"/>
  <c r="AK41"/>
  <c r="L41"/>
  <c r="C41"/>
  <c r="AK40"/>
  <c r="M40"/>
  <c r="R40" s="1"/>
  <c r="C40"/>
  <c r="AK39"/>
  <c r="M39"/>
  <c r="R39" s="1"/>
  <c r="C39"/>
  <c r="AK38"/>
  <c r="Z38"/>
  <c r="L38"/>
  <c r="C38"/>
  <c r="AM37"/>
  <c r="AM38" s="1"/>
  <c r="AM39" s="1"/>
  <c r="AK37"/>
  <c r="L37"/>
  <c r="C37"/>
  <c r="M37" l="1"/>
  <c r="R37" s="1"/>
  <c r="K37"/>
  <c r="M38"/>
  <c r="R38" s="1"/>
  <c r="L39"/>
  <c r="L40"/>
  <c r="M41"/>
  <c r="R41" s="1"/>
  <c r="K41"/>
  <c r="P39"/>
  <c r="AJ39" s="1"/>
  <c r="P37"/>
  <c r="AJ37" s="1"/>
  <c r="K38"/>
  <c r="K39"/>
  <c r="K40"/>
  <c r="P40"/>
  <c r="AJ40" s="1"/>
  <c r="AK36"/>
  <c r="C36"/>
  <c r="AK35"/>
  <c r="C35"/>
  <c r="AK34"/>
  <c r="C34"/>
  <c r="AK33"/>
  <c r="L33"/>
  <c r="C33"/>
  <c r="C32"/>
  <c r="AK31"/>
  <c r="W31"/>
  <c r="C31"/>
  <c r="AK30"/>
  <c r="W30"/>
  <c r="Q30"/>
  <c r="C30"/>
  <c r="AK29"/>
  <c r="AB29"/>
  <c r="Q29"/>
  <c r="L29"/>
  <c r="C29"/>
  <c r="AB28"/>
  <c r="L28"/>
  <c r="C28"/>
  <c r="AK27"/>
  <c r="L27"/>
  <c r="C27"/>
  <c r="AK26"/>
  <c r="U26"/>
  <c r="M26"/>
  <c r="R26" s="1"/>
  <c r="C26"/>
  <c r="AK25"/>
  <c r="L25"/>
  <c r="C25"/>
  <c r="AK24"/>
  <c r="U24"/>
  <c r="M24"/>
  <c r="R24" s="1"/>
  <c r="C24"/>
  <c r="AK23"/>
  <c r="L23"/>
  <c r="C23"/>
  <c r="AK22"/>
  <c r="U22"/>
  <c r="AL22" s="1"/>
  <c r="L22"/>
  <c r="C22"/>
  <c r="L21"/>
  <c r="C21"/>
  <c r="AK20"/>
  <c r="U20"/>
  <c r="AL20" s="1"/>
  <c r="M20"/>
  <c r="C20"/>
  <c r="AK19"/>
  <c r="U19"/>
  <c r="L19"/>
  <c r="C19"/>
  <c r="AB24" l="1"/>
  <c r="AL24"/>
  <c r="AB19"/>
  <c r="AL19"/>
  <c r="AB26"/>
  <c r="AL26"/>
  <c r="P38"/>
  <c r="P41"/>
  <c r="AB45"/>
  <c r="AB44"/>
  <c r="L30"/>
  <c r="M31"/>
  <c r="R31" s="1"/>
  <c r="L32"/>
  <c r="L34"/>
  <c r="M35"/>
  <c r="R35" s="1"/>
  <c r="K35"/>
  <c r="L36"/>
  <c r="M19"/>
  <c r="K20"/>
  <c r="M21"/>
  <c r="K21"/>
  <c r="M22"/>
  <c r="K22"/>
  <c r="M23"/>
  <c r="R23" s="1"/>
  <c r="L24"/>
  <c r="M25"/>
  <c r="R25" s="1"/>
  <c r="L26"/>
  <c r="M27"/>
  <c r="R27" s="1"/>
  <c r="K27"/>
  <c r="M28"/>
  <c r="R28" s="1"/>
  <c r="AA29"/>
  <c r="M29"/>
  <c r="R29" s="1"/>
  <c r="K29"/>
  <c r="M30"/>
  <c r="R30" s="1"/>
  <c r="L31"/>
  <c r="M32"/>
  <c r="R32" s="1"/>
  <c r="K32"/>
  <c r="M33"/>
  <c r="R33" s="1"/>
  <c r="K33"/>
  <c r="M34"/>
  <c r="R34" s="1"/>
  <c r="K34"/>
  <c r="L35"/>
  <c r="M36"/>
  <c r="BI37"/>
  <c r="L20"/>
  <c r="K19"/>
  <c r="K23"/>
  <c r="K24"/>
  <c r="K25"/>
  <c r="K26"/>
  <c r="K28"/>
  <c r="K30"/>
  <c r="K31"/>
  <c r="K36"/>
  <c r="AU40"/>
  <c r="BI40"/>
  <c r="BI39"/>
  <c r="P20"/>
  <c r="AJ20" s="1"/>
  <c r="P24"/>
  <c r="AJ24" s="1"/>
  <c r="P26"/>
  <c r="AJ26" s="1"/>
  <c r="AB30"/>
  <c r="AB20"/>
  <c r="AB22"/>
  <c r="AK18"/>
  <c r="C18"/>
  <c r="AK17"/>
  <c r="U17"/>
  <c r="AL17" s="1"/>
  <c r="C17"/>
  <c r="AK16"/>
  <c r="U16"/>
  <c r="C16"/>
  <c r="AK15"/>
  <c r="U15"/>
  <c r="C15"/>
  <c r="C14"/>
  <c r="AK13"/>
  <c r="U13"/>
  <c r="AB13" s="1"/>
  <c r="C13"/>
  <c r="AK12"/>
  <c r="Q12"/>
  <c r="O12"/>
  <c r="N12"/>
  <c r="I12"/>
  <c r="H12"/>
  <c r="G12"/>
  <c r="F12"/>
  <c r="E12"/>
  <c r="C12"/>
  <c r="AK11"/>
  <c r="U11"/>
  <c r="Q11"/>
  <c r="O11"/>
  <c r="N11"/>
  <c r="I11"/>
  <c r="H11"/>
  <c r="G11"/>
  <c r="F11"/>
  <c r="D11"/>
  <c r="C11"/>
  <c r="AK10"/>
  <c r="Q10"/>
  <c r="O10"/>
  <c r="N10"/>
  <c r="I10"/>
  <c r="H10"/>
  <c r="G10"/>
  <c r="F10"/>
  <c r="D10"/>
  <c r="C10"/>
  <c r="AK9"/>
  <c r="Q9"/>
  <c r="O9"/>
  <c r="N9"/>
  <c r="I9"/>
  <c r="H9"/>
  <c r="G9"/>
  <c r="F9"/>
  <c r="D9"/>
  <c r="C9"/>
  <c r="U8"/>
  <c r="Q8"/>
  <c r="O8"/>
  <c r="N8"/>
  <c r="I8"/>
  <c r="H8"/>
  <c r="G8"/>
  <c r="F8"/>
  <c r="D8"/>
  <c r="C8"/>
  <c r="R36" l="1"/>
  <c r="AJ36" s="1"/>
  <c r="P36"/>
  <c r="P34"/>
  <c r="P32"/>
  <c r="P29"/>
  <c r="P27"/>
  <c r="P23"/>
  <c r="P21"/>
  <c r="P31"/>
  <c r="P35"/>
  <c r="AJ41"/>
  <c r="P33"/>
  <c r="P30"/>
  <c r="P28"/>
  <c r="P25"/>
  <c r="P22"/>
  <c r="P19"/>
  <c r="AJ38"/>
  <c r="E10"/>
  <c r="M10" s="1"/>
  <c r="R10" s="1"/>
  <c r="M12"/>
  <c r="R12" s="1"/>
  <c r="L13"/>
  <c r="M14"/>
  <c r="K14"/>
  <c r="M15"/>
  <c r="L16"/>
  <c r="M17"/>
  <c r="K17"/>
  <c r="K9"/>
  <c r="M18"/>
  <c r="E8"/>
  <c r="M8" s="1"/>
  <c r="R8" s="1"/>
  <c r="K12"/>
  <c r="M13"/>
  <c r="L14"/>
  <c r="AK63"/>
  <c r="L15"/>
  <c r="M16"/>
  <c r="L17"/>
  <c r="L18"/>
  <c r="AC75"/>
  <c r="BI20"/>
  <c r="BI24"/>
  <c r="K8"/>
  <c r="E9"/>
  <c r="M9" s="1"/>
  <c r="R9" s="1"/>
  <c r="E11"/>
  <c r="M11" s="1"/>
  <c r="R11" s="1"/>
  <c r="K11"/>
  <c r="K13"/>
  <c r="AK14"/>
  <c r="K15"/>
  <c r="K16"/>
  <c r="K18"/>
  <c r="AK57"/>
  <c r="AK50"/>
  <c r="AA30"/>
  <c r="K10"/>
  <c r="AB8"/>
  <c r="AB11"/>
  <c r="AL11" s="1"/>
  <c r="AA20"/>
  <c r="AL13"/>
  <c r="AB16"/>
  <c r="AB17"/>
  <c r="W56"/>
  <c r="W52"/>
  <c r="W51"/>
  <c r="W50"/>
  <c r="W49"/>
  <c r="W63"/>
  <c r="W62"/>
  <c r="W61"/>
  <c r="W60"/>
  <c r="W59"/>
  <c r="W58"/>
  <c r="W57"/>
  <c r="W55"/>
  <c r="W54"/>
  <c r="W53"/>
  <c r="W48"/>
  <c r="W47"/>
  <c r="W46"/>
  <c r="AB15"/>
  <c r="AL15" s="1"/>
  <c r="AD63" i="31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G43"/>
  <c r="D43"/>
  <c r="AD42"/>
  <c r="AG42"/>
  <c r="N42"/>
  <c r="D42"/>
  <c r="AD41"/>
  <c r="AG41"/>
  <c r="D41"/>
  <c r="AD40"/>
  <c r="AG40"/>
  <c r="D40"/>
  <c r="AD39"/>
  <c r="AG39"/>
  <c r="D39"/>
  <c r="AD38"/>
  <c r="AG38"/>
  <c r="V38"/>
  <c r="D38"/>
  <c r="AD37"/>
  <c r="AG37"/>
  <c r="D37"/>
  <c r="AD36"/>
  <c r="AG36"/>
  <c r="D36"/>
  <c r="AD35"/>
  <c r="AG35"/>
  <c r="D35"/>
  <c r="AD34"/>
  <c r="AG34"/>
  <c r="D34"/>
  <c r="AD33"/>
  <c r="D33"/>
  <c r="AD32"/>
  <c r="AG32"/>
  <c r="D32"/>
  <c r="AD31"/>
  <c r="AG31"/>
  <c r="R31"/>
  <c r="U45" s="1"/>
  <c r="D31"/>
  <c r="AD30"/>
  <c r="AG30"/>
  <c r="R30"/>
  <c r="D30"/>
  <c r="AD29"/>
  <c r="AG29"/>
  <c r="U29"/>
  <c r="D29"/>
  <c r="AD28"/>
  <c r="AG28"/>
  <c r="P28"/>
  <c r="AF28" s="1"/>
  <c r="J28"/>
  <c r="O28" s="1"/>
  <c r="D28"/>
  <c r="AD27"/>
  <c r="AG27"/>
  <c r="P27"/>
  <c r="D27"/>
  <c r="AD26"/>
  <c r="AG26"/>
  <c r="P26"/>
  <c r="AF26" s="1"/>
  <c r="D26"/>
  <c r="AD25"/>
  <c r="AG25"/>
  <c r="P25"/>
  <c r="D25"/>
  <c r="AD24"/>
  <c r="AG24"/>
  <c r="P24"/>
  <c r="AF24" s="1"/>
  <c r="D24"/>
  <c r="AD23"/>
  <c r="AG23"/>
  <c r="P23"/>
  <c r="AF23" s="1"/>
  <c r="D23"/>
  <c r="AD22"/>
  <c r="AG22"/>
  <c r="P22"/>
  <c r="AF22" s="1"/>
  <c r="D22"/>
  <c r="AD21"/>
  <c r="AG21"/>
  <c r="P21"/>
  <c r="D21"/>
  <c r="AD20"/>
  <c r="AG20"/>
  <c r="P20"/>
  <c r="AF20" s="1"/>
  <c r="D20"/>
  <c r="AD19"/>
  <c r="AG19"/>
  <c r="P19"/>
  <c r="AF19" s="1"/>
  <c r="D19"/>
  <c r="AD18"/>
  <c r="AG18"/>
  <c r="P18"/>
  <c r="D18"/>
  <c r="AD17"/>
  <c r="AG17"/>
  <c r="P17"/>
  <c r="AF17" s="1"/>
  <c r="D17"/>
  <c r="AD16"/>
  <c r="AG16"/>
  <c r="P16"/>
  <c r="J16"/>
  <c r="D16"/>
  <c r="BB15"/>
  <c r="AD15"/>
  <c r="AG15"/>
  <c r="P15"/>
  <c r="AF15" s="1"/>
  <c r="D15"/>
  <c r="BB14"/>
  <c r="AD14"/>
  <c r="Y63"/>
  <c r="P14"/>
  <c r="AF14" s="1"/>
  <c r="J14"/>
  <c r="D14"/>
  <c r="AD13"/>
  <c r="AG13"/>
  <c r="P13"/>
  <c r="AF13" s="1"/>
  <c r="J13"/>
  <c r="D13"/>
  <c r="P12"/>
  <c r="U12" i="6" s="1"/>
  <c r="D12" i="31"/>
  <c r="P11"/>
  <c r="U11" s="1"/>
  <c r="D11"/>
  <c r="P10"/>
  <c r="U10" s="1"/>
  <c r="D10"/>
  <c r="P9"/>
  <c r="U9" i="6" s="1"/>
  <c r="D9" i="31"/>
  <c r="P8"/>
  <c r="U8" s="1"/>
  <c r="D8"/>
  <c r="R63"/>
  <c r="P12" i="6" l="1"/>
  <c r="U18" i="31"/>
  <c r="AF18"/>
  <c r="U21"/>
  <c r="AF21"/>
  <c r="U16"/>
  <c r="AF16"/>
  <c r="U25"/>
  <c r="AF25"/>
  <c r="U27"/>
  <c r="AF27"/>
  <c r="BI36" i="6"/>
  <c r="AU37"/>
  <c r="AJ23"/>
  <c r="AU24" s="1"/>
  <c r="AJ29"/>
  <c r="BI29" s="1"/>
  <c r="P10"/>
  <c r="AJ34"/>
  <c r="BI34" s="1"/>
  <c r="P16"/>
  <c r="AU41"/>
  <c r="BI41"/>
  <c r="P18"/>
  <c r="P15"/>
  <c r="AJ19"/>
  <c r="AJ25"/>
  <c r="AJ30"/>
  <c r="P13"/>
  <c r="AJ13" s="1"/>
  <c r="AJ35"/>
  <c r="AJ27"/>
  <c r="P17"/>
  <c r="P14"/>
  <c r="AU39"/>
  <c r="AU38"/>
  <c r="BI38"/>
  <c r="AJ22"/>
  <c r="AJ28"/>
  <c r="L12"/>
  <c r="AJ12"/>
  <c r="P11"/>
  <c r="P9"/>
  <c r="P8"/>
  <c r="AG64" i="31"/>
  <c r="AG65"/>
  <c r="AG66"/>
  <c r="AG67"/>
  <c r="AG68"/>
  <c r="AG69"/>
  <c r="AG70"/>
  <c r="AG71"/>
  <c r="AG72"/>
  <c r="AG73"/>
  <c r="L10" i="6"/>
  <c r="AK55"/>
  <c r="AK58"/>
  <c r="AK49"/>
  <c r="AK54"/>
  <c r="AK62"/>
  <c r="AK61"/>
  <c r="AK46"/>
  <c r="AK53"/>
  <c r="AK47"/>
  <c r="AK52"/>
  <c r="AK56"/>
  <c r="AK60"/>
  <c r="AK51"/>
  <c r="AK59"/>
  <c r="J19" i="31"/>
  <c r="J23"/>
  <c r="O23" s="1"/>
  <c r="J25"/>
  <c r="O25" s="1"/>
  <c r="J27"/>
  <c r="O27" s="1"/>
  <c r="J17"/>
  <c r="J20"/>
  <c r="J32"/>
  <c r="O32" s="1"/>
  <c r="J35"/>
  <c r="O35" s="1"/>
  <c r="AJ9" i="6"/>
  <c r="AU9" s="1"/>
  <c r="J18" i="31"/>
  <c r="J22"/>
  <c r="J24"/>
  <c r="O24" s="1"/>
  <c r="J26"/>
  <c r="O26" s="1"/>
  <c r="J29"/>
  <c r="O29" s="1"/>
  <c r="J30"/>
  <c r="O30" s="1"/>
  <c r="J31"/>
  <c r="O31" s="1"/>
  <c r="J33"/>
  <c r="O33" s="1"/>
  <c r="J34"/>
  <c r="O34" s="1"/>
  <c r="J36"/>
  <c r="O36" s="1"/>
  <c r="J37"/>
  <c r="J38"/>
  <c r="O38" s="1"/>
  <c r="J39"/>
  <c r="O39" s="1"/>
  <c r="J40"/>
  <c r="O40" s="1"/>
  <c r="J41"/>
  <c r="L11" i="6"/>
  <c r="L8"/>
  <c r="J15" i="31"/>
  <c r="J21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L9" i="6"/>
  <c r="AG14" i="31"/>
  <c r="M28"/>
  <c r="U9"/>
  <c r="U13"/>
  <c r="U20"/>
  <c r="U23"/>
  <c r="U26"/>
  <c r="U12"/>
  <c r="U14"/>
  <c r="U17"/>
  <c r="W17" s="1"/>
  <c r="U19"/>
  <c r="U22"/>
  <c r="W22" s="1"/>
  <c r="U24"/>
  <c r="U28"/>
  <c r="R46"/>
  <c r="AB12" i="6"/>
  <c r="AL12" s="1"/>
  <c r="AB9"/>
  <c r="AL9" s="1"/>
  <c r="U21"/>
  <c r="AL21" s="1"/>
  <c r="U25"/>
  <c r="U15" i="31"/>
  <c r="R47"/>
  <c r="R48"/>
  <c r="R49"/>
  <c r="R50"/>
  <c r="R51"/>
  <c r="R52"/>
  <c r="R53"/>
  <c r="R54"/>
  <c r="R55"/>
  <c r="R56"/>
  <c r="R57"/>
  <c r="R58"/>
  <c r="R59"/>
  <c r="R60"/>
  <c r="R61"/>
  <c r="R62"/>
  <c r="AD63" i="30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D43"/>
  <c r="AD42"/>
  <c r="AG42"/>
  <c r="N42"/>
  <c r="D42"/>
  <c r="AD41"/>
  <c r="AG41"/>
  <c r="N41"/>
  <c r="D41"/>
  <c r="AD40"/>
  <c r="AG40"/>
  <c r="D40"/>
  <c r="AD39"/>
  <c r="AG39"/>
  <c r="D39"/>
  <c r="AD38"/>
  <c r="AG38"/>
  <c r="V38"/>
  <c r="J38"/>
  <c r="O38" s="1"/>
  <c r="D38"/>
  <c r="AD37"/>
  <c r="D37"/>
  <c r="AD36"/>
  <c r="AG36"/>
  <c r="D36"/>
  <c r="AD35"/>
  <c r="AG35"/>
  <c r="D35"/>
  <c r="T14" i="31" l="1"/>
  <c r="W21"/>
  <c r="W26"/>
  <c r="M37"/>
  <c r="O37"/>
  <c r="AJ17" i="6"/>
  <c r="BI17" s="1"/>
  <c r="AB25"/>
  <c r="AA26" s="1"/>
  <c r="AL25"/>
  <c r="M40" i="31"/>
  <c r="M22"/>
  <c r="M25"/>
  <c r="AE25"/>
  <c r="AU28" i="6"/>
  <c r="BI28"/>
  <c r="M34" i="31"/>
  <c r="M18"/>
  <c r="M33"/>
  <c r="M26"/>
  <c r="M19"/>
  <c r="AE19"/>
  <c r="AU36" i="6"/>
  <c r="AU35"/>
  <c r="BI35"/>
  <c r="AU25"/>
  <c r="AU26"/>
  <c r="AJ16"/>
  <c r="M36" i="31"/>
  <c r="M30"/>
  <c r="M32"/>
  <c r="AU29" i="6"/>
  <c r="M39" i="31"/>
  <c r="M29"/>
  <c r="AE29"/>
  <c r="M20"/>
  <c r="AE20"/>
  <c r="AU23" i="6"/>
  <c r="BI22"/>
  <c r="AU27"/>
  <c r="BI27"/>
  <c r="BI30"/>
  <c r="AU30"/>
  <c r="AJ15"/>
  <c r="M23" i="31"/>
  <c r="M21"/>
  <c r="M31"/>
  <c r="M24"/>
  <c r="M35"/>
  <c r="M27"/>
  <c r="AU20" i="6"/>
  <c r="BI19"/>
  <c r="AJ11"/>
  <c r="AU12" s="1"/>
  <c r="AU13"/>
  <c r="T15" i="31"/>
  <c r="J40" i="30"/>
  <c r="O40" s="1"/>
  <c r="J35"/>
  <c r="O35" s="1"/>
  <c r="J36"/>
  <c r="O36" s="1"/>
  <c r="J39"/>
  <c r="O39" s="1"/>
  <c r="J41"/>
  <c r="O41" s="1"/>
  <c r="J37"/>
  <c r="O37" s="1"/>
  <c r="W27" i="31"/>
  <c r="AE21"/>
  <c r="AE23"/>
  <c r="BD23" s="1"/>
  <c r="T13"/>
  <c r="AE18"/>
  <c r="W19"/>
  <c r="W23"/>
  <c r="W20"/>
  <c r="W18"/>
  <c r="W29"/>
  <c r="W28"/>
  <c r="AJ21" i="6"/>
  <c r="AB21"/>
  <c r="W24" i="31"/>
  <c r="W16"/>
  <c r="AE28"/>
  <c r="W25"/>
  <c r="AD34" i="30"/>
  <c r="AG34"/>
  <c r="D34"/>
  <c r="AD33"/>
  <c r="AG33"/>
  <c r="D33"/>
  <c r="AD32"/>
  <c r="AG32"/>
  <c r="D32"/>
  <c r="AD31"/>
  <c r="AG31"/>
  <c r="S31"/>
  <c r="D31"/>
  <c r="AD30"/>
  <c r="AG30"/>
  <c r="S30"/>
  <c r="D30"/>
  <c r="AD29"/>
  <c r="AG29"/>
  <c r="U29"/>
  <c r="D29"/>
  <c r="AD28"/>
  <c r="AG28"/>
  <c r="P28"/>
  <c r="AF28" s="1"/>
  <c r="D28"/>
  <c r="AD27"/>
  <c r="AG27"/>
  <c r="P27"/>
  <c r="D27"/>
  <c r="AD26"/>
  <c r="AG26"/>
  <c r="P26"/>
  <c r="D26"/>
  <c r="AD25"/>
  <c r="AG25"/>
  <c r="P25"/>
  <c r="D25"/>
  <c r="AD24"/>
  <c r="AG24"/>
  <c r="P24"/>
  <c r="AF24" s="1"/>
  <c r="D24"/>
  <c r="AD23"/>
  <c r="AG23"/>
  <c r="P23"/>
  <c r="D23"/>
  <c r="AD22"/>
  <c r="AG22"/>
  <c r="P22"/>
  <c r="D22"/>
  <c r="AD21"/>
  <c r="AG21"/>
  <c r="P21"/>
  <c r="AF21" s="1"/>
  <c r="D21"/>
  <c r="AD20"/>
  <c r="AG20"/>
  <c r="P20"/>
  <c r="AF20" s="1"/>
  <c r="D20"/>
  <c r="AD19"/>
  <c r="AG19"/>
  <c r="P19"/>
  <c r="AF19" s="1"/>
  <c r="D19"/>
  <c r="AD18"/>
  <c r="AG18"/>
  <c r="P18"/>
  <c r="D18"/>
  <c r="AD17"/>
  <c r="AG17"/>
  <c r="P17"/>
  <c r="AF17" s="1"/>
  <c r="D17"/>
  <c r="AD16"/>
  <c r="AG16"/>
  <c r="P16"/>
  <c r="AF16" s="1"/>
  <c r="D16"/>
  <c r="AD15"/>
  <c r="AG15"/>
  <c r="P15"/>
  <c r="AF15" s="1"/>
  <c r="D15"/>
  <c r="AD14"/>
  <c r="P14"/>
  <c r="AF14" s="1"/>
  <c r="D14"/>
  <c r="AD13"/>
  <c r="AG13"/>
  <c r="P13"/>
  <c r="D13"/>
  <c r="P12"/>
  <c r="U12" s="1"/>
  <c r="D12"/>
  <c r="P11"/>
  <c r="U11" s="1"/>
  <c r="D11"/>
  <c r="P10"/>
  <c r="U10" i="6" s="1"/>
  <c r="D10" i="30"/>
  <c r="P9"/>
  <c r="U9" s="1"/>
  <c r="D9"/>
  <c r="P8"/>
  <c r="U8" s="1"/>
  <c r="D8"/>
  <c r="AD63" i="29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G43"/>
  <c r="D43"/>
  <c r="AD42"/>
  <c r="AG42"/>
  <c r="N42"/>
  <c r="D42"/>
  <c r="AD41"/>
  <c r="AG41"/>
  <c r="D41"/>
  <c r="AD40"/>
  <c r="AG40"/>
  <c r="J40"/>
  <c r="O40" s="1"/>
  <c r="D40"/>
  <c r="AD39"/>
  <c r="AG39"/>
  <c r="D39"/>
  <c r="AD38"/>
  <c r="AG38"/>
  <c r="V38"/>
  <c r="D38"/>
  <c r="AD37"/>
  <c r="AG37"/>
  <c r="D37"/>
  <c r="AD36"/>
  <c r="AG36"/>
  <c r="D36"/>
  <c r="AI35"/>
  <c r="AD35"/>
  <c r="AG35"/>
  <c r="J35"/>
  <c r="O35" s="1"/>
  <c r="D35"/>
  <c r="AD34"/>
  <c r="AG34"/>
  <c r="D34"/>
  <c r="AD33"/>
  <c r="AG33"/>
  <c r="D33"/>
  <c r="AD32"/>
  <c r="AG32"/>
  <c r="D32"/>
  <c r="AD31"/>
  <c r="AG31"/>
  <c r="S31"/>
  <c r="D31"/>
  <c r="AD30"/>
  <c r="AG30"/>
  <c r="S30"/>
  <c r="D30"/>
  <c r="AD29"/>
  <c r="AG29"/>
  <c r="D29"/>
  <c r="AD28"/>
  <c r="AG28"/>
  <c r="AE24" i="31" l="1"/>
  <c r="AE26"/>
  <c r="U18" i="30"/>
  <c r="AF18"/>
  <c r="U22"/>
  <c r="AF22"/>
  <c r="U23"/>
  <c r="AF23"/>
  <c r="U25"/>
  <c r="AF25"/>
  <c r="U26"/>
  <c r="AF26"/>
  <c r="U13"/>
  <c r="AF13"/>
  <c r="AA25" i="6"/>
  <c r="AE27" i="31"/>
  <c r="BD27" s="1"/>
  <c r="U27" i="30"/>
  <c r="AF27"/>
  <c r="M39"/>
  <c r="M41"/>
  <c r="M40"/>
  <c r="M36"/>
  <c r="M35"/>
  <c r="AU17" i="6"/>
  <c r="AU16"/>
  <c r="AE22" i="31"/>
  <c r="BD22" s="1"/>
  <c r="U45" i="30"/>
  <c r="U46"/>
  <c r="U45" i="29"/>
  <c r="U46"/>
  <c r="AP22" i="31"/>
  <c r="AP21"/>
  <c r="J32" i="29"/>
  <c r="O32" s="1"/>
  <c r="J34"/>
  <c r="O34" s="1"/>
  <c r="U10" i="30"/>
  <c r="W10" s="1"/>
  <c r="J15"/>
  <c r="J16"/>
  <c r="J17"/>
  <c r="J18"/>
  <c r="J19"/>
  <c r="J21"/>
  <c r="J23"/>
  <c r="O23" s="1"/>
  <c r="J25"/>
  <c r="O25" s="1"/>
  <c r="J27"/>
  <c r="O27" s="1"/>
  <c r="J29"/>
  <c r="O29" s="1"/>
  <c r="J30"/>
  <c r="O30" s="1"/>
  <c r="J31"/>
  <c r="O31" s="1"/>
  <c r="J30" i="29"/>
  <c r="O30" s="1"/>
  <c r="J33" i="30"/>
  <c r="O33" s="1"/>
  <c r="J34"/>
  <c r="O34" s="1"/>
  <c r="AP23" i="31"/>
  <c r="J29" i="29"/>
  <c r="O29" s="1"/>
  <c r="J31"/>
  <c r="O31" s="1"/>
  <c r="J33"/>
  <c r="O33" s="1"/>
  <c r="J36"/>
  <c r="O36" s="1"/>
  <c r="J38"/>
  <c r="O38" s="1"/>
  <c r="J39"/>
  <c r="O39" s="1"/>
  <c r="J41"/>
  <c r="J13" i="30"/>
  <c r="J14"/>
  <c r="J20"/>
  <c r="J22"/>
  <c r="J24"/>
  <c r="O24" s="1"/>
  <c r="J26"/>
  <c r="O26" s="1"/>
  <c r="J28"/>
  <c r="O28" s="1"/>
  <c r="J32"/>
  <c r="O32" s="1"/>
  <c r="J37" i="29"/>
  <c r="O37" s="1"/>
  <c r="BD18" i="31"/>
  <c r="AP20"/>
  <c r="BD20"/>
  <c r="BD19"/>
  <c r="AP19"/>
  <c r="M35" i="29"/>
  <c r="Y74" i="30"/>
  <c r="AG14"/>
  <c r="BD24" i="31"/>
  <c r="AP24"/>
  <c r="AU21" i="6"/>
  <c r="BI21"/>
  <c r="AU22"/>
  <c r="BD29" i="31"/>
  <c r="AP29"/>
  <c r="U29" i="29"/>
  <c r="AP25" i="31"/>
  <c r="U15" i="30"/>
  <c r="U20"/>
  <c r="W23"/>
  <c r="U14" i="6"/>
  <c r="R53" i="30"/>
  <c r="R52"/>
  <c r="R51"/>
  <c r="R50"/>
  <c r="R49"/>
  <c r="R48"/>
  <c r="R63"/>
  <c r="R62"/>
  <c r="R61"/>
  <c r="R60"/>
  <c r="R59"/>
  <c r="R58"/>
  <c r="R57"/>
  <c r="R56"/>
  <c r="R55"/>
  <c r="R54"/>
  <c r="R47"/>
  <c r="AJ10" i="6"/>
  <c r="AB10"/>
  <c r="AL10" s="1"/>
  <c r="U18"/>
  <c r="AL18" s="1"/>
  <c r="AA21"/>
  <c r="AA22"/>
  <c r="AK48"/>
  <c r="W13" i="30"/>
  <c r="U14"/>
  <c r="U16"/>
  <c r="U17"/>
  <c r="U19"/>
  <c r="U21"/>
  <c r="U24"/>
  <c r="U28"/>
  <c r="U23" i="6"/>
  <c r="U27"/>
  <c r="W9" i="30"/>
  <c r="W12"/>
  <c r="P28" i="29"/>
  <c r="AF28" s="1"/>
  <c r="D28"/>
  <c r="AD27"/>
  <c r="AG27"/>
  <c r="P27"/>
  <c r="D27"/>
  <c r="AD26"/>
  <c r="AG26"/>
  <c r="P26"/>
  <c r="AF26" s="1"/>
  <c r="J26"/>
  <c r="O26" s="1"/>
  <c r="D26"/>
  <c r="AD25"/>
  <c r="AG25"/>
  <c r="P25"/>
  <c r="AF25" s="1"/>
  <c r="D25"/>
  <c r="AD24"/>
  <c r="AG24"/>
  <c r="P24"/>
  <c r="AF24" s="1"/>
  <c r="J24"/>
  <c r="O24" s="1"/>
  <c r="D24"/>
  <c r="AD23"/>
  <c r="AG23"/>
  <c r="P23"/>
  <c r="AF23" s="1"/>
  <c r="D23"/>
  <c r="AD22"/>
  <c r="AG22"/>
  <c r="P22"/>
  <c r="AF22" s="1"/>
  <c r="J22"/>
  <c r="D22"/>
  <c r="AD21"/>
  <c r="P21"/>
  <c r="AF21" s="1"/>
  <c r="D21"/>
  <c r="AD20"/>
  <c r="AG20"/>
  <c r="P20"/>
  <c r="AF20" s="1"/>
  <c r="J20"/>
  <c r="D20"/>
  <c r="AD19"/>
  <c r="AG19"/>
  <c r="P19"/>
  <c r="AF19" s="1"/>
  <c r="D19"/>
  <c r="AD18"/>
  <c r="AG18"/>
  <c r="P18"/>
  <c r="AF18" s="1"/>
  <c r="J18"/>
  <c r="D18"/>
  <c r="AD17"/>
  <c r="AG17"/>
  <c r="P17"/>
  <c r="AF17" s="1"/>
  <c r="J17"/>
  <c r="D17"/>
  <c r="AD16"/>
  <c r="AG16"/>
  <c r="P16"/>
  <c r="AF16" s="1"/>
  <c r="J16"/>
  <c r="D16"/>
  <c r="AD15"/>
  <c r="AG15"/>
  <c r="P15"/>
  <c r="AF15" s="1"/>
  <c r="J15"/>
  <c r="D15"/>
  <c r="AD14"/>
  <c r="Y74"/>
  <c r="P14"/>
  <c r="AF14" s="1"/>
  <c r="J14"/>
  <c r="D14"/>
  <c r="AD13"/>
  <c r="AG13"/>
  <c r="P13"/>
  <c r="AF13" s="1"/>
  <c r="J13"/>
  <c r="D13"/>
  <c r="P12"/>
  <c r="U12" s="1"/>
  <c r="D12"/>
  <c r="P11"/>
  <c r="U11" s="1"/>
  <c r="D11"/>
  <c r="P10"/>
  <c r="U10" s="1"/>
  <c r="D10"/>
  <c r="P9"/>
  <c r="U9" s="1"/>
  <c r="D9"/>
  <c r="P8"/>
  <c r="U8" s="1"/>
  <c r="D8"/>
  <c r="W11" i="30" l="1"/>
  <c r="U27" i="29"/>
  <c r="AF27"/>
  <c r="AP26" i="31"/>
  <c r="W27" i="30"/>
  <c r="AP27" i="31"/>
  <c r="AP28"/>
  <c r="M18" i="30"/>
  <c r="M22"/>
  <c r="AE22"/>
  <c r="BD22" s="1"/>
  <c r="M20"/>
  <c r="M21"/>
  <c r="AE21"/>
  <c r="M16"/>
  <c r="M17"/>
  <c r="M14"/>
  <c r="M19"/>
  <c r="AE19"/>
  <c r="M15"/>
  <c r="AB23" i="6"/>
  <c r="AA23" s="1"/>
  <c r="AL23"/>
  <c r="W19" i="30"/>
  <c r="W26"/>
  <c r="AB27" i="6"/>
  <c r="AA27" s="1"/>
  <c r="AL27"/>
  <c r="W24" i="30"/>
  <c r="M24"/>
  <c r="AE24"/>
  <c r="M31"/>
  <c r="M25"/>
  <c r="AE41"/>
  <c r="BD41" s="1"/>
  <c r="M26"/>
  <c r="M27"/>
  <c r="AE27"/>
  <c r="M32"/>
  <c r="M34"/>
  <c r="M30"/>
  <c r="M23"/>
  <c r="M28"/>
  <c r="M33"/>
  <c r="M29"/>
  <c r="AE29"/>
  <c r="M29" i="29"/>
  <c r="AE29"/>
  <c r="M30"/>
  <c r="M37"/>
  <c r="M33"/>
  <c r="M34"/>
  <c r="M24"/>
  <c r="M36"/>
  <c r="M39"/>
  <c r="M31"/>
  <c r="M32"/>
  <c r="AE15" i="30"/>
  <c r="BD15" s="1"/>
  <c r="AG73"/>
  <c r="AG72"/>
  <c r="AG71"/>
  <c r="AG70"/>
  <c r="AG69"/>
  <c r="AG68"/>
  <c r="AG67"/>
  <c r="AG66"/>
  <c r="AG65"/>
  <c r="AG64"/>
  <c r="AG64" i="29"/>
  <c r="AG65"/>
  <c r="AG66"/>
  <c r="AG67"/>
  <c r="AG68"/>
  <c r="AG69"/>
  <c r="AG70"/>
  <c r="AG71"/>
  <c r="AG72"/>
  <c r="AG73"/>
  <c r="W15" i="30"/>
  <c r="AE20"/>
  <c r="BD20" s="1"/>
  <c r="J28" i="29"/>
  <c r="O28" s="1"/>
  <c r="J19"/>
  <c r="J21"/>
  <c r="J23"/>
  <c r="O23" s="1"/>
  <c r="J25"/>
  <c r="O25" s="1"/>
  <c r="J27"/>
  <c r="O27" s="1"/>
  <c r="AE18" i="30"/>
  <c r="BD18" s="1"/>
  <c r="AG63" i="29"/>
  <c r="AG62"/>
  <c r="AG61"/>
  <c r="AG60"/>
  <c r="AG59"/>
  <c r="AG58"/>
  <c r="AG57"/>
  <c r="AG56"/>
  <c r="AG55"/>
  <c r="AG54"/>
  <c r="AG53"/>
  <c r="AG52"/>
  <c r="AG51"/>
  <c r="AG50"/>
  <c r="AG49"/>
  <c r="AG48"/>
  <c r="AG47"/>
  <c r="AU10" i="6"/>
  <c r="AU11"/>
  <c r="AG63" i="30"/>
  <c r="AG62"/>
  <c r="AG61"/>
  <c r="AG60"/>
  <c r="AG59"/>
  <c r="AG58"/>
  <c r="AG57"/>
  <c r="AG56"/>
  <c r="AG55"/>
  <c r="AG54"/>
  <c r="AG53"/>
  <c r="AG52"/>
  <c r="AG51"/>
  <c r="AG50"/>
  <c r="AG49"/>
  <c r="AG48"/>
  <c r="AG47"/>
  <c r="AG14" i="29"/>
  <c r="M20"/>
  <c r="M18"/>
  <c r="M22"/>
  <c r="M26"/>
  <c r="AE23" i="30"/>
  <c r="W11" i="29"/>
  <c r="W21" i="30"/>
  <c r="AE17"/>
  <c r="W17"/>
  <c r="W9" i="29"/>
  <c r="W12"/>
  <c r="U13"/>
  <c r="U14"/>
  <c r="U15"/>
  <c r="U16"/>
  <c r="U19"/>
  <c r="U21"/>
  <c r="U23"/>
  <c r="U24"/>
  <c r="U26"/>
  <c r="W18" i="30"/>
  <c r="R63" i="29"/>
  <c r="R62"/>
  <c r="R61"/>
  <c r="R60"/>
  <c r="R59"/>
  <c r="R58"/>
  <c r="R57"/>
  <c r="R56"/>
  <c r="R55"/>
  <c r="R54"/>
  <c r="R53"/>
  <c r="R52"/>
  <c r="R51"/>
  <c r="R50"/>
  <c r="R49"/>
  <c r="R48"/>
  <c r="R47"/>
  <c r="W29" i="30"/>
  <c r="AE28"/>
  <c r="W28"/>
  <c r="AE16"/>
  <c r="W16"/>
  <c r="W14"/>
  <c r="AE14"/>
  <c r="AJ18" i="6"/>
  <c r="AB18"/>
  <c r="AJ14"/>
  <c r="AB14"/>
  <c r="AL14" s="1"/>
  <c r="W10" i="29"/>
  <c r="U17"/>
  <c r="U18"/>
  <c r="U20"/>
  <c r="U22"/>
  <c r="U25"/>
  <c r="U28"/>
  <c r="W25" i="30"/>
  <c r="W20"/>
  <c r="W22"/>
  <c r="W27" i="29" l="1"/>
  <c r="AA24" i="6"/>
  <c r="AA28"/>
  <c r="AE25" i="30"/>
  <c r="AE26"/>
  <c r="AP27" s="1"/>
  <c r="AP15"/>
  <c r="M28" i="29"/>
  <c r="M23"/>
  <c r="M21"/>
  <c r="AE21"/>
  <c r="BD21" s="1"/>
  <c r="M25"/>
  <c r="AE25"/>
  <c r="M27"/>
  <c r="M19"/>
  <c r="AE24"/>
  <c r="BD24" s="1"/>
  <c r="AP21" i="30"/>
  <c r="W17" i="29"/>
  <c r="AE19"/>
  <c r="BD19" s="1"/>
  <c r="AP18" i="30"/>
  <c r="AU14" i="6"/>
  <c r="AU15"/>
  <c r="BI18"/>
  <c r="AU18"/>
  <c r="AU19"/>
  <c r="BD16" i="30"/>
  <c r="AP16"/>
  <c r="BD28"/>
  <c r="AP28"/>
  <c r="BD29"/>
  <c r="AP29"/>
  <c r="AP22"/>
  <c r="AP24"/>
  <c r="BD23"/>
  <c r="AP23"/>
  <c r="AP19"/>
  <c r="BD19"/>
  <c r="BD29" i="29"/>
  <c r="AP17" i="30"/>
  <c r="AP20"/>
  <c r="W21" i="29"/>
  <c r="W25"/>
  <c r="W23"/>
  <c r="W29"/>
  <c r="W28"/>
  <c r="AE20"/>
  <c r="W20"/>
  <c r="AE18"/>
  <c r="W18"/>
  <c r="AE26"/>
  <c r="W26"/>
  <c r="W16"/>
  <c r="W22"/>
  <c r="W15"/>
  <c r="W13"/>
  <c r="W24"/>
  <c r="AE22"/>
  <c r="W19"/>
  <c r="W14"/>
  <c r="BD25" l="1"/>
  <c r="BD25" i="30"/>
  <c r="AE28" i="29"/>
  <c r="AP29" s="1"/>
  <c r="AP25" i="30"/>
  <c r="AE27" i="29"/>
  <c r="AP27"/>
  <c r="AP26" i="30"/>
  <c r="BD26"/>
  <c r="AE23" i="29"/>
  <c r="AP24" s="1"/>
  <c r="AP20"/>
  <c r="AP25"/>
  <c r="AP22"/>
  <c r="BD22"/>
  <c r="AP21"/>
  <c r="AP26"/>
  <c r="BD26"/>
  <c r="BD18"/>
  <c r="AP19"/>
  <c r="AD63" i="28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BD28" i="29" l="1"/>
  <c r="AP28"/>
  <c r="AP23"/>
  <c r="AD45" i="28"/>
  <c r="AD44"/>
  <c r="AD43" l="1"/>
  <c r="D43"/>
  <c r="AD42"/>
  <c r="N42"/>
  <c r="D42"/>
  <c r="AD41"/>
  <c r="D41"/>
  <c r="AD40"/>
  <c r="D40"/>
  <c r="AD39"/>
  <c r="V39"/>
  <c r="D39"/>
  <c r="J41" l="1"/>
  <c r="J39"/>
  <c r="O39" s="1"/>
  <c r="J40"/>
  <c r="O40" s="1"/>
  <c r="AG40"/>
  <c r="AG39"/>
  <c r="AG41"/>
  <c r="AG42"/>
  <c r="AG43"/>
  <c r="AD38"/>
  <c r="D38"/>
  <c r="AD37"/>
  <c r="D37"/>
  <c r="AD36"/>
  <c r="D36"/>
  <c r="AD35"/>
  <c r="D35"/>
  <c r="AD34"/>
  <c r="D34"/>
  <c r="AD33"/>
  <c r="D33"/>
  <c r="AD32"/>
  <c r="D32"/>
  <c r="AD31"/>
  <c r="S31"/>
  <c r="D31"/>
  <c r="AD30"/>
  <c r="S30"/>
  <c r="D30"/>
  <c r="AD29"/>
  <c r="U29"/>
  <c r="D29"/>
  <c r="AD28"/>
  <c r="P28"/>
  <c r="AF83" s="1"/>
  <c r="D28"/>
  <c r="U45" l="1"/>
  <c r="U46"/>
  <c r="M39"/>
  <c r="J37"/>
  <c r="O37" s="1"/>
  <c r="J28"/>
  <c r="O28" s="1"/>
  <c r="J30"/>
  <c r="O30" s="1"/>
  <c r="J31"/>
  <c r="O31" s="1"/>
  <c r="J34"/>
  <c r="O34" s="1"/>
  <c r="J35"/>
  <c r="O35" s="1"/>
  <c r="J38"/>
  <c r="O38" s="1"/>
  <c r="J29"/>
  <c r="O29" s="1"/>
  <c r="J32"/>
  <c r="O32" s="1"/>
  <c r="J33"/>
  <c r="O33" s="1"/>
  <c r="AG33"/>
  <c r="J36"/>
  <c r="O36" s="1"/>
  <c r="AG36"/>
  <c r="AG37"/>
  <c r="AG38"/>
  <c r="AG31"/>
  <c r="AG30"/>
  <c r="U31"/>
  <c r="AG32"/>
  <c r="AG34"/>
  <c r="AG35"/>
  <c r="AG28"/>
  <c r="AG29"/>
  <c r="U28"/>
  <c r="AF29"/>
  <c r="AD27"/>
  <c r="P27"/>
  <c r="AF82" s="1"/>
  <c r="D27"/>
  <c r="AD26"/>
  <c r="AG26"/>
  <c r="P26"/>
  <c r="D26"/>
  <c r="AD25"/>
  <c r="P25"/>
  <c r="J25"/>
  <c r="O25" s="1"/>
  <c r="D25"/>
  <c r="AD24"/>
  <c r="P24"/>
  <c r="D24"/>
  <c r="AD23"/>
  <c r="P23"/>
  <c r="J23"/>
  <c r="O23" s="1"/>
  <c r="D23"/>
  <c r="AD22"/>
  <c r="P22"/>
  <c r="AF78" s="1"/>
  <c r="D22"/>
  <c r="AD21"/>
  <c r="P21"/>
  <c r="AF77" s="1"/>
  <c r="D21"/>
  <c r="AD20"/>
  <c r="AG20"/>
  <c r="P20"/>
  <c r="D20"/>
  <c r="AD19"/>
  <c r="P19"/>
  <c r="AF76" s="1"/>
  <c r="J19"/>
  <c r="D19"/>
  <c r="AD18"/>
  <c r="P18"/>
  <c r="AF75" s="1"/>
  <c r="D18"/>
  <c r="AD17"/>
  <c r="P17"/>
  <c r="AF74" s="1"/>
  <c r="D17"/>
  <c r="AD16"/>
  <c r="P16"/>
  <c r="D16"/>
  <c r="AD15"/>
  <c r="P15"/>
  <c r="AF72" s="1"/>
  <c r="D15"/>
  <c r="AD14"/>
  <c r="P14"/>
  <c r="AF71" s="1"/>
  <c r="D14"/>
  <c r="AD13"/>
  <c r="P13"/>
  <c r="AF70" s="1"/>
  <c r="D13"/>
  <c r="P12"/>
  <c r="U12" s="1"/>
  <c r="D12"/>
  <c r="P11"/>
  <c r="U11" s="1"/>
  <c r="D11"/>
  <c r="P10"/>
  <c r="D10"/>
  <c r="P9"/>
  <c r="D9"/>
  <c r="P8"/>
  <c r="D8"/>
  <c r="AC89" i="1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C71"/>
  <c r="BC70"/>
  <c r="BC69"/>
  <c r="AC63"/>
  <c r="AC62"/>
  <c r="AC61"/>
  <c r="AC60"/>
  <c r="AC59"/>
  <c r="AL58"/>
  <c r="AG58"/>
  <c r="AC58"/>
  <c r="AC57"/>
  <c r="AC56"/>
  <c r="AC55"/>
  <c r="AC54"/>
  <c r="AC53"/>
  <c r="AC52"/>
  <c r="AC51"/>
  <c r="AC50"/>
  <c r="AC49"/>
  <c r="AC48"/>
  <c r="AC47"/>
  <c r="AC46"/>
  <c r="AC45"/>
  <c r="AC44"/>
  <c r="AH43"/>
  <c r="AC43"/>
  <c r="AZ43" s="1"/>
  <c r="AF89"/>
  <c r="U24" i="28" l="1"/>
  <c r="AF80"/>
  <c r="U25"/>
  <c r="AF25" s="1"/>
  <c r="AF81"/>
  <c r="U16"/>
  <c r="AF73"/>
  <c r="U23"/>
  <c r="W24" s="1"/>
  <c r="AF79"/>
  <c r="M33"/>
  <c r="M28"/>
  <c r="M37"/>
  <c r="M29"/>
  <c r="AE84"/>
  <c r="M31"/>
  <c r="M32"/>
  <c r="M34"/>
  <c r="M38"/>
  <c r="M30"/>
  <c r="AE85"/>
  <c r="BC89" i="19"/>
  <c r="J24" i="28"/>
  <c r="O24" s="1"/>
  <c r="J26"/>
  <c r="O26" s="1"/>
  <c r="X74"/>
  <c r="J13"/>
  <c r="J16"/>
  <c r="J20"/>
  <c r="J22"/>
  <c r="J14"/>
  <c r="J15"/>
  <c r="AG15"/>
  <c r="J17"/>
  <c r="J18"/>
  <c r="AG19"/>
  <c r="J21"/>
  <c r="AG22"/>
  <c r="J27"/>
  <c r="O27" s="1"/>
  <c r="AF43" i="19"/>
  <c r="AG13" i="28"/>
  <c r="Y74"/>
  <c r="AG14"/>
  <c r="AG16"/>
  <c r="AG17"/>
  <c r="AG18"/>
  <c r="AG21"/>
  <c r="AG23"/>
  <c r="AG24"/>
  <c r="AG25"/>
  <c r="AG27"/>
  <c r="AF31"/>
  <c r="M19"/>
  <c r="M23"/>
  <c r="M25"/>
  <c r="U13"/>
  <c r="U17"/>
  <c r="U18"/>
  <c r="U21"/>
  <c r="U22"/>
  <c r="W12"/>
  <c r="R56"/>
  <c r="R55"/>
  <c r="R54"/>
  <c r="R53"/>
  <c r="R52"/>
  <c r="R51"/>
  <c r="R50"/>
  <c r="R49"/>
  <c r="R48"/>
  <c r="R47"/>
  <c r="R63"/>
  <c r="R62"/>
  <c r="R61"/>
  <c r="R60"/>
  <c r="R59"/>
  <c r="R58"/>
  <c r="R57"/>
  <c r="W29"/>
  <c r="AF28"/>
  <c r="AF16"/>
  <c r="AF23"/>
  <c r="AF24"/>
  <c r="U14"/>
  <c r="U15"/>
  <c r="W16" s="1"/>
  <c r="U19"/>
  <c r="U20"/>
  <c r="U26"/>
  <c r="U27"/>
  <c r="D43" i="19"/>
  <c r="W25" i="28" l="1"/>
  <c r="W26"/>
  <c r="M22"/>
  <c r="AE22"/>
  <c r="AE30"/>
  <c r="M21"/>
  <c r="AE21" s="1"/>
  <c r="M20"/>
  <c r="M18"/>
  <c r="AE75" s="1"/>
  <c r="M24"/>
  <c r="AE80"/>
  <c r="AE29"/>
  <c r="AE28"/>
  <c r="M27"/>
  <c r="AE83"/>
  <c r="AP84" s="1"/>
  <c r="M26"/>
  <c r="AG128"/>
  <c r="AG126"/>
  <c r="AG124"/>
  <c r="AG122"/>
  <c r="AG120"/>
  <c r="AG118"/>
  <c r="AG116"/>
  <c r="AG114"/>
  <c r="AG112"/>
  <c r="AG110"/>
  <c r="AG108"/>
  <c r="AG106"/>
  <c r="AG104"/>
  <c r="AG102"/>
  <c r="AG119"/>
  <c r="AG107"/>
  <c r="AG125"/>
  <c r="AG121"/>
  <c r="AG117"/>
  <c r="AG113"/>
  <c r="AG109"/>
  <c r="AG105"/>
  <c r="AG127"/>
  <c r="AG123"/>
  <c r="AG115"/>
  <c r="AG111"/>
  <c r="AG103"/>
  <c r="W22"/>
  <c r="W21"/>
  <c r="W17"/>
  <c r="AF17"/>
  <c r="W18"/>
  <c r="W13"/>
  <c r="AF22"/>
  <c r="W23"/>
  <c r="AF18"/>
  <c r="AE18" s="1"/>
  <c r="AF13"/>
  <c r="AE77"/>
  <c r="AE81"/>
  <c r="AE25"/>
  <c r="AE79"/>
  <c r="AE23"/>
  <c r="AE76"/>
  <c r="AE19"/>
  <c r="AP85"/>
  <c r="BE85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F21"/>
  <c r="AE78"/>
  <c r="W28"/>
  <c r="AF27"/>
  <c r="W27"/>
  <c r="AF19"/>
  <c r="W19"/>
  <c r="AF14"/>
  <c r="W14"/>
  <c r="AF26"/>
  <c r="AE26" s="1"/>
  <c r="AF20"/>
  <c r="W20"/>
  <c r="AF15"/>
  <c r="W15"/>
  <c r="AC42" i="19"/>
  <c r="AZ42" s="1"/>
  <c r="AF88"/>
  <c r="N42"/>
  <c r="D42"/>
  <c r="AC41"/>
  <c r="AZ41" s="1"/>
  <c r="AF41"/>
  <c r="N41"/>
  <c r="AE27" i="28" l="1"/>
  <c r="AE20"/>
  <c r="AP29"/>
  <c r="AE24"/>
  <c r="AP25" s="1"/>
  <c r="AE82"/>
  <c r="AP83" s="1"/>
  <c r="AP26"/>
  <c r="AP77"/>
  <c r="AF42" i="19"/>
  <c r="AP78" i="28"/>
  <c r="AP19"/>
  <c r="AP23"/>
  <c r="AP76"/>
  <c r="BE76"/>
  <c r="BE79"/>
  <c r="AP79"/>
  <c r="AP81"/>
  <c r="BE81"/>
  <c r="AP27"/>
  <c r="AP20"/>
  <c r="AP21"/>
  <c r="AP28"/>
  <c r="AP80"/>
  <c r="D41" i="19"/>
  <c r="AC40"/>
  <c r="AZ40" s="1"/>
  <c r="AF87"/>
  <c r="D40"/>
  <c r="AC39"/>
  <c r="AZ39" s="1"/>
  <c r="AF39"/>
  <c r="V39"/>
  <c r="D39"/>
  <c r="AC38"/>
  <c r="AZ38" s="1"/>
  <c r="AF38"/>
  <c r="D38"/>
  <c r="AC37"/>
  <c r="AZ37" s="1"/>
  <c r="AF86"/>
  <c r="D37"/>
  <c r="AC36"/>
  <c r="AZ36" s="1"/>
  <c r="AF36"/>
  <c r="D36"/>
  <c r="AH35"/>
  <c r="AC35"/>
  <c r="AZ35" s="1"/>
  <c r="AF85"/>
  <c r="D35"/>
  <c r="AC34"/>
  <c r="AZ34" s="1"/>
  <c r="AF84"/>
  <c r="J34"/>
  <c r="O34" s="1"/>
  <c r="D34"/>
  <c r="AC33"/>
  <c r="AZ33" s="1"/>
  <c r="AF33"/>
  <c r="D33"/>
  <c r="AC32"/>
  <c r="AZ32" s="1"/>
  <c r="AF83"/>
  <c r="J32"/>
  <c r="O32" s="1"/>
  <c r="D32"/>
  <c r="AC31"/>
  <c r="AZ31" s="1"/>
  <c r="AF82"/>
  <c r="S31"/>
  <c r="U46" s="1"/>
  <c r="D31"/>
  <c r="AC30"/>
  <c r="AZ30" s="1"/>
  <c r="AF30"/>
  <c r="S30"/>
  <c r="D30"/>
  <c r="AC29"/>
  <c r="AZ29" s="1"/>
  <c r="AF81"/>
  <c r="U29"/>
  <c r="D29"/>
  <c r="AC28"/>
  <c r="AZ28" s="1"/>
  <c r="AF80"/>
  <c r="P28"/>
  <c r="AE80" s="1"/>
  <c r="D28"/>
  <c r="AC27"/>
  <c r="AZ27" s="1"/>
  <c r="AF27"/>
  <c r="P27"/>
  <c r="D27"/>
  <c r="AC26"/>
  <c r="AZ26" s="1"/>
  <c r="AF79"/>
  <c r="P26"/>
  <c r="D26"/>
  <c r="AC25"/>
  <c r="AZ25" s="1"/>
  <c r="AF78"/>
  <c r="P25"/>
  <c r="D25"/>
  <c r="AC24"/>
  <c r="AZ24" s="1"/>
  <c r="AF77"/>
  <c r="P24"/>
  <c r="AE77" s="1"/>
  <c r="D24"/>
  <c r="AC23"/>
  <c r="AZ23" s="1"/>
  <c r="AF23"/>
  <c r="P23"/>
  <c r="D23"/>
  <c r="AC22"/>
  <c r="AZ22" s="1"/>
  <c r="AF22"/>
  <c r="P22"/>
  <c r="J22"/>
  <c r="D22"/>
  <c r="AC21"/>
  <c r="AZ21" s="1"/>
  <c r="AF76"/>
  <c r="P21"/>
  <c r="AE76" s="1"/>
  <c r="J21"/>
  <c r="D21"/>
  <c r="AC20"/>
  <c r="AZ20" s="1"/>
  <c r="AF20"/>
  <c r="P20"/>
  <c r="U20" s="1"/>
  <c r="D20"/>
  <c r="AC19"/>
  <c r="AZ19" s="1"/>
  <c r="AF75"/>
  <c r="P19"/>
  <c r="AE75" s="1"/>
  <c r="D19"/>
  <c r="AC18"/>
  <c r="AZ18" s="1"/>
  <c r="AF74"/>
  <c r="P18"/>
  <c r="AE74" s="1"/>
  <c r="D18"/>
  <c r="AC17"/>
  <c r="AZ17" s="1"/>
  <c r="AF73"/>
  <c r="P17"/>
  <c r="D17"/>
  <c r="AC16"/>
  <c r="AZ16" s="1"/>
  <c r="AF72"/>
  <c r="P16"/>
  <c r="AE72" s="1"/>
  <c r="D16"/>
  <c r="AC15"/>
  <c r="AZ15" s="1"/>
  <c r="AF71"/>
  <c r="P15"/>
  <c r="AE71" s="1"/>
  <c r="D15"/>
  <c r="AC14"/>
  <c r="AZ14" s="1"/>
  <c r="AF70"/>
  <c r="P14"/>
  <c r="AE70" s="1"/>
  <c r="D14"/>
  <c r="AC13"/>
  <c r="AZ13" s="1"/>
  <c r="AF69"/>
  <c r="P13"/>
  <c r="AE69" s="1"/>
  <c r="D13"/>
  <c r="P12"/>
  <c r="U12" s="1"/>
  <c r="D12"/>
  <c r="P11"/>
  <c r="U11" s="1"/>
  <c r="D11"/>
  <c r="P10"/>
  <c r="D10"/>
  <c r="P9"/>
  <c r="D9"/>
  <c r="P8"/>
  <c r="D8"/>
  <c r="AP6"/>
  <c r="U17" l="1"/>
  <c r="AE73"/>
  <c r="U25"/>
  <c r="AE25" s="1"/>
  <c r="AE78"/>
  <c r="U26"/>
  <c r="AE79"/>
  <c r="AP24" i="28"/>
  <c r="AP82"/>
  <c r="J13" i="19"/>
  <c r="J14"/>
  <c r="J20"/>
  <c r="J30"/>
  <c r="O30" s="1"/>
  <c r="J31"/>
  <c r="O31" s="1"/>
  <c r="J35"/>
  <c r="O35" s="1"/>
  <c r="J36"/>
  <c r="O36" s="1"/>
  <c r="J18"/>
  <c r="J25"/>
  <c r="O25" s="1"/>
  <c r="J26"/>
  <c r="O26" s="1"/>
  <c r="J29"/>
  <c r="O29" s="1"/>
  <c r="J37"/>
  <c r="O37" s="1"/>
  <c r="J38"/>
  <c r="O38" s="1"/>
  <c r="J39"/>
  <c r="O39" s="1"/>
  <c r="J19"/>
  <c r="X74"/>
  <c r="Z74"/>
  <c r="J15"/>
  <c r="J16"/>
  <c r="J17"/>
  <c r="AF18"/>
  <c r="AF19"/>
  <c r="J23"/>
  <c r="O23" s="1"/>
  <c r="J24"/>
  <c r="O24" s="1"/>
  <c r="J27"/>
  <c r="O27" s="1"/>
  <c r="J28"/>
  <c r="O28" s="1"/>
  <c r="AF29"/>
  <c r="U32"/>
  <c r="J33"/>
  <c r="O33" s="1"/>
  <c r="J40"/>
  <c r="O40" s="1"/>
  <c r="J41"/>
  <c r="O41" s="1"/>
  <c r="AF14"/>
  <c r="AF13"/>
  <c r="AF15"/>
  <c r="AF16"/>
  <c r="AF17"/>
  <c r="M21"/>
  <c r="AF21"/>
  <c r="M22"/>
  <c r="AD22" s="1"/>
  <c r="BB22" s="1"/>
  <c r="AF24"/>
  <c r="AF25"/>
  <c r="AF26"/>
  <c r="M29"/>
  <c r="U31"/>
  <c r="AF31"/>
  <c r="M32"/>
  <c r="AF34"/>
  <c r="AF35"/>
  <c r="AF37"/>
  <c r="AF40"/>
  <c r="W12"/>
  <c r="AF28"/>
  <c r="AF32"/>
  <c r="M34"/>
  <c r="U23"/>
  <c r="AE23" s="1"/>
  <c r="R63"/>
  <c r="R62"/>
  <c r="R61"/>
  <c r="R60"/>
  <c r="R59"/>
  <c r="R58"/>
  <c r="R57"/>
  <c r="R56"/>
  <c r="R55"/>
  <c r="R54"/>
  <c r="R53"/>
  <c r="R52"/>
  <c r="R51"/>
  <c r="R50"/>
  <c r="R49"/>
  <c r="R48"/>
  <c r="R47"/>
  <c r="U14"/>
  <c r="U15"/>
  <c r="AE15" s="1"/>
  <c r="U16"/>
  <c r="W17" s="1"/>
  <c r="AE17"/>
  <c r="U18"/>
  <c r="AE20"/>
  <c r="U21"/>
  <c r="AE29"/>
  <c r="U13"/>
  <c r="U19"/>
  <c r="U22"/>
  <c r="U24"/>
  <c r="AE26"/>
  <c r="U27"/>
  <c r="U28"/>
  <c r="AP68"/>
  <c r="AP6" i="28"/>
  <c r="W26" i="19" l="1"/>
  <c r="M19"/>
  <c r="AD75"/>
  <c r="M20"/>
  <c r="AD20" s="1"/>
  <c r="BB20" s="1"/>
  <c r="M18"/>
  <c r="M23"/>
  <c r="AD23"/>
  <c r="M36"/>
  <c r="M39"/>
  <c r="M26"/>
  <c r="AD26"/>
  <c r="BB26" s="1"/>
  <c r="M33"/>
  <c r="M27"/>
  <c r="M38"/>
  <c r="M25"/>
  <c r="AD25"/>
  <c r="BB25" s="1"/>
  <c r="M31"/>
  <c r="M41"/>
  <c r="M28"/>
  <c r="M24"/>
  <c r="AD77"/>
  <c r="M30"/>
  <c r="AE32"/>
  <c r="AD74"/>
  <c r="AD18"/>
  <c r="BB18" s="1"/>
  <c r="AD81"/>
  <c r="AD29"/>
  <c r="BB29" s="1"/>
  <c r="AF107"/>
  <c r="AF105"/>
  <c r="AF103"/>
  <c r="AF101"/>
  <c r="AF99"/>
  <c r="AF97"/>
  <c r="AF95"/>
  <c r="AF93"/>
  <c r="AF91"/>
  <c r="AF63"/>
  <c r="AF62"/>
  <c r="AF61"/>
  <c r="AF60"/>
  <c r="AF59"/>
  <c r="AF58"/>
  <c r="AF57"/>
  <c r="AF56"/>
  <c r="AF55"/>
  <c r="AF54"/>
  <c r="AF53"/>
  <c r="AF52"/>
  <c r="AF51"/>
  <c r="AF50"/>
  <c r="AF49"/>
  <c r="AF47"/>
  <c r="AF108"/>
  <c r="AF106"/>
  <c r="AF104"/>
  <c r="AF102"/>
  <c r="AF100"/>
  <c r="AF98"/>
  <c r="AF96"/>
  <c r="AF94"/>
  <c r="AF92"/>
  <c r="AF48"/>
  <c r="AF46"/>
  <c r="AD76"/>
  <c r="AD21"/>
  <c r="AE31"/>
  <c r="W32"/>
  <c r="AE28"/>
  <c r="W28"/>
  <c r="AE24"/>
  <c r="W24"/>
  <c r="AE22"/>
  <c r="W22"/>
  <c r="W13"/>
  <c r="W14"/>
  <c r="AE14"/>
  <c r="AE27"/>
  <c r="W27"/>
  <c r="AE19"/>
  <c r="W19"/>
  <c r="W21"/>
  <c r="AE21"/>
  <c r="W18"/>
  <c r="AE18"/>
  <c r="W16"/>
  <c r="AE16"/>
  <c r="W15"/>
  <c r="W29"/>
  <c r="W25"/>
  <c r="W23"/>
  <c r="AE13"/>
  <c r="W20"/>
  <c r="AP6" i="29"/>
  <c r="AP69" i="28"/>
  <c r="AD27" i="19" l="1"/>
  <c r="BB27" s="1"/>
  <c r="AD28"/>
  <c r="BB28" s="1"/>
  <c r="AD24"/>
  <c r="BB24" s="1"/>
  <c r="AD19"/>
  <c r="BB19" s="1"/>
  <c r="AD80"/>
  <c r="AD78"/>
  <c r="AD41"/>
  <c r="BB41" s="1"/>
  <c r="AD79"/>
  <c r="AP21"/>
  <c r="BB21"/>
  <c r="AP23"/>
  <c r="BB23"/>
  <c r="AP27"/>
  <c r="AP26"/>
  <c r="BE76"/>
  <c r="AP76"/>
  <c r="BE77"/>
  <c r="AP77"/>
  <c r="BE81"/>
  <c r="AP81"/>
  <c r="AP22"/>
  <c r="AP29"/>
  <c r="BE75"/>
  <c r="AP75"/>
  <c r="BE74"/>
  <c r="AP6" i="30"/>
  <c r="BA49" i="18"/>
  <c r="BA48"/>
  <c r="BA47"/>
  <c r="BA46"/>
  <c r="BA45"/>
  <c r="BA44"/>
  <c r="BA43"/>
  <c r="AD43"/>
  <c r="AE43"/>
  <c r="AF43"/>
  <c r="D43"/>
  <c r="BA42"/>
  <c r="AD42"/>
  <c r="AE42"/>
  <c r="AF42"/>
  <c r="D42"/>
  <c r="BA41"/>
  <c r="AD41"/>
  <c r="AE41"/>
  <c r="AF41"/>
  <c r="N41"/>
  <c r="D41"/>
  <c r="BA40"/>
  <c r="AD40"/>
  <c r="AE40"/>
  <c r="AF40"/>
  <c r="D40"/>
  <c r="BA39"/>
  <c r="AD39"/>
  <c r="AE39"/>
  <c r="AF39"/>
  <c r="V39"/>
  <c r="V40" s="1"/>
  <c r="D39"/>
  <c r="BA38"/>
  <c r="AD38"/>
  <c r="AE38"/>
  <c r="AF38"/>
  <c r="J38"/>
  <c r="O38" s="1"/>
  <c r="D38"/>
  <c r="BA37"/>
  <c r="AD37"/>
  <c r="AE37"/>
  <c r="AF37"/>
  <c r="D37"/>
  <c r="BA36"/>
  <c r="AD36"/>
  <c r="AE36"/>
  <c r="AF36"/>
  <c r="J36"/>
  <c r="O36" s="1"/>
  <c r="D36"/>
  <c r="BA35"/>
  <c r="AD35"/>
  <c r="AE35"/>
  <c r="AF35"/>
  <c r="D35"/>
  <c r="BA34"/>
  <c r="AD34"/>
  <c r="AE34"/>
  <c r="AF34"/>
  <c r="D34"/>
  <c r="AD33"/>
  <c r="AE33"/>
  <c r="AF33"/>
  <c r="J33"/>
  <c r="O33" s="1"/>
  <c r="D33"/>
  <c r="AP25" i="19" l="1"/>
  <c r="BE78"/>
  <c r="AP20"/>
  <c r="AP19"/>
  <c r="AP24"/>
  <c r="AP78"/>
  <c r="BE79"/>
  <c r="AP79"/>
  <c r="AP80"/>
  <c r="J35" i="18"/>
  <c r="O35" s="1"/>
  <c r="J34"/>
  <c r="O34" s="1"/>
  <c r="J37"/>
  <c r="O37" s="1"/>
  <c r="J39"/>
  <c r="O39" s="1"/>
  <c r="J40"/>
  <c r="O40" s="1"/>
  <c r="J41"/>
  <c r="O41" s="1"/>
  <c r="J42"/>
  <c r="O42" s="1"/>
  <c r="M33"/>
  <c r="M35"/>
  <c r="AP6" i="31"/>
  <c r="AD32" i="18"/>
  <c r="AE32"/>
  <c r="AF32"/>
  <c r="D32"/>
  <c r="AD31"/>
  <c r="AE31"/>
  <c r="AF31"/>
  <c r="S31"/>
  <c r="U46" s="1"/>
  <c r="D31"/>
  <c r="AD30"/>
  <c r="AE30"/>
  <c r="AF30"/>
  <c r="S30"/>
  <c r="D30"/>
  <c r="AD29"/>
  <c r="AE29"/>
  <c r="AF29"/>
  <c r="U29"/>
  <c r="D29"/>
  <c r="AD28"/>
  <c r="AE28"/>
  <c r="AF28"/>
  <c r="P28"/>
  <c r="AG28" s="1"/>
  <c r="BB28" s="1"/>
  <c r="D28"/>
  <c r="AD27"/>
  <c r="AE27"/>
  <c r="AF27"/>
  <c r="P27"/>
  <c r="AG27" s="1"/>
  <c r="BB27" s="1"/>
  <c r="D27"/>
  <c r="AD26"/>
  <c r="AE26"/>
  <c r="AF26"/>
  <c r="P26"/>
  <c r="AG26" s="1"/>
  <c r="BB26" s="1"/>
  <c r="D26"/>
  <c r="AD25"/>
  <c r="AE25"/>
  <c r="AF25"/>
  <c r="P25"/>
  <c r="AG25" s="1"/>
  <c r="BB25" s="1"/>
  <c r="D25"/>
  <c r="AD24"/>
  <c r="AE24"/>
  <c r="AF24"/>
  <c r="P24"/>
  <c r="AG24" s="1"/>
  <c r="BB24" s="1"/>
  <c r="D24"/>
  <c r="AD23"/>
  <c r="AE23"/>
  <c r="AF23"/>
  <c r="P23"/>
  <c r="D23"/>
  <c r="AD22"/>
  <c r="AE22"/>
  <c r="AF22"/>
  <c r="P22"/>
  <c r="AG22" s="1"/>
  <c r="BB22" s="1"/>
  <c r="D22"/>
  <c r="AD21"/>
  <c r="AE21"/>
  <c r="AF21"/>
  <c r="P21"/>
  <c r="AG21" s="1"/>
  <c r="BB21" s="1"/>
  <c r="D21"/>
  <c r="AD20"/>
  <c r="AE20"/>
  <c r="AF20"/>
  <c r="P20"/>
  <c r="AG20" s="1"/>
  <c r="BB20" s="1"/>
  <c r="D20"/>
  <c r="AD19"/>
  <c r="AE19"/>
  <c r="AF19"/>
  <c r="P19"/>
  <c r="AG19" s="1"/>
  <c r="BB19" s="1"/>
  <c r="D19"/>
  <c r="AD18"/>
  <c r="AE18"/>
  <c r="AF18"/>
  <c r="P18"/>
  <c r="AG18" s="1"/>
  <c r="BB18" s="1"/>
  <c r="D18"/>
  <c r="AD17"/>
  <c r="AE17"/>
  <c r="AF17"/>
  <c r="P17"/>
  <c r="AG17" s="1"/>
  <c r="D17"/>
  <c r="AD16"/>
  <c r="AE16"/>
  <c r="AF16"/>
  <c r="P16"/>
  <c r="AG16" s="1"/>
  <c r="D16"/>
  <c r="AD15"/>
  <c r="AE15"/>
  <c r="AF15"/>
  <c r="P15"/>
  <c r="AG15" s="1"/>
  <c r="J15"/>
  <c r="D15"/>
  <c r="Z74"/>
  <c r="P14"/>
  <c r="AG14" s="1"/>
  <c r="D14"/>
  <c r="AD13"/>
  <c r="AE13"/>
  <c r="AF13"/>
  <c r="P13"/>
  <c r="AG13" s="1"/>
  <c r="D13"/>
  <c r="P12"/>
  <c r="U12" s="1"/>
  <c r="D12"/>
  <c r="P11"/>
  <c r="U11" s="1"/>
  <c r="D11"/>
  <c r="P10"/>
  <c r="D10"/>
  <c r="P9"/>
  <c r="D9"/>
  <c r="P8"/>
  <c r="D8"/>
  <c r="AO6"/>
  <c r="AO6" i="19" s="1"/>
  <c r="AN6" i="18"/>
  <c r="AM6"/>
  <c r="U23" l="1"/>
  <c r="AG23"/>
  <c r="BB23" s="1"/>
  <c r="M42"/>
  <c r="M37"/>
  <c r="M40"/>
  <c r="M39"/>
  <c r="M41"/>
  <c r="M34"/>
  <c r="AJ29"/>
  <c r="BE29" s="1"/>
  <c r="BF29" s="1"/>
  <c r="AD69"/>
  <c r="AD70"/>
  <c r="AD71"/>
  <c r="AD72"/>
  <c r="AD73"/>
  <c r="AF69"/>
  <c r="AF70"/>
  <c r="AF71"/>
  <c r="AF72"/>
  <c r="AF73"/>
  <c r="J18"/>
  <c r="J31"/>
  <c r="O31" s="1"/>
  <c r="J16"/>
  <c r="J17"/>
  <c r="J24"/>
  <c r="O24" s="1"/>
  <c r="J25"/>
  <c r="O25" s="1"/>
  <c r="J27"/>
  <c r="O27" s="1"/>
  <c r="J29"/>
  <c r="O29" s="1"/>
  <c r="J13"/>
  <c r="J14"/>
  <c r="Y74"/>
  <c r="AE68" s="1"/>
  <c r="J19"/>
  <c r="J20"/>
  <c r="J21"/>
  <c r="J22"/>
  <c r="J23"/>
  <c r="O23" s="1"/>
  <c r="J26"/>
  <c r="O26" s="1"/>
  <c r="J28"/>
  <c r="O28" s="1"/>
  <c r="J30"/>
  <c r="O30" s="1"/>
  <c r="U31"/>
  <c r="AJ31" s="1"/>
  <c r="J32"/>
  <c r="O32" s="1"/>
  <c r="U32"/>
  <c r="AD14"/>
  <c r="AF14"/>
  <c r="U30"/>
  <c r="W30" s="1"/>
  <c r="AF68"/>
  <c r="AF67"/>
  <c r="AF65"/>
  <c r="AF64"/>
  <c r="AF62"/>
  <c r="AF60"/>
  <c r="AF58"/>
  <c r="AF56"/>
  <c r="AF54"/>
  <c r="AF52"/>
  <c r="AF50"/>
  <c r="AF49"/>
  <c r="AF48"/>
  <c r="AF47"/>
  <c r="AF63"/>
  <c r="AF61"/>
  <c r="AF59"/>
  <c r="AF57"/>
  <c r="AF55"/>
  <c r="AF53"/>
  <c r="AF51"/>
  <c r="AD68"/>
  <c r="AD67"/>
  <c r="AD66"/>
  <c r="AD64"/>
  <c r="AD62"/>
  <c r="AD60"/>
  <c r="AD58"/>
  <c r="AD56"/>
  <c r="AD54"/>
  <c r="AD52"/>
  <c r="AD50"/>
  <c r="AD49"/>
  <c r="AD48"/>
  <c r="AD47"/>
  <c r="AD63"/>
  <c r="AD61"/>
  <c r="AD59"/>
  <c r="AD57"/>
  <c r="AD55"/>
  <c r="AD53"/>
  <c r="AD51"/>
  <c r="AE14"/>
  <c r="U22"/>
  <c r="U26"/>
  <c r="AJ26" s="1"/>
  <c r="BE26" s="1"/>
  <c r="BF26" s="1"/>
  <c r="U16"/>
  <c r="U19"/>
  <c r="U21"/>
  <c r="U27"/>
  <c r="U28"/>
  <c r="R68"/>
  <c r="R67"/>
  <c r="R66"/>
  <c r="R65"/>
  <c r="R63"/>
  <c r="R61"/>
  <c r="R59"/>
  <c r="R58"/>
  <c r="R56"/>
  <c r="R55"/>
  <c r="R53"/>
  <c r="R52"/>
  <c r="R50"/>
  <c r="R49"/>
  <c r="R64"/>
  <c r="R62"/>
  <c r="R60"/>
  <c r="R57"/>
  <c r="R54"/>
  <c r="R51"/>
  <c r="R48"/>
  <c r="R47"/>
  <c r="U13"/>
  <c r="U14"/>
  <c r="U15"/>
  <c r="U17"/>
  <c r="U18"/>
  <c r="U20"/>
  <c r="U24"/>
  <c r="U25"/>
  <c r="AJ25" s="1"/>
  <c r="BE25" s="1"/>
  <c r="BF25" s="1"/>
  <c r="AN6" i="19"/>
  <c r="AO6" i="28"/>
  <c r="AO68" i="19"/>
  <c r="AP6" i="32"/>
  <c r="AP6" i="33" s="1"/>
  <c r="AU6" i="6"/>
  <c r="M19" i="18" l="1"/>
  <c r="AE66"/>
  <c r="M22"/>
  <c r="M21"/>
  <c r="M14"/>
  <c r="AC42"/>
  <c r="BC42" s="1"/>
  <c r="M20"/>
  <c r="M18"/>
  <c r="AC41"/>
  <c r="M26"/>
  <c r="M24"/>
  <c r="M23"/>
  <c r="M30"/>
  <c r="M27"/>
  <c r="M32"/>
  <c r="M29"/>
  <c r="M28"/>
  <c r="M25"/>
  <c r="M31"/>
  <c r="W32"/>
  <c r="AE52"/>
  <c r="AE47"/>
  <c r="AE55"/>
  <c r="AE60"/>
  <c r="AE63"/>
  <c r="BB31"/>
  <c r="AE49"/>
  <c r="AE56"/>
  <c r="AE51"/>
  <c r="AE59"/>
  <c r="AE65"/>
  <c r="AD65" s="1"/>
  <c r="AE69"/>
  <c r="AE70"/>
  <c r="AE71"/>
  <c r="AE72"/>
  <c r="AE73"/>
  <c r="BE31"/>
  <c r="AE64"/>
  <c r="AE48"/>
  <c r="AE50"/>
  <c r="AE54"/>
  <c r="AE58"/>
  <c r="AE62"/>
  <c r="AE53"/>
  <c r="AE57"/>
  <c r="AE61"/>
  <c r="AE67"/>
  <c r="AC14"/>
  <c r="W31"/>
  <c r="W27"/>
  <c r="AJ27"/>
  <c r="BE27" s="1"/>
  <c r="BF27" s="1"/>
  <c r="W26"/>
  <c r="W29"/>
  <c r="W28"/>
  <c r="AJ28"/>
  <c r="BE28" s="1"/>
  <c r="BF28" s="1"/>
  <c r="AO69" i="28"/>
  <c r="AO6" i="29"/>
  <c r="AP6" i="34"/>
  <c r="AM6" i="19"/>
  <c r="AN6" i="28"/>
  <c r="AN69" s="1"/>
  <c r="AN68" i="19"/>
  <c r="AC22" i="18" l="1"/>
  <c r="BC22" s="1"/>
  <c r="BD22" s="1"/>
  <c r="AC18"/>
  <c r="BC18" s="1"/>
  <c r="BD18" s="1"/>
  <c r="AC19"/>
  <c r="BC19" s="1"/>
  <c r="BD19" s="1"/>
  <c r="AC27"/>
  <c r="BC27" s="1"/>
  <c r="BD27" s="1"/>
  <c r="AC23"/>
  <c r="BC23" s="1"/>
  <c r="BD23" s="1"/>
  <c r="AC26"/>
  <c r="BC26" s="1"/>
  <c r="BD26" s="1"/>
  <c r="AC25"/>
  <c r="BC25" s="1"/>
  <c r="BD25" s="1"/>
  <c r="AC29"/>
  <c r="BC29" s="1"/>
  <c r="BD29" s="1"/>
  <c r="AC20"/>
  <c r="BC20" s="1"/>
  <c r="BD20" s="1"/>
  <c r="AP23"/>
  <c r="AC21"/>
  <c r="AP42"/>
  <c r="BC41"/>
  <c r="AC28"/>
  <c r="BC28" s="1"/>
  <c r="BD28" s="1"/>
  <c r="AC30"/>
  <c r="BC30" s="1"/>
  <c r="BD30" s="1"/>
  <c r="AC24"/>
  <c r="BC24" s="1"/>
  <c r="BD24" s="1"/>
  <c r="BF31"/>
  <c r="AQ6" i="35"/>
  <c r="AN6" i="29"/>
  <c r="AO6" i="30"/>
  <c r="AM6" i="28"/>
  <c r="AM69" s="1"/>
  <c r="AM68" i="19"/>
  <c r="AP22" i="18" l="1"/>
  <c r="BC21"/>
  <c r="BD21" s="1"/>
  <c r="AK25"/>
  <c r="AK29"/>
  <c r="AP19"/>
  <c r="AP26"/>
  <c r="AP27"/>
  <c r="AP21"/>
  <c r="AP20"/>
  <c r="AP25"/>
  <c r="AP24"/>
  <c r="AP30"/>
  <c r="AP28"/>
  <c r="AP29"/>
  <c r="AM6" i="29"/>
  <c r="AN6" i="30"/>
  <c r="AO6" i="31"/>
  <c r="AQ78" i="35"/>
  <c r="AN6" i="31" l="1"/>
  <c r="AO6" i="32"/>
  <c r="AO6" i="33" s="1"/>
  <c r="AT6" i="6"/>
  <c r="AM6" i="30"/>
  <c r="AM6" i="31" l="1"/>
  <c r="AN6" i="32"/>
  <c r="AN6" i="33" s="1"/>
  <c r="AS6" i="6"/>
  <c r="AO6" i="34"/>
  <c r="AN6" l="1"/>
  <c r="AP6" i="35"/>
  <c r="AM6" i="32"/>
  <c r="AM6" i="33" s="1"/>
  <c r="AR6" i="6"/>
  <c r="AM6" i="34" l="1"/>
  <c r="AO6" i="35"/>
  <c r="AP78"/>
  <c r="AO78" l="1"/>
  <c r="AN6"/>
  <c r="AN78" s="1"/>
  <c r="AJ44" i="1" l="1"/>
  <c r="AI44"/>
  <c r="AK44"/>
  <c r="B44" l="1"/>
  <c r="AJ43" l="1"/>
  <c r="AI43"/>
  <c r="AK43"/>
  <c r="B43"/>
  <c r="AJ42" l="1"/>
  <c r="AI42"/>
  <c r="AK42"/>
  <c r="B42"/>
  <c r="AJ41"/>
  <c r="AI41"/>
  <c r="AK41"/>
  <c r="I42" l="1"/>
  <c r="K42" s="1"/>
  <c r="B41"/>
  <c r="AJ40"/>
  <c r="AI40"/>
  <c r="AK40"/>
  <c r="B40"/>
  <c r="R42" l="1"/>
  <c r="AH42" s="1"/>
  <c r="N42"/>
  <c r="O42" s="1"/>
  <c r="Q42" s="1"/>
  <c r="I41"/>
  <c r="K41" s="1"/>
  <c r="I40"/>
  <c r="K40" s="1"/>
  <c r="AB39"/>
  <c r="AJ39"/>
  <c r="AI39"/>
  <c r="AK39"/>
  <c r="B39"/>
  <c r="AJ38"/>
  <c r="AI38"/>
  <c r="AK38"/>
  <c r="B38"/>
  <c r="AJ37"/>
  <c r="AI37"/>
  <c r="AK37"/>
  <c r="B37"/>
  <c r="AJ36"/>
  <c r="AI36"/>
  <c r="AK36"/>
  <c r="B36"/>
  <c r="AJ35"/>
  <c r="AI35"/>
  <c r="AK35"/>
  <c r="B35"/>
  <c r="BK42" l="1"/>
  <c r="R41"/>
  <c r="AH41" s="1"/>
  <c r="R40"/>
  <c r="AH40" s="1"/>
  <c r="N41"/>
  <c r="O41" s="1"/>
  <c r="Q41" s="1"/>
  <c r="N40"/>
  <c r="O40" s="1"/>
  <c r="Q40" s="1"/>
  <c r="I35"/>
  <c r="K35" s="1"/>
  <c r="I37"/>
  <c r="K37" s="1"/>
  <c r="I39"/>
  <c r="K39" s="1"/>
  <c r="I36"/>
  <c r="K36" s="1"/>
  <c r="I38"/>
  <c r="K38" s="1"/>
  <c r="AN34"/>
  <c r="AN35" s="1"/>
  <c r="AI34"/>
  <c r="AJ34"/>
  <c r="AK34"/>
  <c r="B34"/>
  <c r="AI33"/>
  <c r="AJ33"/>
  <c r="AK33"/>
  <c r="P33"/>
  <c r="B33"/>
  <c r="AI32"/>
  <c r="AJ32"/>
  <c r="AK32"/>
  <c r="B32"/>
  <c r="Z31"/>
  <c r="V46" s="1"/>
  <c r="BK41" l="1"/>
  <c r="AU42"/>
  <c r="R38"/>
  <c r="AH38" s="1"/>
  <c r="BK40"/>
  <c r="R36"/>
  <c r="AH36" s="1"/>
  <c r="R39"/>
  <c r="AH39" s="1"/>
  <c r="R35"/>
  <c r="AH35" s="1"/>
  <c r="R37"/>
  <c r="AH37" s="1"/>
  <c r="AU41"/>
  <c r="I32"/>
  <c r="K32" s="1"/>
  <c r="I33"/>
  <c r="K33" s="1"/>
  <c r="I34"/>
  <c r="K34" s="1"/>
  <c r="N38"/>
  <c r="O38" s="1"/>
  <c r="Q38" s="1"/>
  <c r="B8" i="38"/>
  <c r="B8" i="39"/>
  <c r="AJ31" i="1"/>
  <c r="AI31"/>
  <c r="AK31"/>
  <c r="L31"/>
  <c r="G31"/>
  <c r="F31"/>
  <c r="E31"/>
  <c r="D31"/>
  <c r="B31"/>
  <c r="Z30"/>
  <c r="AJ30"/>
  <c r="AI30"/>
  <c r="AK30"/>
  <c r="P30"/>
  <c r="M30"/>
  <c r="L30"/>
  <c r="G30"/>
  <c r="F30"/>
  <c r="E30"/>
  <c r="D30"/>
  <c r="B30"/>
  <c r="V29"/>
  <c r="AJ29"/>
  <c r="AI29"/>
  <c r="AK29"/>
  <c r="P29"/>
  <c r="M29"/>
  <c r="L29"/>
  <c r="G29"/>
  <c r="F29"/>
  <c r="E29"/>
  <c r="D29"/>
  <c r="B29"/>
  <c r="W28"/>
  <c r="AJ28"/>
  <c r="AI28"/>
  <c r="AK28"/>
  <c r="P28"/>
  <c r="M28"/>
  <c r="L28"/>
  <c r="G28"/>
  <c r="F28"/>
  <c r="E28"/>
  <c r="D28"/>
  <c r="B28"/>
  <c r="W27"/>
  <c r="AJ27"/>
  <c r="AI27"/>
  <c r="AK27"/>
  <c r="P27"/>
  <c r="M27"/>
  <c r="L27"/>
  <c r="G27"/>
  <c r="F27"/>
  <c r="E27"/>
  <c r="D27"/>
  <c r="B27"/>
  <c r="W26"/>
  <c r="AJ26"/>
  <c r="AI26"/>
  <c r="AK26"/>
  <c r="P26"/>
  <c r="M26"/>
  <c r="L26"/>
  <c r="G26"/>
  <c r="F26"/>
  <c r="E26"/>
  <c r="D26"/>
  <c r="B26"/>
  <c r="W25"/>
  <c r="AJ25"/>
  <c r="AI25"/>
  <c r="AK25"/>
  <c r="P25"/>
  <c r="M25"/>
  <c r="L25"/>
  <c r="G25"/>
  <c r="F25"/>
  <c r="E25"/>
  <c r="D25"/>
  <c r="B25"/>
  <c r="W24"/>
  <c r="AJ24"/>
  <c r="AI24"/>
  <c r="AK24"/>
  <c r="P24"/>
  <c r="M24"/>
  <c r="L24"/>
  <c r="G24"/>
  <c r="F24"/>
  <c r="E24"/>
  <c r="D24"/>
  <c r="B24"/>
  <c r="W23"/>
  <c r="AJ23"/>
  <c r="AI23"/>
  <c r="AK23"/>
  <c r="P23"/>
  <c r="M23"/>
  <c r="L23"/>
  <c r="G23"/>
  <c r="F23"/>
  <c r="E23"/>
  <c r="D23"/>
  <c r="B23"/>
  <c r="W22"/>
  <c r="AJ22"/>
  <c r="AI22"/>
  <c r="P22"/>
  <c r="M22"/>
  <c r="L22"/>
  <c r="G22"/>
  <c r="F22"/>
  <c r="E22"/>
  <c r="D22"/>
  <c r="B22"/>
  <c r="W21"/>
  <c r="AJ21"/>
  <c r="AI21"/>
  <c r="P21"/>
  <c r="M21"/>
  <c r="L21"/>
  <c r="G21"/>
  <c r="F21"/>
  <c r="E21"/>
  <c r="D21"/>
  <c r="B21"/>
  <c r="W20"/>
  <c r="AJ20"/>
  <c r="AI20"/>
  <c r="P20"/>
  <c r="M20"/>
  <c r="L20"/>
  <c r="G20"/>
  <c r="F20"/>
  <c r="E20"/>
  <c r="D20"/>
  <c r="B20"/>
  <c r="W19"/>
  <c r="AJ19"/>
  <c r="AI19"/>
  <c r="P19"/>
  <c r="M19"/>
  <c r="L19"/>
  <c r="G19"/>
  <c r="F19"/>
  <c r="E19"/>
  <c r="D19"/>
  <c r="B19"/>
  <c r="W18"/>
  <c r="AJ18"/>
  <c r="AI18"/>
  <c r="P18"/>
  <c r="M18"/>
  <c r="L18"/>
  <c r="G18"/>
  <c r="F18"/>
  <c r="E18"/>
  <c r="D18"/>
  <c r="B18"/>
  <c r="W17"/>
  <c r="AJ17"/>
  <c r="AI17"/>
  <c r="P17"/>
  <c r="M17"/>
  <c r="L17"/>
  <c r="G17"/>
  <c r="F17"/>
  <c r="E17"/>
  <c r="D17"/>
  <c r="B17"/>
  <c r="W16"/>
  <c r="AJ16"/>
  <c r="AI16"/>
  <c r="AK16"/>
  <c r="P16"/>
  <c r="M16"/>
  <c r="L16"/>
  <c r="G16"/>
  <c r="F16"/>
  <c r="E16"/>
  <c r="D16"/>
  <c r="B16"/>
  <c r="W15"/>
  <c r="AJ15"/>
  <c r="AI15"/>
  <c r="P15"/>
  <c r="M15"/>
  <c r="L15"/>
  <c r="G15"/>
  <c r="F15"/>
  <c r="E15"/>
  <c r="D15"/>
  <c r="B15"/>
  <c r="W14"/>
  <c r="U74"/>
  <c r="T74"/>
  <c r="P14"/>
  <c r="M14"/>
  <c r="L14"/>
  <c r="G14"/>
  <c r="F14"/>
  <c r="E14"/>
  <c r="D14"/>
  <c r="B14"/>
  <c r="W13"/>
  <c r="AJ13"/>
  <c r="AI13"/>
  <c r="AK13"/>
  <c r="P13"/>
  <c r="M13"/>
  <c r="L13"/>
  <c r="G13"/>
  <c r="F13"/>
  <c r="E13"/>
  <c r="D13"/>
  <c r="B13"/>
  <c r="W12"/>
  <c r="V12" s="1"/>
  <c r="AL12" s="1"/>
  <c r="AJ12"/>
  <c r="AI12"/>
  <c r="AK12"/>
  <c r="P12"/>
  <c r="M12"/>
  <c r="L12"/>
  <c r="G12"/>
  <c r="F12"/>
  <c r="E12"/>
  <c r="D12"/>
  <c r="B12"/>
  <c r="W11"/>
  <c r="V11" s="1"/>
  <c r="AJ11"/>
  <c r="AI11"/>
  <c r="AK11"/>
  <c r="P11"/>
  <c r="M11"/>
  <c r="L11"/>
  <c r="G11"/>
  <c r="F11"/>
  <c r="E11"/>
  <c r="D11"/>
  <c r="B11"/>
  <c r="W10"/>
  <c r="V10" s="1"/>
  <c r="AJ10"/>
  <c r="AI10"/>
  <c r="P10"/>
  <c r="M10"/>
  <c r="L10"/>
  <c r="G10"/>
  <c r="F10"/>
  <c r="E10"/>
  <c r="D10"/>
  <c r="B10"/>
  <c r="AG9"/>
  <c r="AG10" s="1"/>
  <c r="W9"/>
  <c r="V9" s="1"/>
  <c r="AL9" s="1"/>
  <c r="AJ9"/>
  <c r="AI9"/>
  <c r="AK9"/>
  <c r="P9"/>
  <c r="M9"/>
  <c r="L9"/>
  <c r="G9"/>
  <c r="F9"/>
  <c r="E9"/>
  <c r="D9"/>
  <c r="B9"/>
  <c r="W8"/>
  <c r="V8" s="1"/>
  <c r="P8"/>
  <c r="M8"/>
  <c r="L8"/>
  <c r="G8"/>
  <c r="F8"/>
  <c r="E8"/>
  <c r="D8"/>
  <c r="B8"/>
  <c r="S32" i="36"/>
  <c r="S33"/>
  <c r="S34"/>
  <c r="S35"/>
  <c r="T42"/>
  <c r="T43" s="1"/>
  <c r="T44" s="1"/>
  <c r="S41"/>
  <c r="S45"/>
  <c r="S36"/>
  <c r="S37"/>
  <c r="S38"/>
  <c r="S39"/>
  <c r="S42"/>
  <c r="S43"/>
  <c r="S44"/>
  <c r="N79" i="39"/>
  <c r="A79"/>
  <c r="N78"/>
  <c r="N71"/>
  <c r="E71"/>
  <c r="A71"/>
  <c r="N70"/>
  <c r="N77"/>
  <c r="A77"/>
  <c r="N69"/>
  <c r="E69"/>
  <c r="A69"/>
  <c r="N68"/>
  <c r="N73"/>
  <c r="A73"/>
  <c r="N75"/>
  <c r="A75"/>
  <c r="N74"/>
  <c r="N67"/>
  <c r="E67"/>
  <c r="A67"/>
  <c r="N72"/>
  <c r="E72"/>
  <c r="N81"/>
  <c r="E81"/>
  <c r="A81"/>
  <c r="N80"/>
  <c r="E80"/>
  <c r="N84"/>
  <c r="E84"/>
  <c r="N85"/>
  <c r="E85"/>
  <c r="N76"/>
  <c r="E76"/>
  <c r="E82"/>
  <c r="N83"/>
  <c r="E83"/>
  <c r="U59" i="41"/>
  <c r="U60" s="1"/>
  <c r="U61" s="1"/>
  <c r="U62" s="1"/>
  <c r="U63" s="1"/>
  <c r="U64" s="1"/>
  <c r="U65" s="1"/>
  <c r="U66" s="1"/>
  <c r="U67" s="1"/>
  <c r="U68" s="1"/>
  <c r="U69" s="1"/>
  <c r="U70" s="1"/>
  <c r="U71" s="1"/>
  <c r="U72" s="1"/>
  <c r="U73" s="1"/>
  <c r="U74" s="1"/>
  <c r="U75" s="1"/>
  <c r="U76" s="1"/>
  <c r="N32" i="1" l="1"/>
  <c r="O32" s="1"/>
  <c r="R32"/>
  <c r="AH32" s="1"/>
  <c r="BK38"/>
  <c r="AH33"/>
  <c r="R33"/>
  <c r="R34"/>
  <c r="AH34" s="1"/>
  <c r="V13"/>
  <c r="AC13" s="1"/>
  <c r="AL13"/>
  <c r="V18"/>
  <c r="AL18"/>
  <c r="AO18" s="1"/>
  <c r="V22"/>
  <c r="AL22"/>
  <c r="V28"/>
  <c r="AL28"/>
  <c r="AO28" s="1"/>
  <c r="V15"/>
  <c r="AL15"/>
  <c r="V16"/>
  <c r="AL16"/>
  <c r="V20"/>
  <c r="AL20"/>
  <c r="V14"/>
  <c r="AL14"/>
  <c r="V19"/>
  <c r="AC19" s="1"/>
  <c r="AL19"/>
  <c r="V23"/>
  <c r="AL23"/>
  <c r="V24"/>
  <c r="AC24" s="1"/>
  <c r="AL24"/>
  <c r="V25"/>
  <c r="AL25"/>
  <c r="AO25" s="1"/>
  <c r="V26"/>
  <c r="AC27" s="1"/>
  <c r="AL26"/>
  <c r="AO26" s="1"/>
  <c r="V27"/>
  <c r="AL27"/>
  <c r="V17"/>
  <c r="AC18" s="1"/>
  <c r="AL17"/>
  <c r="V21"/>
  <c r="AL21"/>
  <c r="I15"/>
  <c r="K15" s="1"/>
  <c r="I14"/>
  <c r="N14" s="1"/>
  <c r="O14" s="1"/>
  <c r="Q14" s="1"/>
  <c r="I27"/>
  <c r="N27" s="1"/>
  <c r="O27" s="1"/>
  <c r="Q27" s="1"/>
  <c r="AO16"/>
  <c r="AG11"/>
  <c r="AJ72"/>
  <c r="AJ69"/>
  <c r="AJ70"/>
  <c r="AJ71"/>
  <c r="AJ73"/>
  <c r="AI69"/>
  <c r="AI70"/>
  <c r="AI71"/>
  <c r="AI73"/>
  <c r="AI72"/>
  <c r="I11"/>
  <c r="N11" s="1"/>
  <c r="O11" s="1"/>
  <c r="Q11" s="1"/>
  <c r="AH11" s="1"/>
  <c r="I12"/>
  <c r="K12" s="1"/>
  <c r="R12" s="1"/>
  <c r="I8"/>
  <c r="N8" s="1"/>
  <c r="O8" s="1"/>
  <c r="Q8" s="1"/>
  <c r="I10"/>
  <c r="K10" s="1"/>
  <c r="R10" s="1"/>
  <c r="I16"/>
  <c r="N16" s="1"/>
  <c r="O16" s="1"/>
  <c r="Q16" s="1"/>
  <c r="Q95" i="39"/>
  <c r="Q151" s="1"/>
  <c r="Q86" i="38"/>
  <c r="Q136" s="1"/>
  <c r="U46"/>
  <c r="T46" s="1"/>
  <c r="T52" i="39"/>
  <c r="S52" s="1"/>
  <c r="U45" i="38"/>
  <c r="T45" s="1"/>
  <c r="T51" i="39"/>
  <c r="U44" i="38"/>
  <c r="T44" s="1"/>
  <c r="T50" i="39"/>
  <c r="S50" s="1"/>
  <c r="U43" i="38"/>
  <c r="T43" s="1"/>
  <c r="T49" i="39"/>
  <c r="T45" i="36"/>
  <c r="T46" s="1"/>
  <c r="T47" s="1"/>
  <c r="T48" s="1"/>
  <c r="T49" s="1"/>
  <c r="I9" i="1"/>
  <c r="N9" s="1"/>
  <c r="O9" s="1"/>
  <c r="Q9" s="1"/>
  <c r="AH9" s="1"/>
  <c r="I13"/>
  <c r="K13" s="1"/>
  <c r="I17"/>
  <c r="K17" s="1"/>
  <c r="I18"/>
  <c r="N18" s="1"/>
  <c r="O18" s="1"/>
  <c r="Q18" s="1"/>
  <c r="I19"/>
  <c r="K19" s="1"/>
  <c r="I22"/>
  <c r="N22" s="1"/>
  <c r="O22" s="1"/>
  <c r="Q22" s="1"/>
  <c r="I31"/>
  <c r="K31" s="1"/>
  <c r="I20"/>
  <c r="N20" s="1"/>
  <c r="O20" s="1"/>
  <c r="Q20" s="1"/>
  <c r="I21"/>
  <c r="K21" s="1"/>
  <c r="I23"/>
  <c r="K23" s="1"/>
  <c r="I24"/>
  <c r="N24" s="1"/>
  <c r="O24" s="1"/>
  <c r="Q24" s="1"/>
  <c r="I25"/>
  <c r="K25" s="1"/>
  <c r="I26"/>
  <c r="N26" s="1"/>
  <c r="O26" s="1"/>
  <c r="Q26" s="1"/>
  <c r="I28"/>
  <c r="K28" s="1"/>
  <c r="I29"/>
  <c r="K29" s="1"/>
  <c r="I30"/>
  <c r="K30" s="1"/>
  <c r="V30"/>
  <c r="AC30" s="1"/>
  <c r="AJ68"/>
  <c r="AJ66"/>
  <c r="AJ67"/>
  <c r="AJ64"/>
  <c r="AJ63"/>
  <c r="AJ62"/>
  <c r="AJ61"/>
  <c r="AJ60"/>
  <c r="AJ59"/>
  <c r="AJ58"/>
  <c r="AJ57"/>
  <c r="AJ56"/>
  <c r="AJ55"/>
  <c r="AJ51"/>
  <c r="AJ54"/>
  <c r="AJ53"/>
  <c r="AJ52"/>
  <c r="AJ49"/>
  <c r="AJ50"/>
  <c r="AJ48"/>
  <c r="AJ47"/>
  <c r="AK10"/>
  <c r="AJ14"/>
  <c r="AI68"/>
  <c r="AI67"/>
  <c r="AI66"/>
  <c r="AI65"/>
  <c r="AI63"/>
  <c r="AI62"/>
  <c r="AI61"/>
  <c r="AI60"/>
  <c r="AI59"/>
  <c r="AI64"/>
  <c r="AI58"/>
  <c r="AI57"/>
  <c r="AI56"/>
  <c r="AI55"/>
  <c r="AI54"/>
  <c r="AI53"/>
  <c r="AI52"/>
  <c r="AI51"/>
  <c r="AI50"/>
  <c r="AI49"/>
  <c r="AI47"/>
  <c r="AI48"/>
  <c r="AC10"/>
  <c r="AI14"/>
  <c r="AK14"/>
  <c r="AK15"/>
  <c r="AK17"/>
  <c r="AK18"/>
  <c r="AK19"/>
  <c r="AK20"/>
  <c r="AK21"/>
  <c r="AK22"/>
  <c r="AC11"/>
  <c r="AC28"/>
  <c r="Y68"/>
  <c r="Y66"/>
  <c r="Y67"/>
  <c r="Y64"/>
  <c r="Y63"/>
  <c r="Y61"/>
  <c r="Y62"/>
  <c r="Y60"/>
  <c r="Y65"/>
  <c r="Y59"/>
  <c r="Y58"/>
  <c r="Y56"/>
  <c r="Y57"/>
  <c r="Y54"/>
  <c r="Y52"/>
  <c r="Y51"/>
  <c r="Y55"/>
  <c r="Y53"/>
  <c r="Y50"/>
  <c r="Y49"/>
  <c r="Y48"/>
  <c r="Y47"/>
  <c r="AC9"/>
  <c r="AC12"/>
  <c r="AC29"/>
  <c r="AC17" l="1"/>
  <c r="AC21"/>
  <c r="AC15"/>
  <c r="AC22"/>
  <c r="AC20"/>
  <c r="AC25"/>
  <c r="R30"/>
  <c r="AH30" s="1"/>
  <c r="R25"/>
  <c r="AH25" s="1"/>
  <c r="R21"/>
  <c r="AH21" s="1"/>
  <c r="R19"/>
  <c r="AH19" s="1"/>
  <c r="R15"/>
  <c r="AH15" s="1"/>
  <c r="BK15" s="1"/>
  <c r="R29"/>
  <c r="AH29" s="1"/>
  <c r="R31"/>
  <c r="AH31" s="1"/>
  <c r="R17"/>
  <c r="AH17" s="1"/>
  <c r="R28"/>
  <c r="AH28" s="1"/>
  <c r="R23"/>
  <c r="AH23" s="1"/>
  <c r="R13"/>
  <c r="AH13" s="1"/>
  <c r="AC16"/>
  <c r="N15"/>
  <c r="O15" s="1"/>
  <c r="Q15" s="1"/>
  <c r="AC14"/>
  <c r="K11"/>
  <c r="R11" s="1"/>
  <c r="AC26"/>
  <c r="AC23"/>
  <c r="K14"/>
  <c r="K8"/>
  <c r="R8" s="1"/>
  <c r="K18"/>
  <c r="K27"/>
  <c r="K22"/>
  <c r="AG12"/>
  <c r="AO22"/>
  <c r="AO20"/>
  <c r="AO17"/>
  <c r="AO15"/>
  <c r="AO14"/>
  <c r="AO30"/>
  <c r="BM30" s="1"/>
  <c r="K16"/>
  <c r="K9"/>
  <c r="R9" s="1"/>
  <c r="K24"/>
  <c r="K26"/>
  <c r="K20"/>
  <c r="AN36"/>
  <c r="AK68"/>
  <c r="AK67"/>
  <c r="AK66"/>
  <c r="AK63"/>
  <c r="AK62"/>
  <c r="AK61"/>
  <c r="AK60"/>
  <c r="AK59"/>
  <c r="AK65"/>
  <c r="AK64"/>
  <c r="AK58"/>
  <c r="AK57"/>
  <c r="AK56"/>
  <c r="AK55"/>
  <c r="AK54"/>
  <c r="AK53"/>
  <c r="AK52"/>
  <c r="AK51"/>
  <c r="AK50"/>
  <c r="AK49"/>
  <c r="AK47"/>
  <c r="AK48"/>
  <c r="AN37"/>
  <c r="BM26"/>
  <c r="R26" l="1"/>
  <c r="AH26" s="1"/>
  <c r="R18"/>
  <c r="AH18" s="1"/>
  <c r="BK18" s="1"/>
  <c r="R27"/>
  <c r="AH27" s="1"/>
  <c r="BK27" s="1"/>
  <c r="AP15"/>
  <c r="R24"/>
  <c r="AH24" s="1"/>
  <c r="R20"/>
  <c r="AH20" s="1"/>
  <c r="R16"/>
  <c r="AH16" s="1"/>
  <c r="AP16" s="1"/>
  <c r="R22"/>
  <c r="AH22" s="1"/>
  <c r="R14"/>
  <c r="AH14" s="1"/>
  <c r="AJ65"/>
  <c r="BJ25"/>
  <c r="BJ14"/>
  <c r="BJ16"/>
  <c r="BJ20"/>
  <c r="BJ22"/>
  <c r="BJ26"/>
  <c r="BJ28"/>
  <c r="BJ30"/>
  <c r="BN30" s="1"/>
  <c r="BJ15"/>
  <c r="BJ17"/>
  <c r="AG13"/>
  <c r="AU15" l="1"/>
  <c r="BK14"/>
  <c r="BK20"/>
  <c r="AP20"/>
  <c r="BK22"/>
  <c r="AP22"/>
  <c r="AU27"/>
  <c r="BK26"/>
  <c r="BL26" s="1"/>
  <c r="AP26"/>
  <c r="BK16"/>
  <c r="AU16"/>
  <c r="BI13"/>
  <c r="AG14"/>
  <c r="BN26"/>
  <c r="AU9"/>
  <c r="N140" i="38"/>
  <c r="N138"/>
  <c r="N142"/>
  <c r="N144"/>
  <c r="C86"/>
  <c r="N136"/>
  <c r="E22" i="39"/>
  <c r="E78" s="1"/>
  <c r="E19"/>
  <c r="E75" s="1"/>
  <c r="E23"/>
  <c r="E79" s="1"/>
  <c r="E8" i="36"/>
  <c r="E12" i="39" s="1"/>
  <c r="E68" s="1"/>
  <c r="E8"/>
  <c r="E64" s="1"/>
  <c r="N169"/>
  <c r="E115"/>
  <c r="N171"/>
  <c r="N95"/>
  <c r="N151" s="1"/>
  <c r="N159"/>
  <c r="N167"/>
  <c r="N158"/>
  <c r="N166"/>
  <c r="N157"/>
  <c r="N165"/>
  <c r="N156"/>
  <c r="N164"/>
  <c r="N26"/>
  <c r="N82" s="1"/>
  <c r="E10"/>
  <c r="E66" s="1"/>
  <c r="E9"/>
  <c r="E65" s="1"/>
  <c r="N65"/>
  <c r="K65"/>
  <c r="I65"/>
  <c r="A65"/>
  <c r="E18"/>
  <c r="E74" s="1"/>
  <c r="N64"/>
  <c r="L64"/>
  <c r="K64"/>
  <c r="J64"/>
  <c r="I64"/>
  <c r="H64"/>
  <c r="B64"/>
  <c r="E17"/>
  <c r="E73" s="1"/>
  <c r="E21"/>
  <c r="E77" s="1"/>
  <c r="E14"/>
  <c r="E70" s="1"/>
  <c r="N42" i="35"/>
  <c r="N41" i="28"/>
  <c r="O41" s="1"/>
  <c r="N41" i="29"/>
  <c r="O41" s="1"/>
  <c r="N41" i="31"/>
  <c r="O41" s="1"/>
  <c r="N42" i="34"/>
  <c r="N33" i="1"/>
  <c r="O33" s="1"/>
  <c r="Q33" s="1"/>
  <c r="N34"/>
  <c r="O34" s="1"/>
  <c r="Q34" s="1"/>
  <c r="E116" i="39"/>
  <c r="N104"/>
  <c r="N160" s="1"/>
  <c r="N148" i="38"/>
  <c r="N152"/>
  <c r="N154"/>
  <c r="N150"/>
  <c r="N146"/>
  <c r="N143"/>
  <c r="N145"/>
  <c r="N58"/>
  <c r="N170" i="39"/>
  <c r="N172"/>
  <c r="N155"/>
  <c r="N163"/>
  <c r="N154"/>
  <c r="N162"/>
  <c r="N153"/>
  <c r="N161"/>
  <c r="N152"/>
  <c r="N168"/>
  <c r="N66"/>
  <c r="K66"/>
  <c r="H66"/>
  <c r="N39" i="1"/>
  <c r="O39" s="1"/>
  <c r="Q39" s="1"/>
  <c r="N37"/>
  <c r="O37" s="1"/>
  <c r="Q37" s="1"/>
  <c r="N35"/>
  <c r="O35" s="1"/>
  <c r="Q35" s="1"/>
  <c r="N36"/>
  <c r="O36" s="1"/>
  <c r="Q36" s="1"/>
  <c r="M38" i="18"/>
  <c r="M36"/>
  <c r="M37" i="19"/>
  <c r="M40"/>
  <c r="M35"/>
  <c r="AH36"/>
  <c r="AH37" s="1"/>
  <c r="AH38" s="1"/>
  <c r="AH39" s="1"/>
  <c r="AH40" s="1"/>
  <c r="M36" i="28"/>
  <c r="AP28" i="19"/>
  <c r="AH44"/>
  <c r="AH45" s="1"/>
  <c r="AH46" s="1"/>
  <c r="AH47" s="1"/>
  <c r="AH48" s="1"/>
  <c r="AH49" s="1"/>
  <c r="AH50" s="1"/>
  <c r="AH51" s="1"/>
  <c r="AH52" s="1"/>
  <c r="AH53" s="1"/>
  <c r="AH54" s="1"/>
  <c r="AH55" s="1"/>
  <c r="AH56" s="1"/>
  <c r="AH57" s="1"/>
  <c r="AH58" s="1"/>
  <c r="AH59" s="1"/>
  <c r="AH60" s="1"/>
  <c r="AH61" s="1"/>
  <c r="AH62" s="1"/>
  <c r="AH63" s="1"/>
  <c r="AL59"/>
  <c r="AL60" s="1"/>
  <c r="AL61" s="1"/>
  <c r="AL62" s="1"/>
  <c r="AL63" s="1"/>
  <c r="AG59"/>
  <c r="AG60"/>
  <c r="AG61" s="1"/>
  <c r="AG62" s="1"/>
  <c r="AG63" s="1"/>
  <c r="BE80"/>
  <c r="M35" i="28"/>
  <c r="M40"/>
  <c r="M41"/>
  <c r="AP22"/>
  <c r="AP30"/>
  <c r="BE75"/>
  <c r="BE77"/>
  <c r="BE78"/>
  <c r="BE80"/>
  <c r="BE82"/>
  <c r="BE83"/>
  <c r="BE84"/>
  <c r="M40" i="29"/>
  <c r="M41"/>
  <c r="BD20"/>
  <c r="BD23"/>
  <c r="BD27"/>
  <c r="M38"/>
  <c r="AI36"/>
  <c r="AI37"/>
  <c r="BD21" i="30"/>
  <c r="M38"/>
  <c r="M37"/>
  <c r="BD14"/>
  <c r="BD17"/>
  <c r="BD24"/>
  <c r="BD27"/>
  <c r="M38" i="31"/>
  <c r="BB16"/>
  <c r="M41"/>
  <c r="BB17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D21"/>
  <c r="BD25"/>
  <c r="BD26"/>
  <c r="BD28"/>
  <c r="AL16" i="6"/>
  <c r="BI23"/>
  <c r="BI25"/>
  <c r="BI26"/>
  <c r="AM40"/>
  <c r="A46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M37" i="32"/>
  <c r="M36"/>
  <c r="BE18"/>
  <c r="BE41"/>
  <c r="M37" i="33"/>
  <c r="BE18"/>
  <c r="BE19"/>
  <c r="BE20"/>
  <c r="BE21"/>
  <c r="BE22"/>
  <c r="BE23"/>
  <c r="BE24"/>
  <c r="BE25"/>
  <c r="BE26"/>
  <c r="BE27"/>
  <c r="BE28"/>
  <c r="AI36"/>
  <c r="BC25" i="34"/>
  <c r="BC24"/>
  <c r="BC23"/>
  <c r="BC20"/>
  <c r="BC21"/>
  <c r="BC17"/>
  <c r="BC32"/>
  <c r="BC31"/>
  <c r="BC29"/>
  <c r="BC27"/>
  <c r="BC19"/>
  <c r="BC30"/>
  <c r="BC22"/>
  <c r="BC15"/>
  <c r="BC26"/>
  <c r="BC18"/>
  <c r="BC16"/>
  <c r="BC33"/>
  <c r="M35"/>
  <c r="M38"/>
  <c r="BE20"/>
  <c r="BE22"/>
  <c r="M36"/>
  <c r="BC39" i="35"/>
  <c r="M38"/>
  <c r="BC35"/>
  <c r="BC34"/>
  <c r="BC33"/>
  <c r="BC25"/>
  <c r="BC20"/>
  <c r="BC41"/>
  <c r="M40"/>
  <c r="BC37"/>
  <c r="BC30"/>
  <c r="BC28"/>
  <c r="BC24"/>
  <c r="BC21"/>
  <c r="AQ21"/>
  <c r="BC40"/>
  <c r="M39"/>
  <c r="BC27"/>
  <c r="BC23"/>
  <c r="BC38"/>
  <c r="BC36"/>
  <c r="BC32"/>
  <c r="BC31"/>
  <c r="BC29"/>
  <c r="BC26"/>
  <c r="BC22"/>
  <c r="AQ22"/>
  <c r="BC19"/>
  <c r="BC17"/>
  <c r="BC28" i="34"/>
  <c r="BE19" i="35"/>
  <c r="BE23"/>
  <c r="BE27"/>
  <c r="BE28"/>
  <c r="BE81"/>
  <c r="BE80"/>
  <c r="BE89"/>
  <c r="BE82"/>
  <c r="BE83"/>
  <c r="BE84"/>
  <c r="BE86"/>
  <c r="BE87"/>
  <c r="BE88"/>
  <c r="T17" i="36"/>
  <c r="T18" s="1"/>
  <c r="T19" s="1"/>
  <c r="AE603" i="23"/>
  <c r="AT603" s="1"/>
  <c r="BI603" s="1"/>
  <c r="BX603" s="1"/>
  <c r="CM603" s="1"/>
  <c r="AE604"/>
  <c r="AT604" s="1"/>
  <c r="BI604" s="1"/>
  <c r="BX604" s="1"/>
  <c r="CM604" s="1"/>
  <c r="AE605"/>
  <c r="AT605" s="1"/>
  <c r="BI605" s="1"/>
  <c r="BX605" s="1"/>
  <c r="CM605" s="1"/>
  <c r="AE607"/>
  <c r="AT607" s="1"/>
  <c r="BI607" s="1"/>
  <c r="BX607" s="1"/>
  <c r="CM607" s="1"/>
  <c r="AE608"/>
  <c r="AT608" s="1"/>
  <c r="BI608" s="1"/>
  <c r="BX608" s="1"/>
  <c r="CM608" s="1"/>
  <c r="AE610"/>
  <c r="AT610" s="1"/>
  <c r="BI610" s="1"/>
  <c r="BX610" s="1"/>
  <c r="CM610" s="1"/>
  <c r="AE612"/>
  <c r="AT612" s="1"/>
  <c r="BI612" s="1"/>
  <c r="BX612" s="1"/>
  <c r="CM612" s="1"/>
  <c r="AE614"/>
  <c r="AT614" s="1"/>
  <c r="BI614" s="1"/>
  <c r="BX614" s="1"/>
  <c r="CM614" s="1"/>
  <c r="AE616"/>
  <c r="AT616" s="1"/>
  <c r="BI616" s="1"/>
  <c r="BX616" s="1"/>
  <c r="CM616" s="1"/>
  <c r="AE618"/>
  <c r="AT618" s="1"/>
  <c r="BI618" s="1"/>
  <c r="BX618" s="1"/>
  <c r="CM618" s="1"/>
  <c r="AE620"/>
  <c r="AT620" s="1"/>
  <c r="BI620" s="1"/>
  <c r="BX620" s="1"/>
  <c r="CM620" s="1"/>
  <c r="AE622"/>
  <c r="AT622" s="1"/>
  <c r="BI622" s="1"/>
  <c r="BX622" s="1"/>
  <c r="CM622" s="1"/>
  <c r="AE606"/>
  <c r="AT606" s="1"/>
  <c r="BI606" s="1"/>
  <c r="BX606" s="1"/>
  <c r="CM606" s="1"/>
  <c r="AE609"/>
  <c r="AT609" s="1"/>
  <c r="BI609" s="1"/>
  <c r="BX609" s="1"/>
  <c r="CM609" s="1"/>
  <c r="AE611"/>
  <c r="AT611" s="1"/>
  <c r="BI611" s="1"/>
  <c r="BX611" s="1"/>
  <c r="CM611" s="1"/>
  <c r="AE613"/>
  <c r="AT613" s="1"/>
  <c r="BI613" s="1"/>
  <c r="BX613" s="1"/>
  <c r="CM613" s="1"/>
  <c r="AE615"/>
  <c r="AT615" s="1"/>
  <c r="BI615" s="1"/>
  <c r="BX615" s="1"/>
  <c r="CM615" s="1"/>
  <c r="AE617"/>
  <c r="AT617" s="1"/>
  <c r="BI617" s="1"/>
  <c r="BX617" s="1"/>
  <c r="CM617" s="1"/>
  <c r="AE619"/>
  <c r="AT619" s="1"/>
  <c r="BI619" s="1"/>
  <c r="BX619" s="1"/>
  <c r="CM619" s="1"/>
  <c r="AE621"/>
  <c r="AT621" s="1"/>
  <c r="BI621" s="1"/>
  <c r="BX621" s="1"/>
  <c r="CM621" s="1"/>
  <c r="AE623"/>
  <c r="AT623" s="1"/>
  <c r="BI623" s="1"/>
  <c r="BX623" s="1"/>
  <c r="CM623" s="1"/>
  <c r="A61" i="6" l="1"/>
  <c r="A62" s="1"/>
  <c r="A63" s="1"/>
  <c r="A64" s="1"/>
  <c r="BI14" i="1"/>
  <c r="AG15"/>
  <c r="U20" i="38"/>
  <c r="T23" i="39"/>
  <c r="U18" i="38"/>
  <c r="T21" i="39"/>
  <c r="U19" i="38"/>
  <c r="T22" i="39"/>
  <c r="T20" i="36"/>
  <c r="C95" i="39"/>
  <c r="P95" s="1"/>
  <c r="P151" s="1"/>
  <c r="C8"/>
  <c r="C64" s="1"/>
  <c r="BK36" i="1"/>
  <c r="AU36"/>
  <c r="BK35"/>
  <c r="AU35"/>
  <c r="AU39"/>
  <c r="BK39"/>
  <c r="AU40"/>
  <c r="BK34"/>
  <c r="AU34"/>
  <c r="BK33"/>
  <c r="BK37"/>
  <c r="AU38"/>
  <c r="AU37"/>
  <c r="AE41" i="31"/>
  <c r="BD41" s="1"/>
  <c r="AE96" i="28"/>
  <c r="AE41" i="29"/>
  <c r="Q8" i="39"/>
  <c r="Q64" s="1"/>
  <c r="P86" i="38"/>
  <c r="P136" s="1"/>
  <c r="A65" i="6" l="1"/>
  <c r="A66" s="1"/>
  <c r="A67" s="1"/>
  <c r="A68" s="1"/>
  <c r="BI15" i="1"/>
  <c r="AG16"/>
  <c r="D8" i="39"/>
  <c r="D64" s="1"/>
  <c r="P8" i="38"/>
  <c r="P58" s="1"/>
  <c r="Q8"/>
  <c r="Q58" s="1"/>
  <c r="U21"/>
  <c r="T24" i="39"/>
  <c r="T21" i="36"/>
  <c r="BD41" i="29"/>
  <c r="AE41" i="28"/>
  <c r="BE96"/>
  <c r="A69" i="6" l="1"/>
  <c r="A70" s="1"/>
  <c r="A71" s="1"/>
  <c r="A72" s="1"/>
  <c r="A73" s="1"/>
  <c r="AG17" i="1"/>
  <c r="BI16"/>
  <c r="P8" i="39"/>
  <c r="P64" s="1"/>
  <c r="U22" i="38"/>
  <c r="T25" i="39"/>
  <c r="T22" i="36"/>
  <c r="T23" s="1"/>
  <c r="T24" s="1"/>
  <c r="T25" s="1"/>
  <c r="F8" i="39"/>
  <c r="F64" s="1"/>
  <c r="AG18" i="1" l="1"/>
  <c r="BI17"/>
  <c r="O8" i="39"/>
  <c r="O64" s="1"/>
  <c r="R64" s="1"/>
  <c r="O8" i="38"/>
  <c r="O58" s="1"/>
  <c r="R58" s="1"/>
  <c r="F8"/>
  <c r="F58" s="1"/>
  <c r="E8"/>
  <c r="E58" s="1"/>
  <c r="D8"/>
  <c r="D58" s="1"/>
  <c r="C8"/>
  <c r="C58" s="1"/>
  <c r="B58"/>
  <c r="AG19" i="1" l="1"/>
  <c r="BI18"/>
  <c r="R8" i="38"/>
  <c r="R8" i="39"/>
  <c r="U8" s="1"/>
  <c r="AG20" i="1" l="1"/>
  <c r="BI19"/>
  <c r="V8" i="38"/>
  <c r="AI8"/>
  <c r="AK8" s="1"/>
  <c r="AG21" i="1" l="1"/>
  <c r="BI20"/>
  <c r="A1567" i="23"/>
  <c r="A1607" s="1"/>
  <c r="A1647" s="1"/>
  <c r="A1687" s="1"/>
  <c r="A1727" s="1"/>
  <c r="A1367"/>
  <c r="A1407" s="1"/>
  <c r="A1447" s="1"/>
  <c r="A1570"/>
  <c r="A1610" s="1"/>
  <c r="A1650" s="1"/>
  <c r="A1690" s="1"/>
  <c r="A1730" s="1"/>
  <c r="A1370"/>
  <c r="A1410" s="1"/>
  <c r="A1450" s="1"/>
  <c r="A1569"/>
  <c r="A1609" s="1"/>
  <c r="A1649" s="1"/>
  <c r="A1689" s="1"/>
  <c r="A1729" s="1"/>
  <c r="A1369"/>
  <c r="A1409" s="1"/>
  <c r="A1449" s="1"/>
  <c r="A1568"/>
  <c r="A1608" s="1"/>
  <c r="A1648" s="1"/>
  <c r="A1688" s="1"/>
  <c r="A1728" s="1"/>
  <c r="A1368"/>
  <c r="A1408" s="1"/>
  <c r="A1448" s="1"/>
  <c r="A1573"/>
  <c r="A1613" s="1"/>
  <c r="A1653" s="1"/>
  <c r="A1693" s="1"/>
  <c r="A1733" s="1"/>
  <c r="A1373"/>
  <c r="A1413" s="1"/>
  <c r="A1453" s="1"/>
  <c r="A1574"/>
  <c r="A1614" s="1"/>
  <c r="A1654" s="1"/>
  <c r="A1694" s="1"/>
  <c r="A1734" s="1"/>
  <c r="A1374"/>
  <c r="A1414" s="1"/>
  <c r="A1454" s="1"/>
  <c r="A1571"/>
  <c r="A1611" s="1"/>
  <c r="A1651" s="1"/>
  <c r="A1691" s="1"/>
  <c r="A1731" s="1"/>
  <c r="A1371"/>
  <c r="A1411" s="1"/>
  <c r="A1451" s="1"/>
  <c r="A1572"/>
  <c r="A1612" s="1"/>
  <c r="A1652" s="1"/>
  <c r="A1692" s="1"/>
  <c r="A1732" s="1"/>
  <c r="A1372"/>
  <c r="A1412" s="1"/>
  <c r="A1452" s="1"/>
  <c r="AG22" i="1" l="1"/>
  <c r="BI21"/>
  <c r="A1492" i="23"/>
  <c r="A1491"/>
  <c r="A1494"/>
  <c r="A1493"/>
  <c r="A1488"/>
  <c r="A1489"/>
  <c r="A1490"/>
  <c r="A1487"/>
  <c r="BI22" i="1" l="1"/>
  <c r="AG23"/>
  <c r="A1527" i="23"/>
  <c r="A1529"/>
  <c r="A1533"/>
  <c r="A1531"/>
  <c r="A1530"/>
  <c r="A1528"/>
  <c r="A1534"/>
  <c r="A1532"/>
  <c r="E62" i="38"/>
  <c r="E60"/>
  <c r="E64"/>
  <c r="E9"/>
  <c r="E59" s="1"/>
  <c r="E67"/>
  <c r="E11"/>
  <c r="E61" s="1"/>
  <c r="E63"/>
  <c r="E15"/>
  <c r="E65" s="1"/>
  <c r="E16"/>
  <c r="E66" s="1"/>
  <c r="C33" i="41"/>
  <c r="C36"/>
  <c r="C39"/>
  <c r="C42"/>
  <c r="C35"/>
  <c r="C40"/>
  <c r="C37"/>
  <c r="C34"/>
  <c r="E19" i="38"/>
  <c r="E69" s="1"/>
  <c r="C38" i="41"/>
  <c r="C41"/>
  <c r="E18" i="38"/>
  <c r="E68" s="1"/>
  <c r="C43" i="41"/>
  <c r="E20" i="38"/>
  <c r="E70" s="1"/>
  <c r="C44" i="41"/>
  <c r="E71" i="38"/>
  <c r="C45" i="41"/>
  <c r="E72" i="38"/>
  <c r="A72"/>
  <c r="C46" i="41"/>
  <c r="C47"/>
  <c r="E73" i="38"/>
  <c r="E75"/>
  <c r="E74"/>
  <c r="C48" i="41"/>
  <c r="C50"/>
  <c r="C49"/>
  <c r="E76" i="38"/>
  <c r="C51" i="41"/>
  <c r="E134" i="36"/>
  <c r="N134"/>
  <c r="N136"/>
  <c r="E135"/>
  <c r="E138"/>
  <c r="E139"/>
  <c r="E140"/>
  <c r="E141"/>
  <c r="E142"/>
  <c r="N142"/>
  <c r="E145"/>
  <c r="E146"/>
  <c r="E147"/>
  <c r="N147"/>
  <c r="E137"/>
  <c r="N138"/>
  <c r="E143"/>
  <c r="E144"/>
  <c r="N144"/>
  <c r="N151"/>
  <c r="W36" i="39"/>
  <c r="X8"/>
  <c r="C151"/>
  <c r="E151"/>
  <c r="E152"/>
  <c r="A153"/>
  <c r="E154"/>
  <c r="A155"/>
  <c r="E156"/>
  <c r="A157"/>
  <c r="E158"/>
  <c r="A159"/>
  <c r="E160"/>
  <c r="A161"/>
  <c r="E162"/>
  <c r="A163"/>
  <c r="E164"/>
  <c r="A165"/>
  <c r="E166"/>
  <c r="A167"/>
  <c r="E168"/>
  <c r="A169"/>
  <c r="E153"/>
  <c r="A154"/>
  <c r="E155"/>
  <c r="A156"/>
  <c r="E157"/>
  <c r="A158"/>
  <c r="E159"/>
  <c r="A160"/>
  <c r="E161"/>
  <c r="A162"/>
  <c r="E163"/>
  <c r="A164"/>
  <c r="E165"/>
  <c r="A166"/>
  <c r="E167"/>
  <c r="A168"/>
  <c r="E170"/>
  <c r="A171"/>
  <c r="E172"/>
  <c r="E169"/>
  <c r="A170"/>
  <c r="E171"/>
  <c r="A172"/>
  <c r="E56" i="36"/>
  <c r="N56"/>
  <c r="E58"/>
  <c r="N60"/>
  <c r="E62"/>
  <c r="N62"/>
  <c r="E59"/>
  <c r="E60"/>
  <c r="N63"/>
  <c r="N64"/>
  <c r="N66"/>
  <c r="N68"/>
  <c r="E63"/>
  <c r="E64"/>
  <c r="E65"/>
  <c r="E66"/>
  <c r="E67"/>
  <c r="E68"/>
  <c r="E71"/>
  <c r="E72"/>
  <c r="N72"/>
  <c r="N73"/>
  <c r="X33" i="38"/>
  <c r="AE8"/>
  <c r="Y8"/>
  <c r="N59"/>
  <c r="N60"/>
  <c r="N61"/>
  <c r="N62"/>
  <c r="N63"/>
  <c r="N64"/>
  <c r="N65"/>
  <c r="N66"/>
  <c r="N67"/>
  <c r="N68"/>
  <c r="N69"/>
  <c r="N70"/>
  <c r="N71"/>
  <c r="N72"/>
  <c r="N75"/>
  <c r="N76"/>
  <c r="A139" i="36"/>
  <c r="A140"/>
  <c r="A141"/>
  <c r="A142"/>
  <c r="A147"/>
  <c r="A148"/>
  <c r="E136" i="38"/>
  <c r="N73"/>
  <c r="N74"/>
  <c r="C136"/>
  <c r="A134" i="36"/>
  <c r="A135"/>
  <c r="A136"/>
  <c r="A137"/>
  <c r="A138"/>
  <c r="A143"/>
  <c r="A144"/>
  <c r="A145"/>
  <c r="A146"/>
  <c r="A149"/>
  <c r="A150"/>
  <c r="A151"/>
  <c r="E137" i="38"/>
  <c r="A138"/>
  <c r="A139"/>
  <c r="E140"/>
  <c r="E141"/>
  <c r="A142"/>
  <c r="A143"/>
  <c r="A144"/>
  <c r="A145"/>
  <c r="A146"/>
  <c r="A137"/>
  <c r="E138"/>
  <c r="E139"/>
  <c r="A140"/>
  <c r="A141"/>
  <c r="E142"/>
  <c r="E143"/>
  <c r="E144"/>
  <c r="E145"/>
  <c r="E146"/>
  <c r="A19" i="27"/>
  <c r="F16"/>
  <c r="G16"/>
  <c r="H16"/>
  <c r="A23"/>
  <c r="D143"/>
  <c r="D39"/>
  <c r="F12"/>
  <c r="G12"/>
  <c r="H12"/>
  <c r="D139"/>
  <c r="D35"/>
  <c r="F9"/>
  <c r="F8" s="1"/>
  <c r="F113"/>
  <c r="A27"/>
  <c r="A31" s="1"/>
  <c r="F24"/>
  <c r="G24"/>
  <c r="H24"/>
  <c r="F20"/>
  <c r="G20"/>
  <c r="H20"/>
  <c r="G8"/>
  <c r="H8"/>
  <c r="E147" i="38"/>
  <c r="A148"/>
  <c r="A149"/>
  <c r="E150"/>
  <c r="E151"/>
  <c r="A152"/>
  <c r="A153"/>
  <c r="E154"/>
  <c r="F32" i="27"/>
  <c r="G32"/>
  <c r="H32"/>
  <c r="I31"/>
  <c r="F28"/>
  <c r="G28"/>
  <c r="H28"/>
  <c r="I27"/>
  <c r="A35"/>
  <c r="A147" i="38"/>
  <c r="E148"/>
  <c r="E149"/>
  <c r="A150"/>
  <c r="A151"/>
  <c r="E152"/>
  <c r="E153"/>
  <c r="A154"/>
  <c r="A20" i="27"/>
  <c r="A24" s="1"/>
  <c r="A21"/>
  <c r="A25"/>
  <c r="BI23" i="1" l="1"/>
  <c r="AG24"/>
  <c r="AA27" i="27"/>
  <c r="BI24" i="1" l="1"/>
  <c r="AG25"/>
  <c r="D36" i="27"/>
  <c r="F36"/>
  <c r="G36"/>
  <c r="H36"/>
  <c r="I35"/>
  <c r="A39"/>
  <c r="A28"/>
  <c r="A32" s="1"/>
  <c r="A29"/>
  <c r="A33" s="1"/>
  <c r="A37" s="1"/>
  <c r="A41" s="1"/>
  <c r="AA31"/>
  <c r="A36"/>
  <c r="A40" s="1"/>
  <c r="AA35"/>
  <c r="D40"/>
  <c r="I39"/>
  <c r="F96"/>
  <c r="F92"/>
  <c r="F84"/>
  <c r="F76"/>
  <c r="F68"/>
  <c r="F48"/>
  <c r="G48"/>
  <c r="H48"/>
  <c r="AA39"/>
  <c r="F88"/>
  <c r="A43"/>
  <c r="A47" s="1"/>
  <c r="A51" s="1"/>
  <c r="A55" s="1"/>
  <c r="A59" s="1"/>
  <c r="A63" s="1"/>
  <c r="A67" s="1"/>
  <c r="A71" s="1"/>
  <c r="A75" s="1"/>
  <c r="A79" s="1"/>
  <c r="A83" s="1"/>
  <c r="A87" s="1"/>
  <c r="A91" s="1"/>
  <c r="A95" s="1"/>
  <c r="F80"/>
  <c r="F72"/>
  <c r="F44"/>
  <c r="G44"/>
  <c r="BI25" i="1" l="1"/>
  <c r="AG26"/>
  <c r="AA43" i="27"/>
  <c r="K40"/>
  <c r="K36"/>
  <c r="AG27" i="1" l="1"/>
  <c r="BI26"/>
  <c r="F132" i="27"/>
  <c r="G132"/>
  <c r="H132"/>
  <c r="I131"/>
  <c r="F124"/>
  <c r="G124"/>
  <c r="H124"/>
  <c r="F116"/>
  <c r="G116"/>
  <c r="H116"/>
  <c r="F112"/>
  <c r="G112"/>
  <c r="H112"/>
  <c r="A44"/>
  <c r="A45"/>
  <c r="AG28" i="1" l="1"/>
  <c r="BI27"/>
  <c r="A49" i="27"/>
  <c r="A53" s="1"/>
  <c r="A48"/>
  <c r="A52" s="1"/>
  <c r="AG29" i="1" l="1"/>
  <c r="BI28"/>
  <c r="A57" i="27"/>
  <c r="A61" s="1"/>
  <c r="A56"/>
  <c r="A60" s="1"/>
  <c r="AG30" i="1" l="1"/>
  <c r="BI29"/>
  <c r="A64" i="27"/>
  <c r="A65"/>
  <c r="AG31" i="1" l="1"/>
  <c r="BI30"/>
  <c r="A69" i="27"/>
  <c r="A68"/>
  <c r="AG32" i="1" l="1"/>
  <c r="BI31"/>
  <c r="A72" i="27"/>
  <c r="A73"/>
  <c r="BI32" i="1" l="1"/>
  <c r="AG33"/>
  <c r="A76" i="27"/>
  <c r="A77"/>
  <c r="AG34" i="1" l="1"/>
  <c r="BI33"/>
  <c r="A80" i="27"/>
  <c r="A81"/>
  <c r="AG35" i="1" l="1"/>
  <c r="BI34"/>
  <c r="A85" i="27"/>
  <c r="A89" s="1"/>
  <c r="A84"/>
  <c r="A88" s="1"/>
  <c r="AG36" i="1" l="1"/>
  <c r="BI35"/>
  <c r="A93" i="27"/>
  <c r="A92"/>
  <c r="A96" s="1"/>
  <c r="A97"/>
  <c r="A131"/>
  <c r="A135" s="1"/>
  <c r="F120"/>
  <c r="G120"/>
  <c r="H120"/>
  <c r="F128"/>
  <c r="G128"/>
  <c r="H128"/>
  <c r="A123"/>
  <c r="A127" s="1"/>
  <c r="AG37" i="1" l="1"/>
  <c r="BI36"/>
  <c r="A120" i="27"/>
  <c r="A124" s="1"/>
  <c r="A128" s="1"/>
  <c r="A132" s="1"/>
  <c r="A121"/>
  <c r="A125" s="1"/>
  <c r="A129" s="1"/>
  <c r="A133" s="1"/>
  <c r="A139"/>
  <c r="F136"/>
  <c r="G136"/>
  <c r="H136"/>
  <c r="I135"/>
  <c r="AG38" i="1" l="1"/>
  <c r="BI37"/>
  <c r="A136" i="27"/>
  <c r="A137"/>
  <c r="A141" s="1"/>
  <c r="A145" s="1"/>
  <c r="A149" s="1"/>
  <c r="A153" s="1"/>
  <c r="A157" s="1"/>
  <c r="A161" s="1"/>
  <c r="A165" s="1"/>
  <c r="A169" s="1"/>
  <c r="A173" s="1"/>
  <c r="A177" s="1"/>
  <c r="A181" s="1"/>
  <c r="A185" s="1"/>
  <c r="A189" s="1"/>
  <c r="A193" s="1"/>
  <c r="A197" s="1"/>
  <c r="A201" s="1"/>
  <c r="D140"/>
  <c r="F140"/>
  <c r="G140"/>
  <c r="H140"/>
  <c r="I139"/>
  <c r="A140"/>
  <c r="A143"/>
  <c r="A147" s="1"/>
  <c r="A151" s="1"/>
  <c r="A155" s="1"/>
  <c r="A159" s="1"/>
  <c r="A163" s="1"/>
  <c r="A167" s="1"/>
  <c r="A171" s="1"/>
  <c r="A175" s="1"/>
  <c r="A179" s="1"/>
  <c r="A183" s="1"/>
  <c r="A187" s="1"/>
  <c r="A191" s="1"/>
  <c r="A195" s="1"/>
  <c r="A199" s="1"/>
  <c r="O153"/>
  <c r="F152"/>
  <c r="G152"/>
  <c r="H152"/>
  <c r="D144"/>
  <c r="F144"/>
  <c r="G144"/>
  <c r="H144"/>
  <c r="I143"/>
  <c r="F148"/>
  <c r="G148"/>
  <c r="A144"/>
  <c r="A148" s="1"/>
  <c r="A152" s="1"/>
  <c r="A156" s="1"/>
  <c r="A160" s="1"/>
  <c r="A164" s="1"/>
  <c r="A168" s="1"/>
  <c r="A172" s="1"/>
  <c r="A176" s="1"/>
  <c r="A180" s="1"/>
  <c r="A184" s="1"/>
  <c r="A188" s="1"/>
  <c r="A192" s="1"/>
  <c r="A196" s="1"/>
  <c r="A200" s="1"/>
  <c r="C55" i="25"/>
  <c r="C59" s="1"/>
  <c r="BO601" i="23"/>
  <c r="CD601" s="1"/>
  <c r="AG39" i="1" l="1"/>
  <c r="BI38"/>
  <c r="C23" i="27"/>
  <c r="I23" s="1"/>
  <c r="C123"/>
  <c r="I123" s="1"/>
  <c r="C115"/>
  <c r="I115" s="1"/>
  <c r="K140"/>
  <c r="C7"/>
  <c r="I7" s="1"/>
  <c r="C127"/>
  <c r="I127" s="1"/>
  <c r="C19"/>
  <c r="I19" s="1"/>
  <c r="C11"/>
  <c r="I11" s="1"/>
  <c r="C119"/>
  <c r="I119" s="1"/>
  <c r="C111"/>
  <c r="I111" s="1"/>
  <c r="I112" s="1"/>
  <c r="C15"/>
  <c r="I15" s="1"/>
  <c r="AG40" i="1" l="1"/>
  <c r="BI39"/>
  <c r="AA23" i="27"/>
  <c r="AA11"/>
  <c r="AA15"/>
  <c r="AA19"/>
  <c r="I8"/>
  <c r="AA7"/>
  <c r="AG41" i="1" l="1"/>
  <c r="BI40"/>
  <c r="B95" i="39"/>
  <c r="B86" i="38"/>
  <c r="AG42" i="1" l="1"/>
  <c r="BI41"/>
  <c r="B136" i="38"/>
  <c r="A136" s="1"/>
  <c r="D86"/>
  <c r="B151" i="39"/>
  <c r="A151" s="1"/>
  <c r="D95"/>
  <c r="AG43" i="1" l="1"/>
  <c r="BI42"/>
  <c r="F95" i="39"/>
  <c r="D151"/>
  <c r="F86" i="38"/>
  <c r="D136"/>
  <c r="AG44" i="1" l="1"/>
  <c r="BI43"/>
  <c r="O86" i="38"/>
  <c r="F136"/>
  <c r="O95" i="39"/>
  <c r="F151"/>
  <c r="AG45" i="1" l="1"/>
  <c r="BI44"/>
  <c r="R95" i="39"/>
  <c r="U36" s="1"/>
  <c r="O151"/>
  <c r="R151" s="1"/>
  <c r="X36"/>
  <c r="O136" i="38"/>
  <c r="R136" s="1"/>
  <c r="R86"/>
  <c r="V33" s="1"/>
  <c r="Y33"/>
  <c r="BI45" i="1" l="1"/>
  <c r="AG46"/>
  <c r="C35" i="22"/>
  <c r="AG47" i="1" l="1"/>
  <c r="F35" i="22"/>
  <c r="AG48" i="1" l="1"/>
  <c r="AG49" l="1"/>
  <c r="BC90" i="19"/>
  <c r="BM28" i="1"/>
  <c r="BN28" s="1"/>
  <c r="BM22"/>
  <c r="BN22" s="1"/>
  <c r="BL22"/>
  <c r="BM20"/>
  <c r="BN20" s="1"/>
  <c r="BL20"/>
  <c r="BM15"/>
  <c r="BN15" s="1"/>
  <c r="BL15"/>
  <c r="BM16"/>
  <c r="BN16" s="1"/>
  <c r="BL16"/>
  <c r="BM14"/>
  <c r="BN14" s="1"/>
  <c r="BL14"/>
  <c r="AL11"/>
  <c r="BJ19"/>
  <c r="BJ24"/>
  <c r="AL10"/>
  <c r="BJ13"/>
  <c r="BJ18"/>
  <c r="BK24"/>
  <c r="BJ27"/>
  <c r="BJ21"/>
  <c r="BJ23"/>
  <c r="AJ13" i="18"/>
  <c r="AJ14"/>
  <c r="AJ15"/>
  <c r="AJ16"/>
  <c r="AK27"/>
  <c r="AF66"/>
  <c r="Q24" i="22"/>
  <c r="P32"/>
  <c r="Q32" s="1"/>
  <c r="Q33"/>
  <c r="P34"/>
  <c r="Q34" s="1"/>
  <c r="AP169"/>
  <c r="AQ169" s="1"/>
  <c r="AR169" s="1"/>
  <c r="AS169" s="1"/>
  <c r="AJ171"/>
  <c r="AK171" s="1"/>
  <c r="AL171" s="1"/>
  <c r="AM171" s="1"/>
  <c r="AN171" s="1"/>
  <c r="AO171" s="1"/>
  <c r="AP171" s="1"/>
  <c r="AQ171" s="1"/>
  <c r="AR171" s="1"/>
  <c r="AS171" s="1"/>
  <c r="AJ173"/>
  <c r="AK173" s="1"/>
  <c r="AL173" s="1"/>
  <c r="AM173" s="1"/>
  <c r="AN173" s="1"/>
  <c r="AO173" s="1"/>
  <c r="AP173" s="1"/>
  <c r="AQ173" s="1"/>
  <c r="AR173" s="1"/>
  <c r="AS173" s="1"/>
  <c r="AJ175"/>
  <c r="AK175" s="1"/>
  <c r="AL175" s="1"/>
  <c r="AM175" s="1"/>
  <c r="AN175" s="1"/>
  <c r="AO175" s="1"/>
  <c r="AP175" s="1"/>
  <c r="AQ175" s="1"/>
  <c r="AR175" s="1"/>
  <c r="AS175" s="1"/>
  <c r="AJ170"/>
  <c r="AK170" s="1"/>
  <c r="AL170" s="1"/>
  <c r="AM170" s="1"/>
  <c r="AN170" s="1"/>
  <c r="AO170" s="1"/>
  <c r="AP170" s="1"/>
  <c r="AQ170" s="1"/>
  <c r="AR170" s="1"/>
  <c r="AS170" s="1"/>
  <c r="AJ172"/>
  <c r="AK172" s="1"/>
  <c r="AL172" s="1"/>
  <c r="AM172" s="1"/>
  <c r="AN172" s="1"/>
  <c r="AO172" s="1"/>
  <c r="AP172" s="1"/>
  <c r="AQ172" s="1"/>
  <c r="AR172" s="1"/>
  <c r="AS172" s="1"/>
  <c r="AJ174"/>
  <c r="AK174" s="1"/>
  <c r="AL174" s="1"/>
  <c r="AM174" s="1"/>
  <c r="AN174" s="1"/>
  <c r="AO174" s="1"/>
  <c r="AP174" s="1"/>
  <c r="AQ174" s="1"/>
  <c r="AR174" s="1"/>
  <c r="AS174" s="1"/>
  <c r="AJ176"/>
  <c r="AK176" s="1"/>
  <c r="AL176" s="1"/>
  <c r="AM176" s="1"/>
  <c r="AN176" s="1"/>
  <c r="AO176" s="1"/>
  <c r="AP176" s="1"/>
  <c r="AQ176" s="1"/>
  <c r="AR176" s="1"/>
  <c r="AS176" s="1"/>
  <c r="AJ177"/>
  <c r="AK177" s="1"/>
  <c r="AL177" s="1"/>
  <c r="AM177" s="1"/>
  <c r="AN177" s="1"/>
  <c r="AO177" s="1"/>
  <c r="AP177" s="1"/>
  <c r="AQ177" s="1"/>
  <c r="AR177" s="1"/>
  <c r="AS177" s="1"/>
  <c r="AJ178"/>
  <c r="AK178" s="1"/>
  <c r="AL178" s="1"/>
  <c r="AM178" s="1"/>
  <c r="AN178" s="1"/>
  <c r="AO178" s="1"/>
  <c r="AP178" s="1"/>
  <c r="AQ178" s="1"/>
  <c r="AR178" s="1"/>
  <c r="AS178" s="1"/>
  <c r="AJ179"/>
  <c r="AK179" s="1"/>
  <c r="AL179" s="1"/>
  <c r="AM179" s="1"/>
  <c r="AN179" s="1"/>
  <c r="AO179" s="1"/>
  <c r="AP179" s="1"/>
  <c r="AQ179" s="1"/>
  <c r="AR179" s="1"/>
  <c r="AS179" s="1"/>
  <c r="AJ180"/>
  <c r="AK180" s="1"/>
  <c r="AL180" s="1"/>
  <c r="AM180" s="1"/>
  <c r="AN180" s="1"/>
  <c r="AO180" s="1"/>
  <c r="AP180" s="1"/>
  <c r="AQ180" s="1"/>
  <c r="AR180" s="1"/>
  <c r="AS180" s="1"/>
  <c r="AJ182"/>
  <c r="AK182" s="1"/>
  <c r="AL182" s="1"/>
  <c r="AM182" s="1"/>
  <c r="AN182" s="1"/>
  <c r="AO182" s="1"/>
  <c r="AP182" s="1"/>
  <c r="AQ182" s="1"/>
  <c r="AR182" s="1"/>
  <c r="AS182" s="1"/>
  <c r="AJ184"/>
  <c r="AK184" s="1"/>
  <c r="AL184" s="1"/>
  <c r="AM184" s="1"/>
  <c r="AN184" s="1"/>
  <c r="AO184" s="1"/>
  <c r="AP184" s="1"/>
  <c r="AQ184" s="1"/>
  <c r="AR184" s="1"/>
  <c r="AS184" s="1"/>
  <c r="AJ181"/>
  <c r="AK181" s="1"/>
  <c r="AL181" s="1"/>
  <c r="AM181" s="1"/>
  <c r="AN181" s="1"/>
  <c r="AO181" s="1"/>
  <c r="AP181" s="1"/>
  <c r="AQ181" s="1"/>
  <c r="AR181" s="1"/>
  <c r="AS181" s="1"/>
  <c r="AJ183"/>
  <c r="AK183" s="1"/>
  <c r="AL183" s="1"/>
  <c r="AM183" s="1"/>
  <c r="AN183" s="1"/>
  <c r="AO183" s="1"/>
  <c r="AP183" s="1"/>
  <c r="AQ183" s="1"/>
  <c r="AR183" s="1"/>
  <c r="AS183" s="1"/>
  <c r="AJ185"/>
  <c r="AK185" s="1"/>
  <c r="AL185" s="1"/>
  <c r="AM185" s="1"/>
  <c r="AN185" s="1"/>
  <c r="AO185" s="1"/>
  <c r="AP185" s="1"/>
  <c r="AQ185" s="1"/>
  <c r="AR185" s="1"/>
  <c r="AS185" s="1"/>
  <c r="AJ24" i="18" l="1"/>
  <c r="BE24" s="1"/>
  <c r="BF24" s="1"/>
  <c r="AJ19"/>
  <c r="AJ22"/>
  <c r="BE22" s="1"/>
  <c r="BF22" s="1"/>
  <c r="AJ21"/>
  <c r="BE21" s="1"/>
  <c r="BF21" s="1"/>
  <c r="AJ17"/>
  <c r="AJ20"/>
  <c r="BE20" s="1"/>
  <c r="BF20" s="1"/>
  <c r="AJ18"/>
  <c r="BE18" s="1"/>
  <c r="BF18" s="1"/>
  <c r="AJ23"/>
  <c r="BE23" s="1"/>
  <c r="BF23" s="1"/>
  <c r="AC91" i="19"/>
  <c r="AC92" s="1"/>
  <c r="AC93" s="1"/>
  <c r="AC94" s="1"/>
  <c r="AC95" s="1"/>
  <c r="AC96" s="1"/>
  <c r="AC97" s="1"/>
  <c r="AC98" s="1"/>
  <c r="AC99" s="1"/>
  <c r="AC100" s="1"/>
  <c r="AC101" s="1"/>
  <c r="AC102" s="1"/>
  <c r="AC103" s="1"/>
  <c r="AC104" s="1"/>
  <c r="AC105" s="1"/>
  <c r="AC106" s="1"/>
  <c r="AC107" s="1"/>
  <c r="AC108" s="1"/>
  <c r="AC109" s="1"/>
  <c r="AC110" s="1"/>
  <c r="AC111" s="1"/>
  <c r="AC112" s="1"/>
  <c r="AC113" s="1"/>
  <c r="AC114" s="1"/>
  <c r="AC115" s="1"/>
  <c r="AC116" s="1"/>
  <c r="AC117" s="1"/>
  <c r="AK14" i="18"/>
  <c r="AO23" i="1"/>
  <c r="AO27"/>
  <c r="BM27" s="1"/>
  <c r="BL27"/>
  <c r="AO21"/>
  <c r="BM21" s="1"/>
  <c r="AO19"/>
  <c r="AG50"/>
  <c r="AO13"/>
  <c r="BM13" s="1"/>
  <c r="BN13" s="1"/>
  <c r="AO24"/>
  <c r="BM24" s="1"/>
  <c r="BN24" s="1"/>
  <c r="AC21" i="22"/>
  <c r="AQ21" s="1"/>
  <c r="AA21"/>
  <c r="AO21" s="1"/>
  <c r="Y21"/>
  <c r="AM21" s="1"/>
  <c r="W21"/>
  <c r="AK21" s="1"/>
  <c r="U21"/>
  <c r="AI21" s="1"/>
  <c r="AD21"/>
  <c r="AR21" s="1"/>
  <c r="AB21"/>
  <c r="AP21" s="1"/>
  <c r="Z21"/>
  <c r="AN21" s="1"/>
  <c r="X21"/>
  <c r="AL21" s="1"/>
  <c r="V21"/>
  <c r="AJ21" s="1"/>
  <c r="T21"/>
  <c r="AE21"/>
  <c r="AS21" s="1"/>
  <c r="AY167"/>
  <c r="AV167"/>
  <c r="AP14" i="1"/>
  <c r="AW167" i="22"/>
  <c r="AX167"/>
  <c r="AK28" i="18"/>
  <c r="AK26"/>
  <c r="BL24" i="1"/>
  <c r="BM25"/>
  <c r="BN25" s="1"/>
  <c r="BM17"/>
  <c r="BN17" s="1"/>
  <c r="AK19" i="18" l="1"/>
  <c r="BE19"/>
  <c r="BF19" s="1"/>
  <c r="AH21" i="22"/>
  <c r="AK18" i="18"/>
  <c r="AK20"/>
  <c r="AK22"/>
  <c r="AK24"/>
  <c r="AP27" i="1"/>
  <c r="AP24"/>
  <c r="AK23" i="18"/>
  <c r="BC167" i="22"/>
  <c r="AG51" i="1"/>
  <c r="AK21" i="18"/>
  <c r="BF167" i="22"/>
  <c r="BN27" i="1"/>
  <c r="BB167" i="22"/>
  <c r="BD167"/>
  <c r="AZ167"/>
  <c r="BE167"/>
  <c r="BG167"/>
  <c r="I483" i="23"/>
  <c r="T22" i="22"/>
  <c r="AH22" s="1"/>
  <c r="U22"/>
  <c r="AI22" s="1"/>
  <c r="P35"/>
  <c r="Q35" s="1"/>
  <c r="BA167"/>
  <c r="AF21"/>
  <c r="BN21" i="1"/>
  <c r="AP18"/>
  <c r="BM18"/>
  <c r="BN18" s="1"/>
  <c r="BM23"/>
  <c r="BN23" s="1"/>
  <c r="BM19"/>
  <c r="BN19" s="1"/>
  <c r="BL18"/>
  <c r="AT22" i="22" l="1"/>
  <c r="AF22"/>
  <c r="AB3" s="1"/>
  <c r="AG52" i="1"/>
  <c r="C484" i="23"/>
  <c r="C483"/>
  <c r="B483"/>
  <c r="AT21" i="22"/>
  <c r="I484" i="23"/>
  <c r="D147" i="27"/>
  <c r="D148" s="1"/>
  <c r="E483" i="23"/>
  <c r="N43" i="28"/>
  <c r="L483" i="23"/>
  <c r="N43" i="34"/>
  <c r="H483" i="23"/>
  <c r="N43" i="31"/>
  <c r="D483" i="23"/>
  <c r="N43" i="19"/>
  <c r="N43" i="35"/>
  <c r="M483" i="23"/>
  <c r="G483"/>
  <c r="N43" i="30"/>
  <c r="F483" i="23"/>
  <c r="N43" i="29"/>
  <c r="K483" i="23"/>
  <c r="N43" i="33"/>
  <c r="J483" i="23"/>
  <c r="N43" i="32"/>
  <c r="T3" i="22" l="1"/>
  <c r="Y3"/>
  <c r="Z3"/>
  <c r="D485" i="23"/>
  <c r="N45" i="19"/>
  <c r="U3" i="22"/>
  <c r="V3"/>
  <c r="AA3"/>
  <c r="AE3"/>
  <c r="W3"/>
  <c r="X3"/>
  <c r="AC3"/>
  <c r="AD3"/>
  <c r="AG53" i="1"/>
  <c r="K484" i="23"/>
  <c r="N44" i="33"/>
  <c r="M484" i="23"/>
  <c r="N44" i="35"/>
  <c r="H484" i="23"/>
  <c r="N44" i="31"/>
  <c r="J484" i="23"/>
  <c r="N44" i="32"/>
  <c r="E484" i="23"/>
  <c r="N44" i="28"/>
  <c r="C485" i="23"/>
  <c r="G484"/>
  <c r="N44" i="30"/>
  <c r="L484" i="23"/>
  <c r="N44" i="34"/>
  <c r="D484" i="23"/>
  <c r="N44" i="19"/>
  <c r="F484" i="23"/>
  <c r="N44" i="29"/>
  <c r="N483" i="23"/>
  <c r="D163" i="27"/>
  <c r="D164" s="1"/>
  <c r="D155"/>
  <c r="D156" s="1"/>
  <c r="D43"/>
  <c r="D44" s="1"/>
  <c r="D159"/>
  <c r="D160" s="1"/>
  <c r="C96" i="39"/>
  <c r="B484" i="23"/>
  <c r="D151" i="27"/>
  <c r="D152" s="1"/>
  <c r="D167"/>
  <c r="D168" s="1"/>
  <c r="AM23" i="22" l="1"/>
  <c r="AP23"/>
  <c r="AK23"/>
  <c r="N45" i="28" s="1"/>
  <c r="AG54" i="1"/>
  <c r="N484" i="23"/>
  <c r="D47" i="27"/>
  <c r="D48" s="1"/>
  <c r="P96" i="39"/>
  <c r="P152" s="1"/>
  <c r="C152"/>
  <c r="B485" i="23"/>
  <c r="C9" i="39"/>
  <c r="C65" s="1"/>
  <c r="C97"/>
  <c r="D171" i="27"/>
  <c r="D172" s="1"/>
  <c r="J485" i="23" l="1"/>
  <c r="N45" i="32"/>
  <c r="G485" i="23"/>
  <c r="N45" i="30"/>
  <c r="AQ23" i="22"/>
  <c r="AS23"/>
  <c r="AR23"/>
  <c r="AN23"/>
  <c r="AO23"/>
  <c r="I485" i="23" s="1"/>
  <c r="AL23" i="22"/>
  <c r="AG55" i="1"/>
  <c r="C153" i="39"/>
  <c r="P97"/>
  <c r="P153" s="1"/>
  <c r="D55" i="27"/>
  <c r="D56" s="1"/>
  <c r="P9" i="39"/>
  <c r="P65" s="1"/>
  <c r="D59" i="27"/>
  <c r="D60" s="1"/>
  <c r="C10" i="39"/>
  <c r="C66" s="1"/>
  <c r="D51" i="27"/>
  <c r="D52" s="1"/>
  <c r="D175"/>
  <c r="D176" s="1"/>
  <c r="D63"/>
  <c r="D64" s="1"/>
  <c r="L485" i="23" l="1"/>
  <c r="N45" i="34"/>
  <c r="M485" i="23"/>
  <c r="N45" i="35"/>
  <c r="K485" i="23"/>
  <c r="N45" i="33"/>
  <c r="F485" i="23"/>
  <c r="N45" i="29"/>
  <c r="H485" i="23"/>
  <c r="N45" i="31"/>
  <c r="C98" i="39"/>
  <c r="E485" i="23"/>
  <c r="AT23" i="22"/>
  <c r="AG56" i="1"/>
  <c r="C11" i="39"/>
  <c r="C67" s="1"/>
  <c r="P10"/>
  <c r="P66" s="1"/>
  <c r="D179" i="27"/>
  <c r="D180" s="1"/>
  <c r="D67"/>
  <c r="D68" s="1"/>
  <c r="N485" i="23" l="1"/>
  <c r="C154" i="39"/>
  <c r="AG57" i="1"/>
  <c r="D71" i="27"/>
  <c r="D72" s="1"/>
  <c r="D183"/>
  <c r="D184" s="1"/>
  <c r="AG58" i="1" l="1"/>
  <c r="D187" i="27"/>
  <c r="D188" s="1"/>
  <c r="D75"/>
  <c r="D76" s="1"/>
  <c r="AG59" i="1" l="1"/>
  <c r="D79" i="27"/>
  <c r="D80" s="1"/>
  <c r="D191"/>
  <c r="D192" s="1"/>
  <c r="AG60" i="1" l="1"/>
  <c r="D195" i="27"/>
  <c r="D196" s="1"/>
  <c r="D83"/>
  <c r="D84" s="1"/>
  <c r="AG61" i="1" l="1"/>
  <c r="D87" i="27"/>
  <c r="D88" s="1"/>
  <c r="D199"/>
  <c r="D200" s="1"/>
  <c r="AG62" i="1" l="1"/>
  <c r="D91" i="27"/>
  <c r="D92" s="1"/>
  <c r="AG63" i="1" l="1"/>
  <c r="D95" i="27"/>
  <c r="D96" s="1"/>
  <c r="AG64" i="1" l="1"/>
  <c r="AG65" s="1"/>
  <c r="AG66" s="1"/>
  <c r="AG67" s="1"/>
  <c r="AG68" s="1"/>
  <c r="AG69" s="1"/>
  <c r="AG70" s="1"/>
  <c r="AG71" s="1"/>
  <c r="AG72" s="1"/>
  <c r="AG73" s="1"/>
  <c r="M13" i="19" l="1"/>
  <c r="AD69" s="1"/>
  <c r="M14"/>
  <c r="AD70" s="1"/>
  <c r="M15"/>
  <c r="AD71" s="1"/>
  <c r="M16"/>
  <c r="AD72" s="1"/>
  <c r="M17"/>
  <c r="AD73" s="1"/>
  <c r="U30" i="28" l="1"/>
  <c r="M16"/>
  <c r="AE73" s="1"/>
  <c r="M17"/>
  <c r="AE74" s="1"/>
  <c r="U30" i="29" l="1"/>
  <c r="M16"/>
  <c r="AE16" s="1"/>
  <c r="M17"/>
  <c r="AE17" s="1"/>
  <c r="AE30"/>
  <c r="U30" i="30" l="1"/>
  <c r="AE30"/>
  <c r="U30" i="31" l="1"/>
  <c r="M16"/>
  <c r="AE16" s="1"/>
  <c r="M17"/>
  <c r="AE17" s="1"/>
  <c r="AE30"/>
  <c r="U30" i="32" l="1"/>
  <c r="M16"/>
  <c r="AE16" s="1"/>
  <c r="M17"/>
  <c r="AE17" s="1"/>
  <c r="AE30"/>
  <c r="U30" i="33" l="1"/>
  <c r="M16"/>
  <c r="AE16" s="1"/>
  <c r="M17"/>
  <c r="AE17" s="1"/>
  <c r="AE30"/>
  <c r="M15" i="34" l="1"/>
  <c r="AE15" s="1"/>
  <c r="M15" i="35" l="1"/>
  <c r="AE79" s="1"/>
  <c r="AQ80" s="1"/>
  <c r="N64" i="27" l="1"/>
  <c r="N68" s="1"/>
  <c r="N65"/>
  <c r="N69" s="1"/>
  <c r="N73" s="1"/>
  <c r="N161"/>
  <c r="N165" s="1"/>
  <c r="N169" s="1"/>
  <c r="N156"/>
  <c r="N160" s="1"/>
  <c r="AL17"/>
  <c r="AL18" s="1"/>
  <c r="AK18"/>
  <c r="AK19" s="1"/>
  <c r="AK20" s="1"/>
  <c r="AK21" s="1"/>
  <c r="AK22" s="1"/>
  <c r="AK23" s="1"/>
  <c r="AK24" s="1"/>
  <c r="AK25" s="1"/>
  <c r="AK26" s="1"/>
  <c r="AK27" s="1"/>
  <c r="AK28" s="1"/>
  <c r="AI17"/>
  <c r="AI18" s="1"/>
  <c r="AH17"/>
  <c r="AH18" s="1"/>
  <c r="AH19" s="1"/>
  <c r="AH20" s="1"/>
  <c r="AH21" s="1"/>
  <c r="AH22" s="1"/>
  <c r="AH23" s="1"/>
  <c r="AH24" s="1"/>
  <c r="AH25" s="1"/>
  <c r="AH26" s="1"/>
  <c r="AH27" s="1"/>
  <c r="U30" i="35"/>
  <c r="AF28" s="1"/>
  <c r="AE15"/>
  <c r="BE15" s="1"/>
  <c r="M13"/>
  <c r="AE13" s="1"/>
  <c r="BE13" s="1"/>
  <c r="M14"/>
  <c r="AE14" s="1"/>
  <c r="BE14" s="1"/>
  <c r="M16" i="18"/>
  <c r="AC16" s="1"/>
  <c r="N23" i="1"/>
  <c r="O23" s="1"/>
  <c r="Q23" s="1"/>
  <c r="BK23" s="1"/>
  <c r="BL23" s="1"/>
  <c r="N21"/>
  <c r="O21" s="1"/>
  <c r="Q21" s="1"/>
  <c r="BK21" s="1"/>
  <c r="BL21" s="1"/>
  <c r="O157" i="27" l="1"/>
  <c r="O65"/>
  <c r="AJ17"/>
  <c r="F53" s="1"/>
  <c r="F52" s="1"/>
  <c r="O156"/>
  <c r="AM17"/>
  <c r="F157" s="1"/>
  <c r="F156" s="1"/>
  <c r="O64"/>
  <c r="N164"/>
  <c r="O160"/>
  <c r="O161"/>
  <c r="AJ18"/>
  <c r="F57" s="1"/>
  <c r="F56" s="1"/>
  <c r="AI19"/>
  <c r="AL19"/>
  <c r="AM18"/>
  <c r="F161" s="1"/>
  <c r="F160" s="1"/>
  <c r="N173"/>
  <c r="N77"/>
  <c r="N72"/>
  <c r="O73" s="1"/>
  <c r="O69"/>
  <c r="O68"/>
  <c r="U30" i="19"/>
  <c r="AE30" s="1"/>
  <c r="AD16"/>
  <c r="BB16" s="1"/>
  <c r="AD17"/>
  <c r="BB17" s="1"/>
  <c r="AD30"/>
  <c r="BB30" s="1"/>
  <c r="M17" i="18"/>
  <c r="AC17" s="1"/>
  <c r="N13" i="1"/>
  <c r="O13" s="1"/>
  <c r="Q13" s="1"/>
  <c r="BK13" s="1"/>
  <c r="BL13" s="1"/>
  <c r="N19"/>
  <c r="O19" s="1"/>
  <c r="Q19" s="1"/>
  <c r="BK19" s="1"/>
  <c r="BL19" s="1"/>
  <c r="M13" i="18"/>
  <c r="AC13" s="1"/>
  <c r="N12" i="1"/>
  <c r="O12" s="1"/>
  <c r="Q12" s="1"/>
  <c r="AH12" s="1"/>
  <c r="AF30" i="28"/>
  <c r="M13"/>
  <c r="AE13" s="1"/>
  <c r="M14"/>
  <c r="AE14" s="1"/>
  <c r="M15"/>
  <c r="AE15" s="1"/>
  <c r="AE16"/>
  <c r="AE17"/>
  <c r="M15" i="18"/>
  <c r="AC15" s="1"/>
  <c r="N10" i="1"/>
  <c r="O10" s="1"/>
  <c r="Q10" s="1"/>
  <c r="AH10" s="1"/>
  <c r="N25"/>
  <c r="O25" s="1"/>
  <c r="Q25" s="1"/>
  <c r="BK25" s="1"/>
  <c r="BL25" s="1"/>
  <c r="N28"/>
  <c r="O28" s="1"/>
  <c r="Q28" s="1"/>
  <c r="BK28" s="1"/>
  <c r="BL28" s="1"/>
  <c r="BE79" i="35"/>
  <c r="AI20" i="27" l="1"/>
  <c r="AI21" s="1"/>
  <c r="AI22" s="1"/>
  <c r="AI23" s="1"/>
  <c r="AI24" s="1"/>
  <c r="AI25" s="1"/>
  <c r="AI26" s="1"/>
  <c r="AI27" s="1"/>
  <c r="AJ27" s="1"/>
  <c r="F65" s="1"/>
  <c r="AJ19"/>
  <c r="F61" s="1"/>
  <c r="F60" s="1"/>
  <c r="O164"/>
  <c r="N168"/>
  <c r="O165"/>
  <c r="N76"/>
  <c r="O77" s="1"/>
  <c r="O72"/>
  <c r="N81"/>
  <c r="N177"/>
  <c r="AM19"/>
  <c r="F165" s="1"/>
  <c r="F164" s="1"/>
  <c r="AL20"/>
  <c r="AL21" l="1"/>
  <c r="AM20"/>
  <c r="F169" s="1"/>
  <c r="F168" s="1"/>
  <c r="F64"/>
  <c r="N181"/>
  <c r="N85"/>
  <c r="N80"/>
  <c r="O81" s="1"/>
  <c r="O76"/>
  <c r="N172"/>
  <c r="O168"/>
  <c r="O169"/>
  <c r="BE15" i="34"/>
  <c r="AD15" i="19"/>
  <c r="BB15" s="1"/>
  <c r="BE73" i="28"/>
  <c r="BE74"/>
  <c r="BD17" i="29"/>
  <c r="BD16"/>
  <c r="BE30" i="33"/>
  <c r="BE16"/>
  <c r="BE17"/>
  <c r="M15" i="31"/>
  <c r="AE15" s="1"/>
  <c r="BE72" i="19"/>
  <c r="M14" i="29"/>
  <c r="AE14" s="1"/>
  <c r="M15"/>
  <c r="AE15" s="1"/>
  <c r="BD17" i="31"/>
  <c r="BD16"/>
  <c r="M14"/>
  <c r="AE14" s="1"/>
  <c r="BE71" i="19"/>
  <c r="BE73"/>
  <c r="M13" i="30"/>
  <c r="AE13" s="1"/>
  <c r="M13" i="29"/>
  <c r="AE13" s="1"/>
  <c r="M14" i="33"/>
  <c r="AE14" s="1"/>
  <c r="AD13" i="19"/>
  <c r="BD30" i="31"/>
  <c r="M13"/>
  <c r="AE13" s="1"/>
  <c r="BE70" i="19"/>
  <c r="BE69"/>
  <c r="BD30" i="30"/>
  <c r="BD30" i="29"/>
  <c r="M15" i="33"/>
  <c r="AE15" s="1"/>
  <c r="M13"/>
  <c r="AE13" s="1"/>
  <c r="AD14" i="19"/>
  <c r="BB14" s="1"/>
  <c r="M14" i="32"/>
  <c r="AE14" s="1"/>
  <c r="BE17"/>
  <c r="BE16"/>
  <c r="M13"/>
  <c r="AE13" s="1"/>
  <c r="BE30"/>
  <c r="AK29" i="27"/>
  <c r="AK30" s="1"/>
  <c r="AI28"/>
  <c r="AI29" s="1"/>
  <c r="AI30" s="1"/>
  <c r="AH28"/>
  <c r="AH29" s="1"/>
  <c r="N29" i="1"/>
  <c r="O29" s="1"/>
  <c r="Q29" s="1"/>
  <c r="AQ14" i="35"/>
  <c r="AQ15"/>
  <c r="AQ16"/>
  <c r="AP16" i="32"/>
  <c r="AP17"/>
  <c r="AP18"/>
  <c r="AP30"/>
  <c r="AP14" i="28"/>
  <c r="AP15"/>
  <c r="AP16"/>
  <c r="AP17"/>
  <c r="AP18"/>
  <c r="AP17" i="18"/>
  <c r="AP18"/>
  <c r="N31" i="1"/>
  <c r="O31" s="1"/>
  <c r="N30"/>
  <c r="O30" s="1"/>
  <c r="Q30" s="1"/>
  <c r="AP17" i="19"/>
  <c r="AP18"/>
  <c r="AP30"/>
  <c r="N17" i="1"/>
  <c r="O17" s="1"/>
  <c r="Q17" s="1"/>
  <c r="BJ29"/>
  <c r="AU12"/>
  <c r="AP19"/>
  <c r="AU20"/>
  <c r="AU19"/>
  <c r="AP23"/>
  <c r="AU24"/>
  <c r="AU23"/>
  <c r="AP28"/>
  <c r="AU28"/>
  <c r="AU11"/>
  <c r="AU10"/>
  <c r="AP13"/>
  <c r="AU14"/>
  <c r="AU13"/>
  <c r="AP21"/>
  <c r="AU22"/>
  <c r="AU21"/>
  <c r="AP25"/>
  <c r="AU26"/>
  <c r="AU25"/>
  <c r="AK13" i="18"/>
  <c r="AP14"/>
  <c r="AK15"/>
  <c r="AP15"/>
  <c r="AK17"/>
  <c r="AK16"/>
  <c r="AP16"/>
  <c r="W31" i="19"/>
  <c r="W30"/>
  <c r="AP71"/>
  <c r="AP72"/>
  <c r="AP74"/>
  <c r="AP73"/>
  <c r="AE70" i="28"/>
  <c r="AE71"/>
  <c r="AE72"/>
  <c r="AP75"/>
  <c r="AP74"/>
  <c r="W31"/>
  <c r="W30"/>
  <c r="AP30" i="30"/>
  <c r="AP17" i="29"/>
  <c r="AP18"/>
  <c r="AP30"/>
  <c r="W30"/>
  <c r="W30" i="30"/>
  <c r="AP18" i="31"/>
  <c r="AP17"/>
  <c r="W30"/>
  <c r="AP30"/>
  <c r="AA30" i="32"/>
  <c r="W30"/>
  <c r="W30" i="33"/>
  <c r="AP16" i="34"/>
  <c r="M14"/>
  <c r="U30"/>
  <c r="M13"/>
  <c r="M16"/>
  <c r="W30" i="35"/>
  <c r="AA30"/>
  <c r="AJ21" i="27"/>
  <c r="AJ25"/>
  <c r="AJ20"/>
  <c r="AJ22"/>
  <c r="AJ23"/>
  <c r="AJ24"/>
  <c r="AJ26"/>
  <c r="AP14" i="19" l="1"/>
  <c r="BB13"/>
  <c r="AJ30" i="18"/>
  <c r="BE30" s="1"/>
  <c r="BF30" s="1"/>
  <c r="AJ32"/>
  <c r="BE32" s="1"/>
  <c r="BB32"/>
  <c r="AO29" i="1"/>
  <c r="BM29" s="1"/>
  <c r="AJ28" i="27"/>
  <c r="AP16" i="19"/>
  <c r="W30" i="34"/>
  <c r="AP15" i="19"/>
  <c r="AP72" i="28"/>
  <c r="AP71"/>
  <c r="AP73"/>
  <c r="AP30" i="1"/>
  <c r="BK30"/>
  <c r="BL30" s="1"/>
  <c r="AU30"/>
  <c r="AJ29" i="27"/>
  <c r="AH30"/>
  <c r="BE13" i="32"/>
  <c r="AP14"/>
  <c r="BE14"/>
  <c r="AP15"/>
  <c r="BD13" i="31"/>
  <c r="AP14" i="30"/>
  <c r="BD13"/>
  <c r="BK17" i="1"/>
  <c r="BL17" s="1"/>
  <c r="AU18"/>
  <c r="AP17"/>
  <c r="AU17"/>
  <c r="BK29"/>
  <c r="BL29" s="1"/>
  <c r="AU29"/>
  <c r="BE13" i="33"/>
  <c r="BE15"/>
  <c r="BE14"/>
  <c r="BD13" i="29"/>
  <c r="BD14" i="31"/>
  <c r="AP14"/>
  <c r="BD15" i="29"/>
  <c r="AP16"/>
  <c r="AP15"/>
  <c r="AP14"/>
  <c r="BD14"/>
  <c r="BD15" i="31"/>
  <c r="AP15"/>
  <c r="AP16"/>
  <c r="AJ30" i="27"/>
  <c r="O172"/>
  <c r="N176"/>
  <c r="O173"/>
  <c r="O80"/>
  <c r="N84"/>
  <c r="O85" s="1"/>
  <c r="N89"/>
  <c r="N185"/>
  <c r="AL22"/>
  <c r="AM21"/>
  <c r="F173" s="1"/>
  <c r="F172" s="1"/>
  <c r="BF32" i="18" l="1"/>
  <c r="AK30"/>
  <c r="BN29" i="1"/>
  <c r="AP29"/>
  <c r="N189" i="27"/>
  <c r="N93"/>
  <c r="N88"/>
  <c r="O89" s="1"/>
  <c r="O84"/>
  <c r="AL23"/>
  <c r="AM22"/>
  <c r="F177" s="1"/>
  <c r="F176" s="1"/>
  <c r="N180"/>
  <c r="O176"/>
  <c r="O177"/>
  <c r="N184" l="1"/>
  <c r="O180"/>
  <c r="O181"/>
  <c r="AL24"/>
  <c r="AM23"/>
  <c r="F181" s="1"/>
  <c r="F180" s="1"/>
  <c r="N92"/>
  <c r="O93" s="1"/>
  <c r="O88"/>
  <c r="N97"/>
  <c r="N193"/>
  <c r="N96" l="1"/>
  <c r="O96" s="1"/>
  <c r="O92"/>
  <c r="N197"/>
  <c r="N188"/>
  <c r="O184"/>
  <c r="O185"/>
  <c r="O97"/>
  <c r="AL25"/>
  <c r="AM24"/>
  <c r="F185" s="1"/>
  <c r="F184" s="1"/>
  <c r="AM25" l="1"/>
  <c r="F189" s="1"/>
  <c r="F188" s="1"/>
  <c r="AL26"/>
  <c r="O188"/>
  <c r="N192"/>
  <c r="O189"/>
  <c r="N201"/>
  <c r="AL27" l="1"/>
  <c r="AM26"/>
  <c r="F193" s="1"/>
  <c r="F192" s="1"/>
  <c r="N196"/>
  <c r="O192"/>
  <c r="O193"/>
  <c r="O196" l="1"/>
  <c r="N200"/>
  <c r="O197"/>
  <c r="AM27"/>
  <c r="F197" s="1"/>
  <c r="F196" s="1"/>
  <c r="AL28"/>
  <c r="O200" l="1"/>
  <c r="O201"/>
  <c r="AM28"/>
  <c r="F201" s="1"/>
  <c r="F200" s="1"/>
  <c r="AL29"/>
  <c r="AL30" l="1"/>
  <c r="AM30" s="1"/>
  <c r="AM29"/>
  <c r="W9" i="39" l="1"/>
  <c r="W37" l="1"/>
  <c r="W10" l="1"/>
  <c r="W38" l="1"/>
  <c r="G284" i="23" l="1"/>
  <c r="G164" s="1"/>
  <c r="G204" s="1"/>
  <c r="H284"/>
  <c r="H164" s="1"/>
  <c r="H204" s="1"/>
  <c r="I284"/>
  <c r="J284"/>
  <c r="J164" s="1"/>
  <c r="J204" s="1"/>
  <c r="K284"/>
  <c r="K164" s="1"/>
  <c r="K204" s="1"/>
  <c r="L284"/>
  <c r="L164" s="1"/>
  <c r="L204" s="1"/>
  <c r="M284"/>
  <c r="M164" s="1"/>
  <c r="M204" s="1"/>
  <c r="F284"/>
  <c r="F164" s="1"/>
  <c r="F204" s="1"/>
  <c r="C284"/>
  <c r="C164" s="1"/>
  <c r="D284"/>
  <c r="D164" s="1"/>
  <c r="D204" s="1"/>
  <c r="E284"/>
  <c r="E164" s="1"/>
  <c r="E204" s="1"/>
  <c r="B284"/>
  <c r="C204" l="1"/>
  <c r="J97" i="39"/>
  <c r="J153" s="1"/>
  <c r="I164" i="23"/>
  <c r="I204" s="1"/>
  <c r="N284"/>
  <c r="B164"/>
  <c r="N136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B204" l="1"/>
  <c r="N164"/>
  <c r="N204" l="1"/>
  <c r="J10" i="39"/>
  <c r="J66" s="1"/>
  <c r="M283" i="23" l="1"/>
  <c r="N324" l="1"/>
  <c r="L10" i="39" l="1"/>
  <c r="L66" s="1"/>
  <c r="V32" i="41"/>
  <c r="C75" i="27"/>
  <c r="C151"/>
  <c r="I151" s="1"/>
  <c r="I10" i="39"/>
  <c r="I66" s="1"/>
  <c r="C163" i="27"/>
  <c r="C83"/>
  <c r="C159"/>
  <c r="C191"/>
  <c r="C167"/>
  <c r="C155"/>
  <c r="C59"/>
  <c r="I97" i="39"/>
  <c r="C199" i="27"/>
  <c r="C195"/>
  <c r="C171"/>
  <c r="C179"/>
  <c r="C67"/>
  <c r="C175"/>
  <c r="C187"/>
  <c r="C183"/>
  <c r="I153" i="39" l="1"/>
  <c r="L97"/>
  <c r="L153" s="1"/>
  <c r="Y32" i="41"/>
  <c r="X32"/>
  <c r="C95" i="27"/>
  <c r="C91"/>
  <c r="C87"/>
  <c r="C63"/>
  <c r="C71"/>
  <c r="C51"/>
  <c r="C47"/>
  <c r="I47" s="1"/>
  <c r="C79"/>
  <c r="C55"/>
  <c r="H283" i="23" l="1"/>
  <c r="N723"/>
  <c r="N683" l="1"/>
  <c r="L283"/>
  <c r="K283"/>
  <c r="J283"/>
  <c r="I283"/>
  <c r="N1363" l="1"/>
  <c r="J96" i="39" l="1"/>
  <c r="J152" s="1"/>
  <c r="B283" i="23"/>
  <c r="C283"/>
  <c r="D283"/>
  <c r="E283"/>
  <c r="F283"/>
  <c r="G283"/>
  <c r="N283" l="1"/>
  <c r="L243"/>
  <c r="L163" s="1"/>
  <c r="M243"/>
  <c r="M163" s="1"/>
  <c r="N1203"/>
  <c r="F243"/>
  <c r="F163" s="1"/>
  <c r="D243"/>
  <c r="D163" s="1"/>
  <c r="B243"/>
  <c r="I243"/>
  <c r="G243"/>
  <c r="G163" s="1"/>
  <c r="E243"/>
  <c r="E163" s="1"/>
  <c r="C243"/>
  <c r="C163" s="1"/>
  <c r="C203" l="1"/>
  <c r="G203"/>
  <c r="K243"/>
  <c r="K163" s="1"/>
  <c r="D203"/>
  <c r="H243"/>
  <c r="H163" s="1"/>
  <c r="E203"/>
  <c r="I163"/>
  <c r="B163"/>
  <c r="F203"/>
  <c r="J243"/>
  <c r="J163" s="1"/>
  <c r="M203"/>
  <c r="L203"/>
  <c r="N843"/>
  <c r="H43" i="27"/>
  <c r="H44" s="1"/>
  <c r="H147"/>
  <c r="H148" s="1"/>
  <c r="J203" i="23" l="1"/>
  <c r="N243"/>
  <c r="B203"/>
  <c r="N163"/>
  <c r="I203"/>
  <c r="H203"/>
  <c r="K203"/>
  <c r="J9" i="39"/>
  <c r="J65" s="1"/>
  <c r="N203" i="23" l="1"/>
  <c r="H9" i="39"/>
  <c r="H65" s="1"/>
  <c r="C43" i="27"/>
  <c r="I43" s="1"/>
  <c r="C147"/>
  <c r="I147" s="1"/>
  <c r="H96" i="39"/>
  <c r="H152" l="1"/>
  <c r="L96"/>
  <c r="L9"/>
  <c r="L65" s="1"/>
  <c r="L152" l="1"/>
  <c r="AJ9" i="22" l="1"/>
  <c r="N31" i="19" s="1"/>
  <c r="AJ10" i="22"/>
  <c r="N32" i="19" s="1"/>
  <c r="AJ12" i="22"/>
  <c r="N34" i="19" s="1"/>
  <c r="AJ13" i="22"/>
  <c r="N35" i="19" s="1"/>
  <c r="AJ15" i="22"/>
  <c r="N37" i="19" s="1"/>
  <c r="AJ18" i="22"/>
  <c r="N40" i="19" s="1"/>
  <c r="AD84" l="1"/>
  <c r="AD87"/>
  <c r="AD83"/>
  <c r="AD85"/>
  <c r="AD86"/>
  <c r="AD82"/>
  <c r="AK9" i="22"/>
  <c r="N31" i="28" s="1"/>
  <c r="AK10" i="22"/>
  <c r="N32" i="28"/>
  <c r="AK11" i="22"/>
  <c r="N33" i="28" s="1"/>
  <c r="AK12" i="22"/>
  <c r="N34" i="28"/>
  <c r="AK13" i="22"/>
  <c r="N35" i="28" s="1"/>
  <c r="AK14" i="22"/>
  <c r="N36" i="28" s="1"/>
  <c r="AK15" i="22"/>
  <c r="N37" i="28" s="1"/>
  <c r="AK16" i="22"/>
  <c r="N38" i="28" s="1"/>
  <c r="AK17" i="22"/>
  <c r="N39" i="28" s="1"/>
  <c r="AK18" i="22"/>
  <c r="N40" i="28" s="1"/>
  <c r="AE95" l="1"/>
  <c r="AE88"/>
  <c r="AE87"/>
  <c r="AE93"/>
  <c r="AE89"/>
  <c r="AE91"/>
  <c r="AE94"/>
  <c r="AE90"/>
  <c r="AE92"/>
  <c r="AE86"/>
  <c r="AL9" i="22"/>
  <c r="N31" i="29" s="1"/>
  <c r="AL10" i="22"/>
  <c r="N32" i="29" s="1"/>
  <c r="AL11" i="22"/>
  <c r="N33" i="29" s="1"/>
  <c r="AL12" i="22"/>
  <c r="N34" i="29" s="1"/>
  <c r="AL13" i="22"/>
  <c r="N35" i="29" s="1"/>
  <c r="AL14" i="22"/>
  <c r="N36" i="29" s="1"/>
  <c r="AL15" i="22"/>
  <c r="N37" i="29" s="1"/>
  <c r="AL16" i="22"/>
  <c r="N38" i="29" s="1"/>
  <c r="AL17" i="22"/>
  <c r="N39" i="29" s="1"/>
  <c r="AL18" i="22"/>
  <c r="N40" i="29" s="1"/>
  <c r="AE38" l="1"/>
  <c r="AE33"/>
  <c r="AE40"/>
  <c r="AE36"/>
  <c r="AE32"/>
  <c r="AE34"/>
  <c r="AE37"/>
  <c r="AE39"/>
  <c r="AE35"/>
  <c r="AE31"/>
  <c r="AM9" i="22"/>
  <c r="N31" i="30" s="1"/>
  <c r="AM10" i="22"/>
  <c r="N32" i="30"/>
  <c r="AM11" i="22"/>
  <c r="N33" i="30" s="1"/>
  <c r="AM12" i="22"/>
  <c r="N34" i="30"/>
  <c r="AM13" i="22"/>
  <c r="N35" i="30" s="1"/>
  <c r="AM14" i="22"/>
  <c r="N36" i="30" s="1"/>
  <c r="AM15" i="22"/>
  <c r="N37" i="30" s="1"/>
  <c r="AM16" i="22"/>
  <c r="N38" i="30" s="1"/>
  <c r="AM17" i="22"/>
  <c r="N39" i="30" s="1"/>
  <c r="AM18" i="22"/>
  <c r="N40" i="30" s="1"/>
  <c r="AE40" l="1"/>
  <c r="AE33"/>
  <c r="AE35"/>
  <c r="AE32"/>
  <c r="AE38"/>
  <c r="AE37"/>
  <c r="AE31"/>
  <c r="AE36"/>
  <c r="AE39"/>
  <c r="AE34"/>
  <c r="AN9" i="22"/>
  <c r="N31" i="31" s="1"/>
  <c r="AN10" i="22"/>
  <c r="N32" i="31" s="1"/>
  <c r="AN11" i="22"/>
  <c r="N33" i="31" s="1"/>
  <c r="AN12" i="22"/>
  <c r="N34" i="31" s="1"/>
  <c r="AN13" i="22"/>
  <c r="N35" i="31" s="1"/>
  <c r="AN14" i="22"/>
  <c r="N36" i="31" s="1"/>
  <c r="AN15" i="22"/>
  <c r="N37" i="31" s="1"/>
  <c r="AN16" i="22"/>
  <c r="N38" i="31" s="1"/>
  <c r="AN17" i="22"/>
  <c r="N39" i="31" s="1"/>
  <c r="AN18" i="22"/>
  <c r="N40" i="31" s="1"/>
  <c r="AE38" l="1"/>
  <c r="AE33"/>
  <c r="AE40"/>
  <c r="AE36"/>
  <c r="AE32"/>
  <c r="AE34"/>
  <c r="AE37"/>
  <c r="AE39"/>
  <c r="AE35"/>
  <c r="AE31"/>
  <c r="AP9" i="22"/>
  <c r="N31" i="32"/>
  <c r="AP10" i="22"/>
  <c r="N32" i="32"/>
  <c r="AP11" i="22"/>
  <c r="N33" i="32"/>
  <c r="AP12" i="22"/>
  <c r="N34" i="32" s="1"/>
  <c r="AP13" i="22"/>
  <c r="N35" i="32" s="1"/>
  <c r="AP14" i="22"/>
  <c r="N36" i="32" s="1"/>
  <c r="AP15" i="22"/>
  <c r="N37" i="32" s="1"/>
  <c r="AP16" i="22"/>
  <c r="N38" i="32" s="1"/>
  <c r="AP17" i="22"/>
  <c r="N39" i="32" s="1"/>
  <c r="AP18" i="22"/>
  <c r="N40" i="32" s="1"/>
  <c r="AE36" l="1"/>
  <c r="AE35"/>
  <c r="AE32"/>
  <c r="AE38"/>
  <c r="AE34"/>
  <c r="AE40"/>
  <c r="AE39"/>
  <c r="AE37"/>
  <c r="AE33"/>
  <c r="AE31"/>
  <c r="AQ9" i="22"/>
  <c r="N31" i="33" s="1"/>
  <c r="AQ10" i="22"/>
  <c r="N32" i="33"/>
  <c r="AQ11" i="22"/>
  <c r="N33" i="33" s="1"/>
  <c r="AQ12" i="22"/>
  <c r="N34" i="33"/>
  <c r="AQ13" i="22"/>
  <c r="N35" i="33" s="1"/>
  <c r="AQ14" i="22"/>
  <c r="N36" i="33"/>
  <c r="AQ15" i="22"/>
  <c r="N37" i="33" s="1"/>
  <c r="AQ16" i="22"/>
  <c r="N38" i="33"/>
  <c r="AQ17" i="22"/>
  <c r="N39" i="33" s="1"/>
  <c r="AQ18" i="22"/>
  <c r="N40" i="33" s="1"/>
  <c r="AE32" l="1"/>
  <c r="AE37"/>
  <c r="AE38"/>
  <c r="AE33"/>
  <c r="AE35"/>
  <c r="AE40"/>
  <c r="AE34"/>
  <c r="AE39"/>
  <c r="AE36"/>
  <c r="AE31"/>
  <c r="AR9" i="22"/>
  <c r="N31" i="34"/>
  <c r="AR10" i="22"/>
  <c r="N32" i="34"/>
  <c r="AR12" i="22"/>
  <c r="N34" i="34"/>
  <c r="AR13" i="22"/>
  <c r="N35" i="34" s="1"/>
  <c r="AR14" i="22"/>
  <c r="N36" i="34" s="1"/>
  <c r="AR15" i="22"/>
  <c r="N37" i="34" s="1"/>
  <c r="AR16" i="22"/>
  <c r="N38" i="34" s="1"/>
  <c r="AR17" i="22"/>
  <c r="N39" i="34" s="1"/>
  <c r="AR18" i="22"/>
  <c r="N40" i="34" s="1"/>
  <c r="AE27" l="1"/>
  <c r="AE30"/>
  <c r="AE31"/>
  <c r="AE23"/>
  <c r="AE24"/>
  <c r="AE26"/>
  <c r="AE29"/>
  <c r="AE25"/>
  <c r="AE28"/>
  <c r="AS9" i="22"/>
  <c r="N31" i="35"/>
  <c r="AS10" i="22"/>
  <c r="N32" i="35"/>
  <c r="AS11" i="22"/>
  <c r="N33" i="35"/>
  <c r="AS12" i="22"/>
  <c r="N34" i="35"/>
  <c r="AS13" i="22"/>
  <c r="N35" i="35"/>
  <c r="AS14" i="22"/>
  <c r="N36" i="35"/>
  <c r="AS15" i="22"/>
  <c r="N37" i="35"/>
  <c r="AS16" i="22"/>
  <c r="N38" i="35"/>
  <c r="AS18" i="22"/>
  <c r="N40" i="35" s="1"/>
  <c r="AE96" l="1"/>
  <c r="AE90"/>
  <c r="AE98"/>
  <c r="AE92"/>
  <c r="AE97"/>
  <c r="AQ97" s="1"/>
  <c r="AE95"/>
  <c r="AE91"/>
  <c r="AQ91" s="1"/>
  <c r="AE94"/>
  <c r="AQ94" s="1"/>
  <c r="AE93"/>
  <c r="AQ90" l="1"/>
  <c r="AQ92"/>
  <c r="AQ98"/>
  <c r="AQ99"/>
  <c r="AQ95"/>
  <c r="AQ93"/>
  <c r="AQ96"/>
  <c r="Q31" i="6"/>
  <c r="AO10" i="22"/>
  <c r="Q32" i="6" s="1"/>
  <c r="AO11" i="22"/>
  <c r="Q33" i="6" s="1"/>
  <c r="AJ33" l="1"/>
  <c r="AJ32"/>
  <c r="AJ31"/>
  <c r="AE37" i="28"/>
  <c r="AE36"/>
  <c r="AE38"/>
  <c r="AE39"/>
  <c r="AE40"/>
  <c r="AP41" s="1"/>
  <c r="AE31"/>
  <c r="AE32"/>
  <c r="AE33"/>
  <c r="AE34"/>
  <c r="AE35"/>
  <c r="P31" i="1"/>
  <c r="Q31" s="1"/>
  <c r="AH9" i="22"/>
  <c r="AI9"/>
  <c r="AO9"/>
  <c r="AP31" i="32"/>
  <c r="AP32"/>
  <c r="AP33"/>
  <c r="AP34"/>
  <c r="AP35"/>
  <c r="AP36"/>
  <c r="AP37"/>
  <c r="AP38"/>
  <c r="AP39"/>
  <c r="AP40"/>
  <c r="AP41"/>
  <c r="AP31" i="29"/>
  <c r="AP32"/>
  <c r="AP33"/>
  <c r="AP34"/>
  <c r="AP35"/>
  <c r="AP36"/>
  <c r="AP31" i="30"/>
  <c r="AP32"/>
  <c r="AP33"/>
  <c r="AP34"/>
  <c r="AD31" i="19"/>
  <c r="BB31" s="1"/>
  <c r="AD32"/>
  <c r="BB32" s="1"/>
  <c r="AJ11" i="22"/>
  <c r="N33" i="19" s="1"/>
  <c r="AD34"/>
  <c r="BB34" s="1"/>
  <c r="AD35"/>
  <c r="BB35" s="1"/>
  <c r="AJ14" i="22"/>
  <c r="N36" i="19" s="1"/>
  <c r="AD37"/>
  <c r="BB37" s="1"/>
  <c r="AJ16" i="22"/>
  <c r="N38" i="19"/>
  <c r="AJ17" i="22"/>
  <c r="N39" i="19"/>
  <c r="AD40"/>
  <c r="BB40" s="1"/>
  <c r="BE31" i="34"/>
  <c r="BE36" i="33"/>
  <c r="BE39"/>
  <c r="BD35" i="30"/>
  <c r="BD34" i="29"/>
  <c r="BD33" i="30"/>
  <c r="BD34"/>
  <c r="BE85" i="19"/>
  <c r="BE34" i="32"/>
  <c r="BD37" i="30"/>
  <c r="BE87" i="19"/>
  <c r="AI10" i="22"/>
  <c r="N32" i="18"/>
  <c r="AI11" i="22"/>
  <c r="N33" i="18" s="1"/>
  <c r="AI12" i="22"/>
  <c r="N34" i="18" s="1"/>
  <c r="AI13" i="22"/>
  <c r="N35" i="18" s="1"/>
  <c r="AI14" i="22"/>
  <c r="N36" i="18"/>
  <c r="AI15" i="22"/>
  <c r="N37" i="18" s="1"/>
  <c r="BD39" i="29"/>
  <c r="BE84" i="19"/>
  <c r="BD37" i="29"/>
  <c r="BE31" i="33"/>
  <c r="BE38" i="32"/>
  <c r="BE27" i="34"/>
  <c r="BE34" i="33"/>
  <c r="AE29" i="35"/>
  <c r="AQ29" s="1"/>
  <c r="AE30"/>
  <c r="AE31"/>
  <c r="BE31" s="1"/>
  <c r="AE32"/>
  <c r="AE33"/>
  <c r="BE33" s="1"/>
  <c r="AE34"/>
  <c r="BE34" s="1"/>
  <c r="AE35"/>
  <c r="BE35" s="1"/>
  <c r="AE36"/>
  <c r="BE36" s="1"/>
  <c r="AS17" i="22"/>
  <c r="N39" i="35" s="1"/>
  <c r="AE38"/>
  <c r="BE38" s="1"/>
  <c r="BE31" i="32"/>
  <c r="BE36"/>
  <c r="BE32"/>
  <c r="BE40" i="33"/>
  <c r="BD33" i="29"/>
  <c r="BD32" i="30"/>
  <c r="BE86" i="19"/>
  <c r="BE83"/>
  <c r="BD36" i="31"/>
  <c r="BD38" i="29"/>
  <c r="BD31" i="30"/>
  <c r="BD37" i="31"/>
  <c r="BE88" i="28"/>
  <c r="BE93"/>
  <c r="BE87"/>
  <c r="BE86"/>
  <c r="BE89"/>
  <c r="BE92"/>
  <c r="BE90"/>
  <c r="BE95"/>
  <c r="BE35" i="32"/>
  <c r="BD40" i="30"/>
  <c r="BD39" i="31"/>
  <c r="BD35"/>
  <c r="BE38" i="33"/>
  <c r="BE37"/>
  <c r="BD32" i="29"/>
  <c r="BD39" i="30"/>
  <c r="BD32" i="31"/>
  <c r="BE94" i="28"/>
  <c r="BE91"/>
  <c r="BE24" i="34"/>
  <c r="BE25"/>
  <c r="BE23"/>
  <c r="BE28"/>
  <c r="AE37" i="35" l="1"/>
  <c r="AC34" i="18"/>
  <c r="AC36"/>
  <c r="AC32"/>
  <c r="BC32" s="1"/>
  <c r="BD32" s="1"/>
  <c r="AD38" i="19"/>
  <c r="BB38" s="1"/>
  <c r="AC37" i="18"/>
  <c r="AD39" i="19"/>
  <c r="BB39" s="1"/>
  <c r="AD33"/>
  <c r="BB33" s="1"/>
  <c r="AC33" i="18"/>
  <c r="AD36" i="19"/>
  <c r="BB36" s="1"/>
  <c r="AC35" i="18"/>
  <c r="AP38" i="28"/>
  <c r="AP36"/>
  <c r="AP32"/>
  <c r="AP35"/>
  <c r="AP33"/>
  <c r="AP34"/>
  <c r="AP31"/>
  <c r="AP39"/>
  <c r="AP37"/>
  <c r="AQ32" i="35"/>
  <c r="BE32"/>
  <c r="AQ36"/>
  <c r="AP40" i="28"/>
  <c r="BE29" i="35"/>
  <c r="AQ35"/>
  <c r="AQ33"/>
  <c r="AQ30"/>
  <c r="AP9" i="29"/>
  <c r="AQ34" i="35"/>
  <c r="AQ31"/>
  <c r="BE30"/>
  <c r="AU31" i="1"/>
  <c r="BK31"/>
  <c r="N31" i="18"/>
  <c r="AP9" i="30"/>
  <c r="BE98" i="35"/>
  <c r="BE96"/>
  <c r="BE37" l="1"/>
  <c r="AQ37"/>
  <c r="AP35" i="18"/>
  <c r="AP36"/>
  <c r="AP37"/>
  <c r="BC33"/>
  <c r="AP34"/>
  <c r="AP33"/>
  <c r="AC31"/>
  <c r="AP8" i="28"/>
  <c r="N404" i="23"/>
  <c r="BC31" i="18" l="1"/>
  <c r="BD31" s="1"/>
  <c r="AP32"/>
  <c r="AP31"/>
  <c r="AP8" s="1"/>
  <c r="BE92" i="35" l="1"/>
  <c r="BE94" l="1"/>
  <c r="BE95"/>
  <c r="BE90" l="1"/>
  <c r="N38" i="23"/>
  <c r="N34"/>
  <c r="N35"/>
  <c r="N36"/>
  <c r="N37"/>
  <c r="BE32" i="33"/>
  <c r="BE33"/>
  <c r="BE35"/>
  <c r="BD36" i="30"/>
  <c r="BD38"/>
  <c r="BE97" i="35"/>
  <c r="BE91"/>
  <c r="BE93"/>
  <c r="BE30" i="34"/>
  <c r="BE26"/>
  <c r="BE29"/>
  <c r="BE33" i="32"/>
  <c r="BE40"/>
  <c r="BE37"/>
  <c r="BE39"/>
  <c r="BD40" i="31"/>
  <c r="BD38"/>
  <c r="BD34"/>
  <c r="BD33"/>
  <c r="BD31"/>
  <c r="BD40" i="29"/>
  <c r="BD36"/>
  <c r="BD31"/>
  <c r="BD35"/>
  <c r="BE82" i="19"/>
  <c r="AI16" i="22"/>
  <c r="N38" i="18" s="1"/>
  <c r="AI17" i="22"/>
  <c r="N39" i="18" s="1"/>
  <c r="AI18" i="22"/>
  <c r="N40" i="18" s="1"/>
  <c r="AU155" i="22"/>
  <c r="AU156"/>
  <c r="AU157" s="1"/>
  <c r="AU158" s="1"/>
  <c r="AU159" s="1"/>
  <c r="AU160" s="1"/>
  <c r="AU161" s="1"/>
  <c r="AU162" s="1"/>
  <c r="AU163" s="1"/>
  <c r="AU164" s="1"/>
  <c r="AU165" s="1"/>
  <c r="AU166" s="1"/>
  <c r="AU167" s="1"/>
  <c r="AU168" s="1"/>
  <c r="AU169" s="1"/>
  <c r="AU170" s="1"/>
  <c r="AU171" s="1"/>
  <c r="AU172" s="1"/>
  <c r="AU173" s="1"/>
  <c r="AU174" s="1"/>
  <c r="AU175" s="1"/>
  <c r="AU176" s="1"/>
  <c r="AU177" s="1"/>
  <c r="AU178" s="1"/>
  <c r="AU179" s="1"/>
  <c r="AU180" s="1"/>
  <c r="AU181" s="1"/>
  <c r="AU182" s="1"/>
  <c r="AU183" s="1"/>
  <c r="AU184" s="1"/>
  <c r="AU185" s="1"/>
  <c r="AU186" s="1"/>
  <c r="AU187" s="1"/>
  <c r="AU188" s="1"/>
  <c r="AU189" s="1"/>
  <c r="AU190" s="1"/>
  <c r="AU191" s="1"/>
  <c r="AU192" s="1"/>
  <c r="AU193" s="1"/>
  <c r="AU194" s="1"/>
  <c r="AU195" s="1"/>
  <c r="L31"/>
  <c r="P31" s="1"/>
  <c r="Q31" s="1"/>
  <c r="L29"/>
  <c r="P29" s="1"/>
  <c r="Q29" s="1"/>
  <c r="L27"/>
  <c r="P27"/>
  <c r="Q27" s="1"/>
  <c r="L25"/>
  <c r="P25" s="1"/>
  <c r="Q25" s="1"/>
  <c r="L30"/>
  <c r="P30" s="1"/>
  <c r="Q30" s="1"/>
  <c r="L28"/>
  <c r="P28" s="1"/>
  <c r="Q28" s="1"/>
  <c r="L26"/>
  <c r="P26" s="1"/>
  <c r="Q26" s="1"/>
  <c r="AC40" i="18" l="1"/>
  <c r="AC38"/>
  <c r="AC39"/>
  <c r="N77" i="23"/>
  <c r="N76"/>
  <c r="N78"/>
  <c r="N75"/>
  <c r="N74"/>
  <c r="AP40" i="18" l="1"/>
  <c r="AP41"/>
  <c r="AP38"/>
  <c r="AP39"/>
  <c r="AH13" i="22"/>
  <c r="AR11"/>
  <c r="N33" i="34" s="1"/>
  <c r="AO13" i="22"/>
  <c r="AH15"/>
  <c r="AH16" l="1"/>
  <c r="AO15"/>
  <c r="AO12" l="1"/>
  <c r="AH14"/>
  <c r="AO16" l="1"/>
  <c r="BI32" i="6"/>
  <c r="BI33" l="1"/>
  <c r="AO14" i="22"/>
  <c r="BI31" i="6"/>
  <c r="D15" i="27"/>
  <c r="D16" s="1"/>
  <c r="D127"/>
  <c r="D19"/>
  <c r="D7"/>
  <c r="D23"/>
  <c r="D115"/>
  <c r="D116" s="1"/>
  <c r="K116" s="1"/>
  <c r="D11"/>
  <c r="D123"/>
  <c r="D111"/>
  <c r="AO18" i="22"/>
  <c r="AO17"/>
  <c r="AH17"/>
  <c r="AH18"/>
  <c r="D112" i="27" l="1"/>
  <c r="K112" s="1"/>
  <c r="D124"/>
  <c r="D20"/>
  <c r="D24"/>
  <c r="D12"/>
  <c r="K12" s="1"/>
  <c r="D8"/>
  <c r="D31"/>
  <c r="D32" s="1"/>
  <c r="D27"/>
  <c r="D28" s="1"/>
  <c r="D135"/>
  <c r="D136" s="1"/>
  <c r="D131"/>
  <c r="D132" s="1"/>
  <c r="D119"/>
  <c r="D120" s="1"/>
  <c r="D128"/>
  <c r="K8" l="1"/>
  <c r="K20"/>
  <c r="K24"/>
  <c r="K128"/>
  <c r="AP27" i="34" l="1"/>
  <c r="AP90" i="28"/>
  <c r="AP85" i="19"/>
  <c r="AP29" i="34"/>
  <c r="AP91" i="28"/>
  <c r="AP37" i="19"/>
  <c r="AP26" i="34"/>
  <c r="AP28"/>
  <c r="AP30"/>
  <c r="AP96" i="28"/>
  <c r="AP95"/>
  <c r="AP86" i="19"/>
  <c r="AP35"/>
  <c r="AQ38" i="35"/>
  <c r="AQ39"/>
  <c r="AP41" i="19"/>
  <c r="AP40"/>
  <c r="AP87"/>
  <c r="BC38" i="18"/>
  <c r="BC36"/>
  <c r="AP38" i="29"/>
  <c r="AP37" i="30"/>
  <c r="AP38" i="31"/>
  <c r="AP41" i="29"/>
  <c r="AP40"/>
  <c r="AP38" i="30"/>
  <c r="AH10" i="22"/>
  <c r="P32" i="1" s="1"/>
  <c r="Q32" s="1"/>
  <c r="AP92" i="28" l="1"/>
  <c r="BK32" i="1"/>
  <c r="AU32"/>
  <c r="AU33"/>
  <c r="BC35" i="18"/>
  <c r="BC39"/>
  <c r="BC37"/>
  <c r="AK32"/>
  <c r="AK31"/>
  <c r="BC40"/>
  <c r="BC34"/>
  <c r="AP84" i="19"/>
  <c r="AP33"/>
  <c r="AP36"/>
  <c r="AP34"/>
  <c r="AP31"/>
  <c r="AP32"/>
  <c r="AP39"/>
  <c r="AP38"/>
  <c r="AP82"/>
  <c r="AP83"/>
  <c r="AP93" i="28"/>
  <c r="AP88"/>
  <c r="AP89"/>
  <c r="AP86"/>
  <c r="AP87"/>
  <c r="AP94"/>
  <c r="AU31" i="6"/>
  <c r="AU32"/>
  <c r="AU33"/>
  <c r="AU34"/>
  <c r="AP39" i="29"/>
  <c r="AP37"/>
  <c r="AP35" i="30"/>
  <c r="AP39"/>
  <c r="AP41"/>
  <c r="AP40"/>
  <c r="AP36"/>
  <c r="AP34" i="31"/>
  <c r="AP31"/>
  <c r="AP36"/>
  <c r="AP32"/>
  <c r="AP35"/>
  <c r="AP39"/>
  <c r="AP37"/>
  <c r="AP33"/>
  <c r="AP41"/>
  <c r="AP40"/>
  <c r="AP25" i="34"/>
  <c r="AP23"/>
  <c r="AP24"/>
  <c r="AP31"/>
  <c r="AT9" i="22"/>
  <c r="AT14"/>
  <c r="AT13"/>
  <c r="AT15"/>
  <c r="AT16"/>
  <c r="AT17"/>
  <c r="AT18"/>
  <c r="S159"/>
  <c r="AG159" s="1"/>
  <c r="S158"/>
  <c r="AG158" s="1"/>
  <c r="S157"/>
  <c r="AG157" s="1"/>
  <c r="S156"/>
  <c r="AG156" s="1"/>
  <c r="S155"/>
  <c r="AG155" s="1"/>
  <c r="S161"/>
  <c r="AG161" s="1"/>
  <c r="S160"/>
  <c r="AG160" s="1"/>
  <c r="S154"/>
  <c r="AG154" s="1"/>
  <c r="S153"/>
  <c r="AG153" s="1"/>
  <c r="S163"/>
  <c r="AG163" s="1"/>
  <c r="S166"/>
  <c r="AG166" s="1"/>
  <c r="AT10"/>
  <c r="AT11"/>
  <c r="AT12"/>
  <c r="AU4" i="6" l="1"/>
  <c r="AP8" i="19"/>
  <c r="AD564" i="23"/>
  <c r="AS564" s="1"/>
  <c r="AD563"/>
  <c r="AS563" s="1"/>
  <c r="A1363" l="1"/>
  <c r="A1563"/>
  <c r="A1603" s="1"/>
  <c r="A1643" s="1"/>
  <c r="A1683" s="1"/>
  <c r="A1723" s="1"/>
  <c r="A1365"/>
  <c r="A1565"/>
  <c r="A1605" s="1"/>
  <c r="A1645" s="1"/>
  <c r="A1685" s="1"/>
  <c r="A1725" s="1"/>
  <c r="A1364"/>
  <c r="A1564"/>
  <c r="A1604" s="1"/>
  <c r="A1644" s="1"/>
  <c r="A1684" s="1"/>
  <c r="A1724" s="1"/>
  <c r="A1366"/>
  <c r="A1406" s="1"/>
  <c r="A1446" s="1"/>
  <c r="A1566"/>
  <c r="A1606" s="1"/>
  <c r="A1646" s="1"/>
  <c r="A1686" s="1"/>
  <c r="A1726" s="1"/>
  <c r="A1404" l="1"/>
  <c r="A1444" s="1"/>
  <c r="A1405"/>
  <c r="A1445" s="1"/>
  <c r="A1403"/>
  <c r="A1443" s="1"/>
  <c r="A1486"/>
  <c r="A1484"/>
  <c r="A1485"/>
  <c r="A1483"/>
  <c r="C682"/>
  <c r="C762" s="1"/>
  <c r="C802"/>
  <c r="G682"/>
  <c r="G762" s="1"/>
  <c r="G802"/>
  <c r="I682"/>
  <c r="I762" s="1"/>
  <c r="I802"/>
  <c r="K682"/>
  <c r="K762" s="1"/>
  <c r="K802"/>
  <c r="B682"/>
  <c r="B762" s="1"/>
  <c r="B802"/>
  <c r="D682"/>
  <c r="D762" s="1"/>
  <c r="D802"/>
  <c r="F682"/>
  <c r="F762" s="1"/>
  <c r="F802"/>
  <c r="H682"/>
  <c r="H762" s="1"/>
  <c r="H802"/>
  <c r="J682"/>
  <c r="J762" s="1"/>
  <c r="J802"/>
  <c r="L682"/>
  <c r="L762" s="1"/>
  <c r="L802"/>
  <c r="A682"/>
  <c r="A762" s="1"/>
  <c r="A802"/>
  <c r="E682"/>
  <c r="E762" s="1"/>
  <c r="E802"/>
  <c r="M682"/>
  <c r="M762" s="1"/>
  <c r="M802"/>
  <c r="A43" l="1"/>
  <c r="A1525"/>
  <c r="A1526"/>
  <c r="A1523"/>
  <c r="A1524"/>
  <c r="A45" l="1"/>
  <c r="A46"/>
  <c r="A44"/>
  <c r="A83"/>
  <c r="P83" s="1"/>
  <c r="A47"/>
  <c r="A48" l="1"/>
  <c r="A123"/>
  <c r="A84"/>
  <c r="P84" s="1"/>
  <c r="A163" l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203"/>
  <c r="A49"/>
  <c r="A85"/>
  <c r="P85" s="1"/>
  <c r="A124"/>
  <c r="A204" s="1"/>
  <c r="A243" l="1"/>
  <c r="A283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244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323"/>
  <c r="A125"/>
  <c r="A205" s="1"/>
  <c r="A86"/>
  <c r="P86" s="1"/>
  <c r="A50"/>
  <c r="A324" l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403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51"/>
  <c r="A87"/>
  <c r="P87" s="1"/>
  <c r="A126"/>
  <c r="A206" s="1"/>
  <c r="A127" l="1"/>
  <c r="A207" s="1"/>
  <c r="A88"/>
  <c r="P88" s="1"/>
  <c r="A52"/>
  <c r="A53" l="1"/>
  <c r="A128"/>
  <c r="A208" s="1"/>
  <c r="A89"/>
  <c r="P89" s="1"/>
  <c r="A54" l="1"/>
  <c r="A129"/>
  <c r="A209" s="1"/>
  <c r="A90"/>
  <c r="P90" s="1"/>
  <c r="A55" l="1"/>
  <c r="A130"/>
  <c r="A210" s="1"/>
  <c r="A91"/>
  <c r="P91" s="1"/>
  <c r="A131" l="1"/>
  <c r="A211" s="1"/>
  <c r="A92"/>
  <c r="P92" s="1"/>
  <c r="A56"/>
  <c r="A132" l="1"/>
  <c r="A212" s="1"/>
  <c r="A93"/>
  <c r="P93" s="1"/>
  <c r="A57"/>
  <c r="A133" l="1"/>
  <c r="A213" s="1"/>
  <c r="A94"/>
  <c r="P94" s="1"/>
  <c r="A58"/>
  <c r="A134" l="1"/>
  <c r="A214" s="1"/>
  <c r="A95"/>
  <c r="P95" s="1"/>
  <c r="A59"/>
  <c r="A135" l="1"/>
  <c r="A215" s="1"/>
  <c r="A96"/>
  <c r="P96" s="1"/>
  <c r="A60"/>
  <c r="A136" l="1"/>
  <c r="A216" s="1"/>
  <c r="A97"/>
  <c r="P97" s="1"/>
  <c r="A61"/>
  <c r="A137" l="1"/>
  <c r="A217" s="1"/>
  <c r="A98"/>
  <c r="P98" s="1"/>
  <c r="A62"/>
  <c r="A63" l="1"/>
  <c r="A138"/>
  <c r="A218" s="1"/>
  <c r="A99"/>
  <c r="P99" s="1"/>
  <c r="A139" l="1"/>
  <c r="A219" s="1"/>
  <c r="A100"/>
  <c r="P100" s="1"/>
  <c r="A64"/>
  <c r="A140" l="1"/>
  <c r="A220" s="1"/>
  <c r="A101"/>
  <c r="P101" s="1"/>
  <c r="A65"/>
  <c r="A141" l="1"/>
  <c r="A221" s="1"/>
  <c r="A102"/>
  <c r="P102" s="1"/>
  <c r="A66"/>
  <c r="A142" l="1"/>
  <c r="A222" s="1"/>
  <c r="A103"/>
  <c r="P103" s="1"/>
  <c r="A67"/>
  <c r="A143" l="1"/>
  <c r="A223" s="1"/>
  <c r="A104"/>
  <c r="P104" s="1"/>
  <c r="A68"/>
  <c r="A144" l="1"/>
  <c r="A224" s="1"/>
  <c r="A105"/>
  <c r="P105" s="1"/>
  <c r="A69"/>
  <c r="A145" l="1"/>
  <c r="A225" s="1"/>
  <c r="A106"/>
  <c r="P106" s="1"/>
  <c r="A70"/>
  <c r="A146" l="1"/>
  <c r="A226" s="1"/>
  <c r="A107"/>
  <c r="P107" s="1"/>
  <c r="A71"/>
  <c r="A147" l="1"/>
  <c r="A227" s="1"/>
  <c r="A108"/>
  <c r="P108" s="1"/>
  <c r="A72"/>
  <c r="A148" l="1"/>
  <c r="A228" s="1"/>
  <c r="A109"/>
  <c r="P109" s="1"/>
  <c r="A73"/>
  <c r="A110" l="1"/>
  <c r="P110" s="1"/>
  <c r="A149"/>
  <c r="A229" s="1"/>
  <c r="A74"/>
  <c r="A75" l="1"/>
  <c r="A150"/>
  <c r="A230" s="1"/>
  <c r="A111"/>
  <c r="P111" s="1"/>
  <c r="A112" l="1"/>
  <c r="P112" s="1"/>
  <c r="A151"/>
  <c r="A231" s="1"/>
  <c r="A76"/>
  <c r="A78" l="1"/>
  <c r="A77"/>
  <c r="A152"/>
  <c r="A232" s="1"/>
  <c r="A113"/>
  <c r="P113" s="1"/>
  <c r="A153" l="1"/>
  <c r="A233" s="1"/>
  <c r="A114"/>
  <c r="P114" s="1"/>
  <c r="A154" l="1"/>
  <c r="A234" s="1"/>
  <c r="A115"/>
  <c r="P115" s="1"/>
  <c r="A155" l="1"/>
  <c r="A235" s="1"/>
  <c r="A116"/>
  <c r="P116" s="1"/>
  <c r="A156" l="1"/>
  <c r="A236" s="1"/>
  <c r="A117"/>
  <c r="P117" s="1"/>
  <c r="A157" l="1"/>
  <c r="A237" s="1"/>
  <c r="A118"/>
  <c r="A158" l="1"/>
  <c r="A238" s="1"/>
  <c r="P118"/>
  <c r="A48" i="1" l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J42" i="19" l="1"/>
  <c r="O42" s="1"/>
  <c r="M42" l="1"/>
  <c r="AD42"/>
  <c r="J42" i="28"/>
  <c r="O42" s="1"/>
  <c r="AD88" i="19" l="1"/>
  <c r="M42" i="28"/>
  <c r="AE97"/>
  <c r="BB42" i="19"/>
  <c r="BE88"/>
  <c r="AP88"/>
  <c r="AP42"/>
  <c r="J42" i="29"/>
  <c r="O42" s="1"/>
  <c r="AE42" i="28" l="1"/>
  <c r="M42" i="29"/>
  <c r="AP42" i="28"/>
  <c r="BE97"/>
  <c r="AP97"/>
  <c r="AE42" i="29" l="1"/>
  <c r="J42" i="30"/>
  <c r="O42" s="1"/>
  <c r="J42" i="31"/>
  <c r="O42" s="1"/>
  <c r="M42" i="30" l="1"/>
  <c r="BD42" i="29"/>
  <c r="AP42"/>
  <c r="M42" i="31"/>
  <c r="M42" i="6"/>
  <c r="R42" s="1"/>
  <c r="K42"/>
  <c r="AE42" i="30" l="1"/>
  <c r="AE42" i="31"/>
  <c r="P42" i="6"/>
  <c r="AJ42" s="1"/>
  <c r="J42" i="32"/>
  <c r="O42" s="1"/>
  <c r="AU42" i="6" l="1"/>
  <c r="BD42" i="31"/>
  <c r="AP42"/>
  <c r="M42" i="32"/>
  <c r="BD42" i="30"/>
  <c r="AP42"/>
  <c r="BI42" i="6"/>
  <c r="J42" i="33"/>
  <c r="O42" s="1"/>
  <c r="J42" i="34"/>
  <c r="O42" s="1"/>
  <c r="M42" i="33" l="1"/>
  <c r="M42" i="34"/>
  <c r="AE42" i="32"/>
  <c r="J42" i="35"/>
  <c r="O42" s="1"/>
  <c r="AE32" i="34" l="1"/>
  <c r="M42" i="35"/>
  <c r="AE40"/>
  <c r="BE42" i="32"/>
  <c r="AP42"/>
  <c r="AE42" i="33"/>
  <c r="BE42" s="1"/>
  <c r="AE100" i="35" l="1"/>
  <c r="BE32" i="34"/>
  <c r="AP32"/>
  <c r="BE100" i="35"/>
  <c r="AQ40"/>
  <c r="BE40"/>
  <c r="AQ100" l="1"/>
  <c r="BG14" i="33"/>
  <c r="BG13"/>
  <c r="BG15"/>
  <c r="J44" i="18" l="1"/>
  <c r="O44" s="1"/>
  <c r="M44" l="1"/>
  <c r="J44" i="19"/>
  <c r="O44" s="1"/>
  <c r="M44" l="1"/>
  <c r="AC44" i="18"/>
  <c r="J44" i="28"/>
  <c r="O44" s="1"/>
  <c r="BC44" i="18" l="1"/>
  <c r="C444" i="23"/>
  <c r="C524" s="1"/>
  <c r="C84" s="1"/>
  <c r="AD44" i="19"/>
  <c r="M44" i="28"/>
  <c r="D444" i="23"/>
  <c r="D524" s="1"/>
  <c r="D84" s="1"/>
  <c r="E444"/>
  <c r="E524" s="1"/>
  <c r="E84" s="1"/>
  <c r="AE99" i="28"/>
  <c r="AE44"/>
  <c r="J44" i="29"/>
  <c r="O44" s="1"/>
  <c r="M44" l="1"/>
  <c r="AH604" i="23"/>
  <c r="D4"/>
  <c r="C4"/>
  <c r="AG604"/>
  <c r="AI604"/>
  <c r="E4"/>
  <c r="BE99" i="28"/>
  <c r="J44" i="30"/>
  <c r="O44" s="1"/>
  <c r="M44" l="1"/>
  <c r="AE44" i="29"/>
  <c r="J44" i="31"/>
  <c r="O44" s="1"/>
  <c r="M44" i="6"/>
  <c r="R44" s="1"/>
  <c r="K44"/>
  <c r="F444" i="23" l="1"/>
  <c r="F524" s="1"/>
  <c r="F84" s="1"/>
  <c r="BD44" i="29"/>
  <c r="AE44" i="30"/>
  <c r="P44" i="6"/>
  <c r="M44" i="31"/>
  <c r="AJ44" i="6" l="1"/>
  <c r="BD44" i="30"/>
  <c r="G444" i="23"/>
  <c r="G524" s="1"/>
  <c r="G84" s="1"/>
  <c r="AJ604"/>
  <c r="F4"/>
  <c r="AE44" i="31"/>
  <c r="J44" i="32"/>
  <c r="O44" s="1"/>
  <c r="M44" l="1"/>
  <c r="BI44" i="6"/>
  <c r="I444" i="23"/>
  <c r="BD44" i="31"/>
  <c r="H444" i="23"/>
  <c r="H524" s="1"/>
  <c r="H84" s="1"/>
  <c r="AK604"/>
  <c r="G4"/>
  <c r="J44" i="33"/>
  <c r="O44" s="1"/>
  <c r="AE44" i="32" l="1"/>
  <c r="I524" i="23"/>
  <c r="I84" s="1"/>
  <c r="M44" i="33"/>
  <c r="H4" i="23"/>
  <c r="AL604"/>
  <c r="J44" i="34"/>
  <c r="O44" s="1"/>
  <c r="J444" i="23" l="1"/>
  <c r="J524" s="1"/>
  <c r="BE44" i="32"/>
  <c r="M44" i="34"/>
  <c r="L444" i="23"/>
  <c r="L524" s="1"/>
  <c r="L84" s="1"/>
  <c r="AE44" i="33"/>
  <c r="AM604" i="23"/>
  <c r="I4"/>
  <c r="B97" i="39"/>
  <c r="J84" i="23"/>
  <c r="J44" i="35"/>
  <c r="O44" s="1"/>
  <c r="AE34" i="34" l="1"/>
  <c r="BE34" s="1"/>
  <c r="BE44" i="33"/>
  <c r="K444" i="23"/>
  <c r="K524" s="1"/>
  <c r="K84" s="1"/>
  <c r="B153" i="39"/>
  <c r="D97"/>
  <c r="M44" i="35"/>
  <c r="AE42"/>
  <c r="J4" i="23"/>
  <c r="AN604"/>
  <c r="L4"/>
  <c r="AP604"/>
  <c r="M444" l="1"/>
  <c r="M524" s="1"/>
  <c r="M84" s="1"/>
  <c r="F97" i="39"/>
  <c r="D153"/>
  <c r="K4" i="23"/>
  <c r="AO604"/>
  <c r="BE42" i="35"/>
  <c r="F153" i="39" l="1"/>
  <c r="O97"/>
  <c r="AQ604" i="23"/>
  <c r="M4"/>
  <c r="O153" i="39" l="1"/>
  <c r="X38"/>
  <c r="N1570" i="23"/>
  <c r="N1569"/>
  <c r="N1568"/>
  <c r="N1567"/>
  <c r="N1566"/>
  <c r="N1565"/>
  <c r="N1553"/>
  <c r="N1552"/>
  <c r="N1551"/>
  <c r="I201" i="27"/>
  <c r="I197"/>
  <c r="I193"/>
  <c r="I189"/>
  <c r="I185"/>
  <c r="I181"/>
  <c r="I177"/>
  <c r="I173"/>
  <c r="I169"/>
  <c r="I165"/>
  <c r="I161"/>
  <c r="I157"/>
  <c r="I153"/>
  <c r="I152" s="1"/>
  <c r="I149"/>
  <c r="I148" s="1"/>
  <c r="I145"/>
  <c r="I144" s="1"/>
  <c r="I141"/>
  <c r="I140" s="1"/>
  <c r="I137"/>
  <c r="I136" s="1"/>
  <c r="I133"/>
  <c r="I132" s="1"/>
  <c r="I129"/>
  <c r="I128" s="1"/>
  <c r="I125"/>
  <c r="I124" s="1"/>
  <c r="I121"/>
  <c r="I120" s="1"/>
  <c r="I117"/>
  <c r="I116" s="1"/>
  <c r="M313" i="23"/>
  <c r="L313"/>
  <c r="K313"/>
  <c r="J313"/>
  <c r="I313"/>
  <c r="H313"/>
  <c r="G313"/>
  <c r="F313"/>
  <c r="E313"/>
  <c r="D313"/>
  <c r="C313"/>
  <c r="M312"/>
  <c r="L312"/>
  <c r="K312"/>
  <c r="J312"/>
  <c r="I312"/>
  <c r="H312"/>
  <c r="G312"/>
  <c r="F312"/>
  <c r="E312"/>
  <c r="D312"/>
  <c r="C312"/>
  <c r="M311"/>
  <c r="L311"/>
  <c r="K311"/>
  <c r="J311"/>
  <c r="I311"/>
  <c r="H311"/>
  <c r="G311"/>
  <c r="F311"/>
  <c r="E311"/>
  <c r="D311"/>
  <c r="C311"/>
  <c r="M310"/>
  <c r="L310"/>
  <c r="K310"/>
  <c r="J310"/>
  <c r="I310"/>
  <c r="H310"/>
  <c r="G310"/>
  <c r="F310"/>
  <c r="E310"/>
  <c r="D310"/>
  <c r="C310"/>
  <c r="M309"/>
  <c r="L309"/>
  <c r="K309"/>
  <c r="J309"/>
  <c r="I309"/>
  <c r="H309"/>
  <c r="G309"/>
  <c r="F309"/>
  <c r="E309"/>
  <c r="D309"/>
  <c r="C309"/>
  <c r="M308"/>
  <c r="L308"/>
  <c r="K308"/>
  <c r="J308"/>
  <c r="I308"/>
  <c r="H308"/>
  <c r="G308"/>
  <c r="F308"/>
  <c r="E308"/>
  <c r="D308"/>
  <c r="C308"/>
  <c r="M307"/>
  <c r="L307"/>
  <c r="K307"/>
  <c r="J307"/>
  <c r="I307"/>
  <c r="H307"/>
  <c r="G307"/>
  <c r="F307"/>
  <c r="E307"/>
  <c r="D307"/>
  <c r="C307"/>
  <c r="M306"/>
  <c r="L306"/>
  <c r="K306"/>
  <c r="J306"/>
  <c r="I306"/>
  <c r="H306"/>
  <c r="G306"/>
  <c r="F306"/>
  <c r="E306"/>
  <c r="D306"/>
  <c r="C306"/>
  <c r="M305"/>
  <c r="L305"/>
  <c r="K305"/>
  <c r="J305"/>
  <c r="I305"/>
  <c r="H305"/>
  <c r="G305"/>
  <c r="F305"/>
  <c r="E305"/>
  <c r="D305"/>
  <c r="C305"/>
  <c r="M304"/>
  <c r="L304"/>
  <c r="K304"/>
  <c r="J304"/>
  <c r="I304"/>
  <c r="H304"/>
  <c r="G304"/>
  <c r="F304"/>
  <c r="E304"/>
  <c r="D304"/>
  <c r="C304"/>
  <c r="M303"/>
  <c r="L303"/>
  <c r="K303"/>
  <c r="J303"/>
  <c r="I303"/>
  <c r="J100" i="36" s="1"/>
  <c r="H303" i="23"/>
  <c r="G303"/>
  <c r="F303"/>
  <c r="E303"/>
  <c r="D303"/>
  <c r="C303"/>
  <c r="M302"/>
  <c r="L302"/>
  <c r="K302"/>
  <c r="J302"/>
  <c r="I302"/>
  <c r="J99" i="36" s="1"/>
  <c r="H302" i="23"/>
  <c r="G302"/>
  <c r="F302"/>
  <c r="E302"/>
  <c r="D302"/>
  <c r="C302"/>
  <c r="M301"/>
  <c r="L301"/>
  <c r="K301"/>
  <c r="J301"/>
  <c r="I301"/>
  <c r="J98" i="36" s="1"/>
  <c r="H301" i="23"/>
  <c r="G301"/>
  <c r="F301"/>
  <c r="E301"/>
  <c r="D301"/>
  <c r="C301"/>
  <c r="M300"/>
  <c r="L300"/>
  <c r="K300"/>
  <c r="J300"/>
  <c r="I300"/>
  <c r="J97" i="36" s="1"/>
  <c r="H300" i="23"/>
  <c r="G300"/>
  <c r="F300"/>
  <c r="E300"/>
  <c r="D300"/>
  <c r="C300"/>
  <c r="M299"/>
  <c r="L299"/>
  <c r="K299"/>
  <c r="J299"/>
  <c r="I299"/>
  <c r="J96" i="36" s="1"/>
  <c r="H299" i="23"/>
  <c r="G299"/>
  <c r="F299"/>
  <c r="E299"/>
  <c r="D299"/>
  <c r="C299"/>
  <c r="M298"/>
  <c r="L298"/>
  <c r="K298"/>
  <c r="J298"/>
  <c r="I298"/>
  <c r="J95" i="36" s="1"/>
  <c r="H298" i="23"/>
  <c r="G298"/>
  <c r="F298"/>
  <c r="E298"/>
  <c r="D298"/>
  <c r="C298"/>
  <c r="M297"/>
  <c r="L297"/>
  <c r="K297"/>
  <c r="J297"/>
  <c r="I297"/>
  <c r="J94" i="36" s="1"/>
  <c r="H297" i="23"/>
  <c r="G297"/>
  <c r="F297"/>
  <c r="E297"/>
  <c r="D297"/>
  <c r="C297"/>
  <c r="M296"/>
  <c r="L296"/>
  <c r="K296"/>
  <c r="J296"/>
  <c r="I296"/>
  <c r="J93" i="36" s="1"/>
  <c r="H296" i="23"/>
  <c r="G296"/>
  <c r="F296"/>
  <c r="E296"/>
  <c r="D296"/>
  <c r="C296"/>
  <c r="M295"/>
  <c r="L295"/>
  <c r="K295"/>
  <c r="J295"/>
  <c r="I295"/>
  <c r="J92" i="36" s="1"/>
  <c r="H295" i="23"/>
  <c r="G295"/>
  <c r="F295"/>
  <c r="E295"/>
  <c r="D295"/>
  <c r="C295"/>
  <c r="M294"/>
  <c r="L294"/>
  <c r="K294"/>
  <c r="J294"/>
  <c r="I294"/>
  <c r="J91" i="36" s="1"/>
  <c r="H294" i="23"/>
  <c r="G294"/>
  <c r="F294"/>
  <c r="E294"/>
  <c r="D294"/>
  <c r="C294"/>
  <c r="M293"/>
  <c r="L293"/>
  <c r="K293"/>
  <c r="J293"/>
  <c r="I293"/>
  <c r="J90" i="36" s="1"/>
  <c r="H293" i="23"/>
  <c r="G293"/>
  <c r="F293"/>
  <c r="E293"/>
  <c r="D293"/>
  <c r="C293"/>
  <c r="M292"/>
  <c r="L292"/>
  <c r="K292"/>
  <c r="J292"/>
  <c r="I292"/>
  <c r="J89" i="36" s="1"/>
  <c r="H292" i="23"/>
  <c r="G292"/>
  <c r="F292"/>
  <c r="E292"/>
  <c r="D292"/>
  <c r="C292"/>
  <c r="M291"/>
  <c r="L291"/>
  <c r="K291"/>
  <c r="J291"/>
  <c r="I291"/>
  <c r="J88" i="36" s="1"/>
  <c r="H291" i="23"/>
  <c r="G291"/>
  <c r="F291"/>
  <c r="E291"/>
  <c r="D291"/>
  <c r="C291"/>
  <c r="M290"/>
  <c r="L290"/>
  <c r="K290"/>
  <c r="J290"/>
  <c r="I290"/>
  <c r="J87" i="36" s="1"/>
  <c r="H290" i="23"/>
  <c r="G290"/>
  <c r="F290"/>
  <c r="E290"/>
  <c r="D290"/>
  <c r="C290"/>
  <c r="M289"/>
  <c r="L289"/>
  <c r="K289"/>
  <c r="J289"/>
  <c r="I289"/>
  <c r="J86" i="36" s="1"/>
  <c r="H289" i="23"/>
  <c r="G289"/>
  <c r="F289"/>
  <c r="E289"/>
  <c r="D289"/>
  <c r="C289"/>
  <c r="M288"/>
  <c r="L288"/>
  <c r="K288"/>
  <c r="J288"/>
  <c r="I288"/>
  <c r="J85" i="36" s="1"/>
  <c r="H288" i="23"/>
  <c r="G288"/>
  <c r="F288"/>
  <c r="E288"/>
  <c r="D288"/>
  <c r="C288"/>
  <c r="M287"/>
  <c r="L287"/>
  <c r="K287"/>
  <c r="J287"/>
  <c r="I287"/>
  <c r="J84" i="36" s="1"/>
  <c r="H287" i="23"/>
  <c r="G287"/>
  <c r="F287"/>
  <c r="E287"/>
  <c r="D287"/>
  <c r="C287"/>
  <c r="M286"/>
  <c r="L286"/>
  <c r="K286"/>
  <c r="J286"/>
  <c r="I286"/>
  <c r="J83" i="36" s="1"/>
  <c r="H286" i="23"/>
  <c r="G286"/>
  <c r="F286"/>
  <c r="E286"/>
  <c r="D286"/>
  <c r="C286"/>
  <c r="M285"/>
  <c r="L285"/>
  <c r="K285"/>
  <c r="J285"/>
  <c r="I285"/>
  <c r="H285"/>
  <c r="G285"/>
  <c r="F285"/>
  <c r="E285"/>
  <c r="D285"/>
  <c r="C285"/>
  <c r="B285"/>
  <c r="M353"/>
  <c r="L353"/>
  <c r="K353"/>
  <c r="J353"/>
  <c r="I353"/>
  <c r="H353"/>
  <c r="G353"/>
  <c r="F353"/>
  <c r="E353"/>
  <c r="D353"/>
  <c r="C353"/>
  <c r="M352"/>
  <c r="L352"/>
  <c r="K352"/>
  <c r="J352"/>
  <c r="I352"/>
  <c r="H352"/>
  <c r="G352"/>
  <c r="F352"/>
  <c r="E352"/>
  <c r="D352"/>
  <c r="C352"/>
  <c r="M351"/>
  <c r="L351"/>
  <c r="K351"/>
  <c r="J351"/>
  <c r="I351"/>
  <c r="H351"/>
  <c r="G351"/>
  <c r="F351"/>
  <c r="E351"/>
  <c r="D351"/>
  <c r="C351"/>
  <c r="M350"/>
  <c r="L350"/>
  <c r="K350"/>
  <c r="J350"/>
  <c r="I350"/>
  <c r="H350"/>
  <c r="G350"/>
  <c r="F350"/>
  <c r="E350"/>
  <c r="D350"/>
  <c r="C350"/>
  <c r="M349"/>
  <c r="L349"/>
  <c r="K349"/>
  <c r="J349"/>
  <c r="I349"/>
  <c r="H349"/>
  <c r="G349"/>
  <c r="F349"/>
  <c r="E349"/>
  <c r="D349"/>
  <c r="C349"/>
  <c r="M348"/>
  <c r="L348"/>
  <c r="K348"/>
  <c r="J348"/>
  <c r="I348"/>
  <c r="H348"/>
  <c r="G348"/>
  <c r="F348"/>
  <c r="E348"/>
  <c r="D348"/>
  <c r="C348"/>
  <c r="M347"/>
  <c r="L347"/>
  <c r="K347"/>
  <c r="J347"/>
  <c r="I347"/>
  <c r="H347"/>
  <c r="G347"/>
  <c r="F347"/>
  <c r="E347"/>
  <c r="D347"/>
  <c r="C347"/>
  <c r="M346"/>
  <c r="L346"/>
  <c r="K346"/>
  <c r="J346"/>
  <c r="I346"/>
  <c r="H346"/>
  <c r="G346"/>
  <c r="F346"/>
  <c r="E346"/>
  <c r="D346"/>
  <c r="C346"/>
  <c r="M345"/>
  <c r="L345"/>
  <c r="K345"/>
  <c r="J345"/>
  <c r="I345"/>
  <c r="H345"/>
  <c r="G345"/>
  <c r="F345"/>
  <c r="E345"/>
  <c r="D345"/>
  <c r="C345"/>
  <c r="M344"/>
  <c r="L344"/>
  <c r="K344"/>
  <c r="J344"/>
  <c r="I344"/>
  <c r="H344"/>
  <c r="G344"/>
  <c r="F344"/>
  <c r="E344"/>
  <c r="D344"/>
  <c r="C344"/>
  <c r="M343"/>
  <c r="L343"/>
  <c r="K343"/>
  <c r="J343"/>
  <c r="I343"/>
  <c r="H343"/>
  <c r="G343"/>
  <c r="F343"/>
  <c r="E343"/>
  <c r="D343"/>
  <c r="C343"/>
  <c r="M342"/>
  <c r="L342"/>
  <c r="K342"/>
  <c r="J342"/>
  <c r="I342"/>
  <c r="H342"/>
  <c r="G342"/>
  <c r="F342"/>
  <c r="E342"/>
  <c r="D342"/>
  <c r="C342"/>
  <c r="M341"/>
  <c r="L341"/>
  <c r="K341"/>
  <c r="J341"/>
  <c r="I341"/>
  <c r="H341"/>
  <c r="G341"/>
  <c r="F341"/>
  <c r="E341"/>
  <c r="D341"/>
  <c r="C341"/>
  <c r="M340"/>
  <c r="L340"/>
  <c r="K340"/>
  <c r="J340"/>
  <c r="I340"/>
  <c r="H340"/>
  <c r="G340"/>
  <c r="F340"/>
  <c r="E340"/>
  <c r="D340"/>
  <c r="C340"/>
  <c r="M339"/>
  <c r="L339"/>
  <c r="K339"/>
  <c r="J339"/>
  <c r="I339"/>
  <c r="H339"/>
  <c r="G339"/>
  <c r="F339"/>
  <c r="E339"/>
  <c r="D339"/>
  <c r="C339"/>
  <c r="M338"/>
  <c r="L338"/>
  <c r="K338"/>
  <c r="J338"/>
  <c r="I338"/>
  <c r="H338"/>
  <c r="G338"/>
  <c r="F338"/>
  <c r="E338"/>
  <c r="D338"/>
  <c r="C338"/>
  <c r="M337"/>
  <c r="L337"/>
  <c r="K337"/>
  <c r="J337"/>
  <c r="I337"/>
  <c r="H337"/>
  <c r="G337"/>
  <c r="F337"/>
  <c r="E337"/>
  <c r="D337"/>
  <c r="C337"/>
  <c r="M336"/>
  <c r="L336"/>
  <c r="K336"/>
  <c r="J336"/>
  <c r="I336"/>
  <c r="H336"/>
  <c r="G336"/>
  <c r="F336"/>
  <c r="E336"/>
  <c r="D336"/>
  <c r="C336"/>
  <c r="M335"/>
  <c r="L335"/>
  <c r="K335"/>
  <c r="J335"/>
  <c r="I335"/>
  <c r="H335"/>
  <c r="G335"/>
  <c r="F335"/>
  <c r="E335"/>
  <c r="D335"/>
  <c r="C335"/>
  <c r="M334"/>
  <c r="L334"/>
  <c r="K334"/>
  <c r="J334"/>
  <c r="I334"/>
  <c r="H334"/>
  <c r="G334"/>
  <c r="F334"/>
  <c r="E334"/>
  <c r="D334"/>
  <c r="C334"/>
  <c r="M333"/>
  <c r="L333"/>
  <c r="K333"/>
  <c r="J333"/>
  <c r="I333"/>
  <c r="H333"/>
  <c r="G333"/>
  <c r="F333"/>
  <c r="E333"/>
  <c r="D333"/>
  <c r="C333"/>
  <c r="M332"/>
  <c r="L332"/>
  <c r="K332"/>
  <c r="J332"/>
  <c r="I332"/>
  <c r="H332"/>
  <c r="G332"/>
  <c r="F332"/>
  <c r="E332"/>
  <c r="D332"/>
  <c r="C332"/>
  <c r="M331"/>
  <c r="L331"/>
  <c r="K331"/>
  <c r="J331"/>
  <c r="I331"/>
  <c r="H331"/>
  <c r="G331"/>
  <c r="F331"/>
  <c r="E331"/>
  <c r="D331"/>
  <c r="C331"/>
  <c r="M330"/>
  <c r="L330"/>
  <c r="K330"/>
  <c r="J330"/>
  <c r="I330"/>
  <c r="H330"/>
  <c r="G330"/>
  <c r="F330"/>
  <c r="E330"/>
  <c r="D330"/>
  <c r="C330"/>
  <c r="M329"/>
  <c r="L329"/>
  <c r="K329"/>
  <c r="J329"/>
  <c r="I329"/>
  <c r="H329"/>
  <c r="G329"/>
  <c r="F329"/>
  <c r="E329"/>
  <c r="D329"/>
  <c r="C329"/>
  <c r="M328"/>
  <c r="L328"/>
  <c r="K328"/>
  <c r="J328"/>
  <c r="I328"/>
  <c r="H328"/>
  <c r="G328"/>
  <c r="F328"/>
  <c r="E328"/>
  <c r="D328"/>
  <c r="C328"/>
  <c r="M327"/>
  <c r="L327"/>
  <c r="K327"/>
  <c r="J327"/>
  <c r="I327"/>
  <c r="H327"/>
  <c r="G327"/>
  <c r="F327"/>
  <c r="E327"/>
  <c r="D327"/>
  <c r="C327"/>
  <c r="M326"/>
  <c r="L326"/>
  <c r="K326"/>
  <c r="J326"/>
  <c r="I326"/>
  <c r="H326"/>
  <c r="G326"/>
  <c r="F326"/>
  <c r="E326"/>
  <c r="D326"/>
  <c r="C326"/>
  <c r="M325"/>
  <c r="L325"/>
  <c r="K325"/>
  <c r="J325"/>
  <c r="I325"/>
  <c r="H325"/>
  <c r="G325"/>
  <c r="F325"/>
  <c r="E325"/>
  <c r="D325"/>
  <c r="C325"/>
  <c r="K100" i="36"/>
  <c r="K99"/>
  <c r="K98"/>
  <c r="K97"/>
  <c r="K96"/>
  <c r="K95"/>
  <c r="K94"/>
  <c r="H199" i="27"/>
  <c r="H200" s="1"/>
  <c r="H195"/>
  <c r="H196" s="1"/>
  <c r="H191"/>
  <c r="H192" s="1"/>
  <c r="H187"/>
  <c r="H188" s="1"/>
  <c r="H175"/>
  <c r="H176" s="1"/>
  <c r="M273" i="23"/>
  <c r="L273"/>
  <c r="K273"/>
  <c r="J273"/>
  <c r="I273"/>
  <c r="H273"/>
  <c r="G273"/>
  <c r="F273"/>
  <c r="E273"/>
  <c r="D273"/>
  <c r="C273"/>
  <c r="M272"/>
  <c r="L272"/>
  <c r="K272"/>
  <c r="J272"/>
  <c r="I272"/>
  <c r="H272"/>
  <c r="G272"/>
  <c r="F272"/>
  <c r="E272"/>
  <c r="D272"/>
  <c r="C272"/>
  <c r="M271"/>
  <c r="L271"/>
  <c r="K271"/>
  <c r="J271"/>
  <c r="I271"/>
  <c r="H271"/>
  <c r="G271"/>
  <c r="F271"/>
  <c r="E271"/>
  <c r="D271"/>
  <c r="C271"/>
  <c r="M270"/>
  <c r="L270"/>
  <c r="K270"/>
  <c r="J270"/>
  <c r="I270"/>
  <c r="H270"/>
  <c r="G270"/>
  <c r="F270"/>
  <c r="E270"/>
  <c r="D270"/>
  <c r="C270"/>
  <c r="M269"/>
  <c r="L269"/>
  <c r="K269"/>
  <c r="J269"/>
  <c r="I269"/>
  <c r="H269"/>
  <c r="G269"/>
  <c r="F269"/>
  <c r="E269"/>
  <c r="D269"/>
  <c r="C269"/>
  <c r="M268"/>
  <c r="L268"/>
  <c r="K268"/>
  <c r="J268"/>
  <c r="I268"/>
  <c r="H268"/>
  <c r="G268"/>
  <c r="F268"/>
  <c r="E268"/>
  <c r="D268"/>
  <c r="C268"/>
  <c r="M267"/>
  <c r="L267"/>
  <c r="K267"/>
  <c r="J267"/>
  <c r="I267"/>
  <c r="H267"/>
  <c r="G267"/>
  <c r="F267"/>
  <c r="E267"/>
  <c r="D267"/>
  <c r="C267"/>
  <c r="M266"/>
  <c r="L266"/>
  <c r="K266"/>
  <c r="J266"/>
  <c r="I266"/>
  <c r="H266"/>
  <c r="G266"/>
  <c r="F266"/>
  <c r="E266"/>
  <c r="D266"/>
  <c r="C266"/>
  <c r="M265"/>
  <c r="L265"/>
  <c r="K265"/>
  <c r="J265"/>
  <c r="I265"/>
  <c r="H265"/>
  <c r="G265"/>
  <c r="F265"/>
  <c r="E265"/>
  <c r="D265"/>
  <c r="C265"/>
  <c r="M264"/>
  <c r="L264"/>
  <c r="K264"/>
  <c r="J264"/>
  <c r="I264"/>
  <c r="H264"/>
  <c r="G264"/>
  <c r="F264"/>
  <c r="E264"/>
  <c r="D264"/>
  <c r="C264"/>
  <c r="M263"/>
  <c r="L263"/>
  <c r="K263"/>
  <c r="J263"/>
  <c r="I263"/>
  <c r="H263"/>
  <c r="G263"/>
  <c r="F263"/>
  <c r="E263"/>
  <c r="D263"/>
  <c r="C263"/>
  <c r="M262"/>
  <c r="L262"/>
  <c r="K262"/>
  <c r="J262"/>
  <c r="I262"/>
  <c r="H262"/>
  <c r="G262"/>
  <c r="F262"/>
  <c r="E262"/>
  <c r="D262"/>
  <c r="C262"/>
  <c r="M261"/>
  <c r="L261"/>
  <c r="K261"/>
  <c r="J261"/>
  <c r="I261"/>
  <c r="H261"/>
  <c r="G261"/>
  <c r="F261"/>
  <c r="E261"/>
  <c r="D261"/>
  <c r="C261"/>
  <c r="M260"/>
  <c r="L260"/>
  <c r="K260"/>
  <c r="J260"/>
  <c r="I260"/>
  <c r="H260"/>
  <c r="G260"/>
  <c r="F260"/>
  <c r="E260"/>
  <c r="D260"/>
  <c r="C260"/>
  <c r="M259"/>
  <c r="L259"/>
  <c r="K259"/>
  <c r="J259"/>
  <c r="I259"/>
  <c r="H259"/>
  <c r="G259"/>
  <c r="F259"/>
  <c r="E259"/>
  <c r="D259"/>
  <c r="C259"/>
  <c r="M258"/>
  <c r="L258"/>
  <c r="K258"/>
  <c r="J258"/>
  <c r="I258"/>
  <c r="H258"/>
  <c r="G258"/>
  <c r="F258"/>
  <c r="E258"/>
  <c r="D258"/>
  <c r="C258"/>
  <c r="M257"/>
  <c r="L257"/>
  <c r="K257"/>
  <c r="J257"/>
  <c r="I257"/>
  <c r="H257"/>
  <c r="G257"/>
  <c r="F257"/>
  <c r="E257"/>
  <c r="D257"/>
  <c r="C257"/>
  <c r="M256"/>
  <c r="L256"/>
  <c r="K256"/>
  <c r="J256"/>
  <c r="I256"/>
  <c r="H256"/>
  <c r="G256"/>
  <c r="F256"/>
  <c r="E256"/>
  <c r="D256"/>
  <c r="C256"/>
  <c r="M255"/>
  <c r="L255"/>
  <c r="K255"/>
  <c r="J255"/>
  <c r="I255"/>
  <c r="H255"/>
  <c r="G255"/>
  <c r="F255"/>
  <c r="E255"/>
  <c r="D255"/>
  <c r="C255"/>
  <c r="M254"/>
  <c r="L254"/>
  <c r="K254"/>
  <c r="J254"/>
  <c r="I254"/>
  <c r="H254"/>
  <c r="G254"/>
  <c r="F254"/>
  <c r="E254"/>
  <c r="D254"/>
  <c r="C254"/>
  <c r="M253"/>
  <c r="L253"/>
  <c r="K253"/>
  <c r="J253"/>
  <c r="I253"/>
  <c r="H253"/>
  <c r="G253"/>
  <c r="F253"/>
  <c r="E253"/>
  <c r="D253"/>
  <c r="C253"/>
  <c r="M252"/>
  <c r="L252"/>
  <c r="K252"/>
  <c r="J252"/>
  <c r="H252"/>
  <c r="G252"/>
  <c r="F252"/>
  <c r="E252"/>
  <c r="D252"/>
  <c r="C252"/>
  <c r="M251"/>
  <c r="L251"/>
  <c r="K251"/>
  <c r="J251"/>
  <c r="H251"/>
  <c r="G251"/>
  <c r="F251"/>
  <c r="E251"/>
  <c r="D251"/>
  <c r="C251"/>
  <c r="M250"/>
  <c r="L250"/>
  <c r="K250"/>
  <c r="J250"/>
  <c r="I250"/>
  <c r="H250"/>
  <c r="G250"/>
  <c r="F250"/>
  <c r="E250"/>
  <c r="D250"/>
  <c r="C250"/>
  <c r="M249"/>
  <c r="L249"/>
  <c r="K249"/>
  <c r="J249"/>
  <c r="H249"/>
  <c r="G249"/>
  <c r="F249"/>
  <c r="E249"/>
  <c r="D249"/>
  <c r="C249"/>
  <c r="M248"/>
  <c r="L248"/>
  <c r="K248"/>
  <c r="J248"/>
  <c r="I248"/>
  <c r="H248"/>
  <c r="G248"/>
  <c r="F248"/>
  <c r="E248"/>
  <c r="D248"/>
  <c r="C248"/>
  <c r="M247"/>
  <c r="L247"/>
  <c r="K247"/>
  <c r="J247"/>
  <c r="I247"/>
  <c r="H247"/>
  <c r="G247"/>
  <c r="F247"/>
  <c r="E247"/>
  <c r="D247"/>
  <c r="C247"/>
  <c r="M246"/>
  <c r="L246"/>
  <c r="K246"/>
  <c r="J246"/>
  <c r="H246"/>
  <c r="G246"/>
  <c r="F246"/>
  <c r="E246"/>
  <c r="D246"/>
  <c r="C246"/>
  <c r="M245"/>
  <c r="L245"/>
  <c r="K245"/>
  <c r="J245"/>
  <c r="H245"/>
  <c r="G245"/>
  <c r="F245"/>
  <c r="E245"/>
  <c r="D245"/>
  <c r="C245"/>
  <c r="J184" l="1"/>
  <c r="G185"/>
  <c r="G225" s="1"/>
  <c r="D186"/>
  <c r="L186"/>
  <c r="I187"/>
  <c r="F188"/>
  <c r="F228" s="1"/>
  <c r="C189"/>
  <c r="C229" s="1"/>
  <c r="K189"/>
  <c r="K229" s="1"/>
  <c r="I191"/>
  <c r="I231" s="1"/>
  <c r="F184"/>
  <c r="F224" s="1"/>
  <c r="C185"/>
  <c r="C225" s="1"/>
  <c r="K185"/>
  <c r="H186"/>
  <c r="H226" s="1"/>
  <c r="E187"/>
  <c r="E227" s="1"/>
  <c r="M187"/>
  <c r="M227" s="1"/>
  <c r="J188"/>
  <c r="G189"/>
  <c r="G229" s="1"/>
  <c r="D190"/>
  <c r="D230" s="1"/>
  <c r="H190"/>
  <c r="L190"/>
  <c r="E191"/>
  <c r="E231" s="1"/>
  <c r="M191"/>
  <c r="M231" s="1"/>
  <c r="F192"/>
  <c r="J192"/>
  <c r="C193"/>
  <c r="G193"/>
  <c r="G233" s="1"/>
  <c r="K193"/>
  <c r="D184"/>
  <c r="D224" s="1"/>
  <c r="H184"/>
  <c r="L184"/>
  <c r="L224" s="1"/>
  <c r="E185"/>
  <c r="I185"/>
  <c r="I225" s="1"/>
  <c r="M185"/>
  <c r="M225" s="1"/>
  <c r="F186"/>
  <c r="F226" s="1"/>
  <c r="J186"/>
  <c r="J226" s="1"/>
  <c r="C187"/>
  <c r="C227" s="1"/>
  <c r="G187"/>
  <c r="G227" s="1"/>
  <c r="K187"/>
  <c r="K227" s="1"/>
  <c r="D188"/>
  <c r="D228" s="1"/>
  <c r="H188"/>
  <c r="H228" s="1"/>
  <c r="L188"/>
  <c r="L228" s="1"/>
  <c r="E189"/>
  <c r="E229" s="1"/>
  <c r="I189"/>
  <c r="M189"/>
  <c r="M229" s="1"/>
  <c r="F190"/>
  <c r="F230" s="1"/>
  <c r="J190"/>
  <c r="J230" s="1"/>
  <c r="C191"/>
  <c r="G191"/>
  <c r="G231" s="1"/>
  <c r="K191"/>
  <c r="K231" s="1"/>
  <c r="D192"/>
  <c r="D232" s="1"/>
  <c r="H192"/>
  <c r="H232" s="1"/>
  <c r="L192"/>
  <c r="L232" s="1"/>
  <c r="E193"/>
  <c r="E233" s="1"/>
  <c r="I193"/>
  <c r="I233" s="1"/>
  <c r="M193"/>
  <c r="M233" s="1"/>
  <c r="C184"/>
  <c r="C224" s="1"/>
  <c r="E184"/>
  <c r="E224" s="1"/>
  <c r="G184"/>
  <c r="G224" s="1"/>
  <c r="I184"/>
  <c r="I224" s="1"/>
  <c r="K184"/>
  <c r="K224" s="1"/>
  <c r="M184"/>
  <c r="M224" s="1"/>
  <c r="D185"/>
  <c r="D225" s="1"/>
  <c r="F185"/>
  <c r="F225" s="1"/>
  <c r="H185"/>
  <c r="H225" s="1"/>
  <c r="J185"/>
  <c r="L185"/>
  <c r="L225" s="1"/>
  <c r="C186"/>
  <c r="C226" s="1"/>
  <c r="E186"/>
  <c r="E226" s="1"/>
  <c r="G186"/>
  <c r="G226" s="1"/>
  <c r="I186"/>
  <c r="I226" s="1"/>
  <c r="K186"/>
  <c r="K226" s="1"/>
  <c r="M186"/>
  <c r="M226" s="1"/>
  <c r="D187"/>
  <c r="D227" s="1"/>
  <c r="F187"/>
  <c r="F227" s="1"/>
  <c r="H187"/>
  <c r="H227" s="1"/>
  <c r="J187"/>
  <c r="J227" s="1"/>
  <c r="L187"/>
  <c r="L227" s="1"/>
  <c r="C188"/>
  <c r="C228" s="1"/>
  <c r="E188"/>
  <c r="E228" s="1"/>
  <c r="G188"/>
  <c r="G228" s="1"/>
  <c r="I188"/>
  <c r="I228" s="1"/>
  <c r="K188"/>
  <c r="K228" s="1"/>
  <c r="M188"/>
  <c r="M228" s="1"/>
  <c r="D189"/>
  <c r="D229" s="1"/>
  <c r="F189"/>
  <c r="F229" s="1"/>
  <c r="H189"/>
  <c r="H229" s="1"/>
  <c r="J189"/>
  <c r="J229" s="1"/>
  <c r="L189"/>
  <c r="L229" s="1"/>
  <c r="C190"/>
  <c r="C230" s="1"/>
  <c r="E190"/>
  <c r="E230" s="1"/>
  <c r="G190"/>
  <c r="G230" s="1"/>
  <c r="I190"/>
  <c r="I230" s="1"/>
  <c r="K190"/>
  <c r="M190"/>
  <c r="M230" s="1"/>
  <c r="D191"/>
  <c r="D231" s="1"/>
  <c r="F191"/>
  <c r="F231" s="1"/>
  <c r="H191"/>
  <c r="H231" s="1"/>
  <c r="J191"/>
  <c r="J231" s="1"/>
  <c r="L191"/>
  <c r="L231" s="1"/>
  <c r="C192"/>
  <c r="C232" s="1"/>
  <c r="E192"/>
  <c r="E232" s="1"/>
  <c r="G192"/>
  <c r="G232" s="1"/>
  <c r="I192"/>
  <c r="I232" s="1"/>
  <c r="K192"/>
  <c r="K232" s="1"/>
  <c r="M192"/>
  <c r="M232" s="1"/>
  <c r="D193"/>
  <c r="D233" s="1"/>
  <c r="F193"/>
  <c r="F233" s="1"/>
  <c r="H193"/>
  <c r="H233" s="1"/>
  <c r="J193"/>
  <c r="J233" s="1"/>
  <c r="L193"/>
  <c r="L233" s="1"/>
  <c r="N1405"/>
  <c r="N1406"/>
  <c r="N967"/>
  <c r="N968"/>
  <c r="N969"/>
  <c r="N970"/>
  <c r="N971"/>
  <c r="N972"/>
  <c r="N973"/>
  <c r="N974"/>
  <c r="N975"/>
  <c r="N976"/>
  <c r="N977"/>
  <c r="N978"/>
  <c r="N979"/>
  <c r="N980"/>
  <c r="N1017"/>
  <c r="N1018"/>
  <c r="N1019"/>
  <c r="N1020"/>
  <c r="N1021"/>
  <c r="N1022"/>
  <c r="N981"/>
  <c r="N982"/>
  <c r="N983"/>
  <c r="N984"/>
  <c r="N985"/>
  <c r="N986"/>
  <c r="N987"/>
  <c r="N1023"/>
  <c r="N988"/>
  <c r="N989"/>
  <c r="N990"/>
  <c r="N991"/>
  <c r="N992"/>
  <c r="N1024"/>
  <c r="N1025"/>
  <c r="N1026"/>
  <c r="N1005"/>
  <c r="N1006"/>
  <c r="N1027"/>
  <c r="N1028"/>
  <c r="N1029"/>
  <c r="N1030"/>
  <c r="N1031"/>
  <c r="N1032"/>
  <c r="N1033"/>
  <c r="N1064"/>
  <c r="N1065"/>
  <c r="N1066"/>
  <c r="N1067"/>
  <c r="N1068"/>
  <c r="N1069"/>
  <c r="N1070"/>
  <c r="N1071"/>
  <c r="N1072"/>
  <c r="N1073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605"/>
  <c r="N1606"/>
  <c r="N1007"/>
  <c r="N765"/>
  <c r="N766"/>
  <c r="N767"/>
  <c r="N805"/>
  <c r="N806"/>
  <c r="N807"/>
  <c r="N845"/>
  <c r="N846"/>
  <c r="N847"/>
  <c r="N885"/>
  <c r="N886"/>
  <c r="N887"/>
  <c r="N888"/>
  <c r="N889"/>
  <c r="N890"/>
  <c r="N925"/>
  <c r="N926"/>
  <c r="N927"/>
  <c r="N928"/>
  <c r="N929"/>
  <c r="N930"/>
  <c r="N931"/>
  <c r="N965"/>
  <c r="N966"/>
  <c r="N1431"/>
  <c r="N1432"/>
  <c r="N1433"/>
  <c r="N932"/>
  <c r="B245"/>
  <c r="H51" i="27"/>
  <c r="H52" s="1"/>
  <c r="N685" i="23"/>
  <c r="B246"/>
  <c r="H63" i="27"/>
  <c r="H64" s="1"/>
  <c r="H59"/>
  <c r="H60" s="1"/>
  <c r="H55"/>
  <c r="H56" s="1"/>
  <c r="N686" i="23"/>
  <c r="B247"/>
  <c r="N687"/>
  <c r="B248"/>
  <c r="N248" s="1"/>
  <c r="N848"/>
  <c r="B249"/>
  <c r="H67" i="27"/>
  <c r="H68" s="1"/>
  <c r="N849" i="23"/>
  <c r="B250"/>
  <c r="N250" s="1"/>
  <c r="N850"/>
  <c r="B251"/>
  <c r="H75" i="27"/>
  <c r="H76" s="1"/>
  <c r="N851" i="23"/>
  <c r="B252"/>
  <c r="H79" i="27"/>
  <c r="H80" s="1"/>
  <c r="N852" i="23"/>
  <c r="B253"/>
  <c r="N253" s="1"/>
  <c r="N933"/>
  <c r="B254"/>
  <c r="N254" s="1"/>
  <c r="N934"/>
  <c r="B255"/>
  <c r="N255" s="1"/>
  <c r="N935"/>
  <c r="B256"/>
  <c r="N256" s="1"/>
  <c r="N936"/>
  <c r="B257"/>
  <c r="N257" s="1"/>
  <c r="N937"/>
  <c r="B258"/>
  <c r="N258" s="1"/>
  <c r="N938"/>
  <c r="B259"/>
  <c r="N259" s="1"/>
  <c r="N939"/>
  <c r="B260"/>
  <c r="N260" s="1"/>
  <c r="N940"/>
  <c r="B261"/>
  <c r="N261" s="1"/>
  <c r="N941"/>
  <c r="B262"/>
  <c r="N262" s="1"/>
  <c r="N942"/>
  <c r="B263"/>
  <c r="N263" s="1"/>
  <c r="N943"/>
  <c r="N944"/>
  <c r="B264"/>
  <c r="N264" s="1"/>
  <c r="H224"/>
  <c r="J224"/>
  <c r="N945"/>
  <c r="B265"/>
  <c r="N265" s="1"/>
  <c r="J225"/>
  <c r="N946"/>
  <c r="B266"/>
  <c r="N266" s="1"/>
  <c r="N947"/>
  <c r="B267"/>
  <c r="N267" s="1"/>
  <c r="N948"/>
  <c r="B268"/>
  <c r="N268" s="1"/>
  <c r="N949"/>
  <c r="B269"/>
  <c r="N269" s="1"/>
  <c r="N950"/>
  <c r="B270"/>
  <c r="N270" s="1"/>
  <c r="N951"/>
  <c r="B271"/>
  <c r="N271" s="1"/>
  <c r="N952"/>
  <c r="B272"/>
  <c r="N272" s="1"/>
  <c r="N953"/>
  <c r="B273"/>
  <c r="N273" s="1"/>
  <c r="H71" i="27"/>
  <c r="H72" s="1"/>
  <c r="N1010" i="23"/>
  <c r="H83" i="27"/>
  <c r="H84" s="1"/>
  <c r="N1013" i="23"/>
  <c r="H87" i="27"/>
  <c r="H88" s="1"/>
  <c r="N1014" i="23"/>
  <c r="H91" i="27"/>
  <c r="H92" s="1"/>
  <c r="N1015" i="23"/>
  <c r="H95" i="27"/>
  <c r="H96" s="1"/>
  <c r="N1016" i="23"/>
  <c r="G155" i="27"/>
  <c r="K83" i="36"/>
  <c r="G159" i="27"/>
  <c r="K84" i="36"/>
  <c r="G163" i="27"/>
  <c r="K85" i="36"/>
  <c r="G167" i="27"/>
  <c r="K86" i="36"/>
  <c r="G171" i="27"/>
  <c r="K87" i="36"/>
  <c r="G175" i="27"/>
  <c r="K88" i="36"/>
  <c r="G179" i="27"/>
  <c r="K89" i="36"/>
  <c r="G183" i="27"/>
  <c r="K90" i="36"/>
  <c r="G187" i="27"/>
  <c r="K91" i="36"/>
  <c r="G191" i="27"/>
  <c r="K92" i="36"/>
  <c r="G195" i="27"/>
  <c r="K93" i="36"/>
  <c r="G199" i="27"/>
  <c r="K110" i="39"/>
  <c r="K98" i="38"/>
  <c r="K145" i="36"/>
  <c r="K111" i="39"/>
  <c r="K99" i="38"/>
  <c r="K146" i="36"/>
  <c r="K112" i="39"/>
  <c r="K100" i="38"/>
  <c r="K147" i="36"/>
  <c r="K101" i="38"/>
  <c r="K148" i="36"/>
  <c r="K113" i="39"/>
  <c r="K102" i="38"/>
  <c r="K149" i="36"/>
  <c r="K114" i="39"/>
  <c r="K115"/>
  <c r="K103" i="38"/>
  <c r="K150" i="36"/>
  <c r="K116" i="39"/>
  <c r="K104" i="38"/>
  <c r="K151" i="36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J98" i="39"/>
  <c r="J154" s="1"/>
  <c r="J99"/>
  <c r="J155" s="1"/>
  <c r="J134" i="36"/>
  <c r="J87" i="38"/>
  <c r="J137" s="1"/>
  <c r="J100" i="39"/>
  <c r="J156" s="1"/>
  <c r="J135" i="36"/>
  <c r="J88" i="38"/>
  <c r="J138" s="1"/>
  <c r="J136" i="36"/>
  <c r="J89" i="38"/>
  <c r="J139" s="1"/>
  <c r="J101" i="39"/>
  <c r="J157" s="1"/>
  <c r="J102"/>
  <c r="J158" s="1"/>
  <c r="J90" i="38"/>
  <c r="J140" s="1"/>
  <c r="J137" i="36"/>
  <c r="J138"/>
  <c r="J103" i="39"/>
  <c r="J159" s="1"/>
  <c r="J91" i="38"/>
  <c r="J141" s="1"/>
  <c r="J104" i="39"/>
  <c r="J160" s="1"/>
  <c r="J139" i="36"/>
  <c r="J92" i="38"/>
  <c r="J142" s="1"/>
  <c r="J140" i="36"/>
  <c r="J105" i="39"/>
  <c r="J161" s="1"/>
  <c r="J93" i="38"/>
  <c r="J143" s="1"/>
  <c r="J94"/>
  <c r="J144" s="1"/>
  <c r="J106" i="39"/>
  <c r="J162" s="1"/>
  <c r="J141" i="36"/>
  <c r="J95" i="38"/>
  <c r="J145" s="1"/>
  <c r="J107" i="39"/>
  <c r="J163" s="1"/>
  <c r="J142" i="36"/>
  <c r="J143"/>
  <c r="J108" i="39"/>
  <c r="J164" s="1"/>
  <c r="J96" i="38"/>
  <c r="J146" s="1"/>
  <c r="J97"/>
  <c r="J147" s="1"/>
  <c r="J109" i="39"/>
  <c r="J165" s="1"/>
  <c r="J144" i="36"/>
  <c r="J110" i="39"/>
  <c r="J166" s="1"/>
  <c r="J145" i="36"/>
  <c r="J98" i="38"/>
  <c r="J148" s="1"/>
  <c r="J99"/>
  <c r="J149" s="1"/>
  <c r="J111" i="39"/>
  <c r="J167" s="1"/>
  <c r="J146" i="36"/>
  <c r="J112" i="39"/>
  <c r="J168" s="1"/>
  <c r="J147" i="36"/>
  <c r="J100" i="38"/>
  <c r="J150" s="1"/>
  <c r="J101"/>
  <c r="J151" s="1"/>
  <c r="J148" i="36"/>
  <c r="J113" i="39"/>
  <c r="J169" s="1"/>
  <c r="J114"/>
  <c r="J170" s="1"/>
  <c r="J102" i="38"/>
  <c r="J152" s="1"/>
  <c r="J149" i="36"/>
  <c r="J115" i="39"/>
  <c r="J171" s="1"/>
  <c r="J103" i="38"/>
  <c r="J153" s="1"/>
  <c r="J150" i="36"/>
  <c r="J151"/>
  <c r="J104" i="38"/>
  <c r="J154" s="1"/>
  <c r="J116" i="39"/>
  <c r="J172" s="1"/>
  <c r="N993" i="23"/>
  <c r="N1008"/>
  <c r="N1009"/>
  <c r="N1011"/>
  <c r="N1012"/>
  <c r="C165"/>
  <c r="E165"/>
  <c r="G165"/>
  <c r="K165"/>
  <c r="M165"/>
  <c r="C166"/>
  <c r="E166"/>
  <c r="G166"/>
  <c r="K166"/>
  <c r="M166"/>
  <c r="C167"/>
  <c r="E167"/>
  <c r="G167"/>
  <c r="K167"/>
  <c r="M167"/>
  <c r="C168"/>
  <c r="E168"/>
  <c r="G168"/>
  <c r="K168"/>
  <c r="M168"/>
  <c r="C169"/>
  <c r="E169"/>
  <c r="G169"/>
  <c r="K169"/>
  <c r="M169"/>
  <c r="C170"/>
  <c r="E170"/>
  <c r="G170"/>
  <c r="K170"/>
  <c r="M170"/>
  <c r="C171"/>
  <c r="E171"/>
  <c r="G171"/>
  <c r="K171"/>
  <c r="M171"/>
  <c r="C172"/>
  <c r="E172"/>
  <c r="G172"/>
  <c r="K172"/>
  <c r="M172"/>
  <c r="C173"/>
  <c r="E173"/>
  <c r="G173"/>
  <c r="K173"/>
  <c r="M173"/>
  <c r="C174"/>
  <c r="E174"/>
  <c r="G174"/>
  <c r="K174"/>
  <c r="M174"/>
  <c r="C175"/>
  <c r="E175"/>
  <c r="G175"/>
  <c r="K175"/>
  <c r="M175"/>
  <c r="C176"/>
  <c r="E176"/>
  <c r="G176"/>
  <c r="K176"/>
  <c r="M176"/>
  <c r="C177"/>
  <c r="E177"/>
  <c r="G177"/>
  <c r="K177"/>
  <c r="M177"/>
  <c r="C178"/>
  <c r="E178"/>
  <c r="G178"/>
  <c r="K178"/>
  <c r="M178"/>
  <c r="C179"/>
  <c r="E179"/>
  <c r="G179"/>
  <c r="K179"/>
  <c r="M179"/>
  <c r="C180"/>
  <c r="E180"/>
  <c r="G180"/>
  <c r="K180"/>
  <c r="M180"/>
  <c r="C181"/>
  <c r="E181"/>
  <c r="G181"/>
  <c r="K181"/>
  <c r="M181"/>
  <c r="C182"/>
  <c r="E182"/>
  <c r="G182"/>
  <c r="K182"/>
  <c r="M182"/>
  <c r="C183"/>
  <c r="E183"/>
  <c r="G183"/>
  <c r="K183"/>
  <c r="M183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85"/>
  <c r="N1286"/>
  <c r="N1287"/>
  <c r="N1288"/>
  <c r="N1289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I245"/>
  <c r="H155" i="27"/>
  <c r="H156" s="1"/>
  <c r="I246" i="23"/>
  <c r="H167" i="27"/>
  <c r="H168" s="1"/>
  <c r="H163"/>
  <c r="H164" s="1"/>
  <c r="H159"/>
  <c r="H160" s="1"/>
  <c r="H84" i="36"/>
  <c r="I167" i="23"/>
  <c r="H85" i="36"/>
  <c r="I168" i="23"/>
  <c r="I249"/>
  <c r="H171" i="27"/>
  <c r="H172" s="1"/>
  <c r="H87" i="36"/>
  <c r="I170" i="23"/>
  <c r="I251"/>
  <c r="H179" i="27"/>
  <c r="H180" s="1"/>
  <c r="I252" i="23"/>
  <c r="H183" i="27"/>
  <c r="H184" s="1"/>
  <c r="H90" i="36"/>
  <c r="I173" i="23"/>
  <c r="H91" i="36"/>
  <c r="I174" i="23"/>
  <c r="H92" i="36"/>
  <c r="I175" i="23"/>
  <c r="H93" i="36"/>
  <c r="I176" i="23"/>
  <c r="H94" i="36"/>
  <c r="I177" i="23"/>
  <c r="H95" i="36"/>
  <c r="I178" i="23"/>
  <c r="H96" i="36"/>
  <c r="I179" i="23"/>
  <c r="H97" i="36"/>
  <c r="I180" i="23"/>
  <c r="H98" i="36"/>
  <c r="I181" i="23"/>
  <c r="H99" i="36"/>
  <c r="I182" i="23"/>
  <c r="H100" i="36"/>
  <c r="I183" i="23"/>
  <c r="I227"/>
  <c r="K230"/>
  <c r="C233"/>
  <c r="G51" i="27"/>
  <c r="N1045" i="23"/>
  <c r="K8" i="36"/>
  <c r="G55" i="27"/>
  <c r="N1046" i="23"/>
  <c r="K9" i="36"/>
  <c r="G59" i="27"/>
  <c r="N1047" i="23"/>
  <c r="K10" i="36"/>
  <c r="G63" i="27"/>
  <c r="N1048" i="23"/>
  <c r="K11" i="36"/>
  <c r="G67" i="27"/>
  <c r="N1049" i="23"/>
  <c r="K12" i="36"/>
  <c r="G71" i="27"/>
  <c r="N1050" i="23"/>
  <c r="K13" i="36"/>
  <c r="G75" i="27"/>
  <c r="N1051" i="23"/>
  <c r="K14" i="36"/>
  <c r="G79" i="27"/>
  <c r="N1052" i="23"/>
  <c r="K15" i="36"/>
  <c r="G83" i="27"/>
  <c r="N1053" i="23"/>
  <c r="K16" i="36"/>
  <c r="G87" i="27"/>
  <c r="N1054" i="23"/>
  <c r="K17" i="36"/>
  <c r="G91" i="27"/>
  <c r="N1055" i="23"/>
  <c r="K18" i="36"/>
  <c r="G95" i="27"/>
  <c r="N1056" i="23"/>
  <c r="K19" i="36"/>
  <c r="N1057" i="23"/>
  <c r="K20" i="36"/>
  <c r="N1058" i="23"/>
  <c r="K21" i="36"/>
  <c r="N1059" i="23"/>
  <c r="K22" i="36"/>
  <c r="N1060" i="23"/>
  <c r="K23" i="36"/>
  <c r="N1061" i="23"/>
  <c r="K24" i="36"/>
  <c r="N1062" i="23"/>
  <c r="K25" i="36"/>
  <c r="N1063" i="23"/>
  <c r="N1165"/>
  <c r="N1166"/>
  <c r="N1167"/>
  <c r="B327"/>
  <c r="N1168"/>
  <c r="B328"/>
  <c r="N1169"/>
  <c r="B329"/>
  <c r="N1170"/>
  <c r="B330"/>
  <c r="N1171"/>
  <c r="B331"/>
  <c r="N1172"/>
  <c r="B332"/>
  <c r="N1173"/>
  <c r="B333"/>
  <c r="N1174"/>
  <c r="B334"/>
  <c r="N1175"/>
  <c r="B335"/>
  <c r="B336"/>
  <c r="N1176"/>
  <c r="N1177"/>
  <c r="B337"/>
  <c r="N1178"/>
  <c r="B338"/>
  <c r="B339"/>
  <c r="N1179"/>
  <c r="N1180"/>
  <c r="B340"/>
  <c r="B341"/>
  <c r="N1181"/>
  <c r="B342"/>
  <c r="N1182"/>
  <c r="B343"/>
  <c r="N1183"/>
  <c r="N1184"/>
  <c r="B344"/>
  <c r="N1185"/>
  <c r="B345"/>
  <c r="N1186"/>
  <c r="B346"/>
  <c r="N1187"/>
  <c r="B347"/>
  <c r="N1188"/>
  <c r="B348"/>
  <c r="N1189"/>
  <c r="B349"/>
  <c r="N1190"/>
  <c r="B350"/>
  <c r="N1191"/>
  <c r="B351"/>
  <c r="N1192"/>
  <c r="B352"/>
  <c r="N1193"/>
  <c r="B353"/>
  <c r="N1205"/>
  <c r="N1206"/>
  <c r="N1207"/>
  <c r="B287"/>
  <c r="N1208"/>
  <c r="B288"/>
  <c r="N1209"/>
  <c r="B289"/>
  <c r="N1210"/>
  <c r="B290"/>
  <c r="N1211"/>
  <c r="B291"/>
  <c r="N1212"/>
  <c r="B292"/>
  <c r="N1213"/>
  <c r="B293"/>
  <c r="N1214"/>
  <c r="B294"/>
  <c r="N1215"/>
  <c r="B295"/>
  <c r="N1216"/>
  <c r="B296"/>
  <c r="N1217"/>
  <c r="B297"/>
  <c r="N1218"/>
  <c r="B298"/>
  <c r="N1219"/>
  <c r="B299"/>
  <c r="N1220"/>
  <c r="B300"/>
  <c r="N1221"/>
  <c r="B301"/>
  <c r="N1222"/>
  <c r="B302"/>
  <c r="N1223"/>
  <c r="B303"/>
  <c r="N1224"/>
  <c r="B304"/>
  <c r="N304" s="1"/>
  <c r="N1225"/>
  <c r="B305"/>
  <c r="N305" s="1"/>
  <c r="N1226"/>
  <c r="B306"/>
  <c r="N306" s="1"/>
  <c r="N1227"/>
  <c r="B307"/>
  <c r="N307" s="1"/>
  <c r="N1228"/>
  <c r="B308"/>
  <c r="N308" s="1"/>
  <c r="N1229"/>
  <c r="B309"/>
  <c r="N309" s="1"/>
  <c r="N1230"/>
  <c r="B310"/>
  <c r="N310" s="1"/>
  <c r="N1231"/>
  <c r="B311"/>
  <c r="N311" s="1"/>
  <c r="N1232"/>
  <c r="B312"/>
  <c r="N312" s="1"/>
  <c r="N1233"/>
  <c r="B313"/>
  <c r="N313" s="1"/>
  <c r="N1529"/>
  <c r="I13" i="27"/>
  <c r="I12" s="1"/>
  <c r="N1530" i="23"/>
  <c r="I17" i="27"/>
  <c r="I16" s="1"/>
  <c r="N1531" i="23"/>
  <c r="I21" i="27"/>
  <c r="I20" s="1"/>
  <c r="N1532" i="23"/>
  <c r="I25" i="27"/>
  <c r="I24" s="1"/>
  <c r="N1533" i="23"/>
  <c r="I29" i="27"/>
  <c r="I28" s="1"/>
  <c r="N1534" i="23"/>
  <c r="I33" i="27"/>
  <c r="I32" s="1"/>
  <c r="N1535" i="23"/>
  <c r="I37" i="27"/>
  <c r="I36" s="1"/>
  <c r="N1536" i="23"/>
  <c r="I41" i="27"/>
  <c r="I40" s="1"/>
  <c r="N1537" i="23"/>
  <c r="I45" i="27"/>
  <c r="I44" s="1"/>
  <c r="N1538" i="23"/>
  <c r="I49" i="27"/>
  <c r="I48" s="1"/>
  <c r="N1539" i="23"/>
  <c r="I53" i="27"/>
  <c r="N1540" i="23"/>
  <c r="I57" i="27"/>
  <c r="N1541" i="23"/>
  <c r="I61" i="27"/>
  <c r="N1542" i="23"/>
  <c r="I65" i="27"/>
  <c r="N1543" i="23"/>
  <c r="I69" i="27"/>
  <c r="N1544" i="23"/>
  <c r="I73" i="27"/>
  <c r="N1545" i="23"/>
  <c r="I77" i="27"/>
  <c r="N1546" i="23"/>
  <c r="I81" i="27"/>
  <c r="N1547" i="23"/>
  <c r="I85" i="27"/>
  <c r="N1548" i="23"/>
  <c r="I89" i="27"/>
  <c r="N1549" i="23"/>
  <c r="I93" i="27"/>
  <c r="N1550" i="23"/>
  <c r="I97" i="27"/>
  <c r="D165" i="23"/>
  <c r="F165"/>
  <c r="H165"/>
  <c r="J165"/>
  <c r="L165"/>
  <c r="D166"/>
  <c r="F166"/>
  <c r="H166"/>
  <c r="J166"/>
  <c r="L166"/>
  <c r="D167"/>
  <c r="F167"/>
  <c r="H167"/>
  <c r="J167"/>
  <c r="L167"/>
  <c r="D168"/>
  <c r="F168"/>
  <c r="H168"/>
  <c r="J168"/>
  <c r="L168"/>
  <c r="D169"/>
  <c r="F169"/>
  <c r="H169"/>
  <c r="J169"/>
  <c r="L169"/>
  <c r="D170"/>
  <c r="F170"/>
  <c r="H170"/>
  <c r="J170"/>
  <c r="L170"/>
  <c r="D171"/>
  <c r="F171"/>
  <c r="H171"/>
  <c r="J171"/>
  <c r="L171"/>
  <c r="D172"/>
  <c r="F172"/>
  <c r="H172"/>
  <c r="J172"/>
  <c r="L172"/>
  <c r="D173"/>
  <c r="F173"/>
  <c r="H173"/>
  <c r="J173"/>
  <c r="L173"/>
  <c r="D174"/>
  <c r="F174"/>
  <c r="H174"/>
  <c r="J174"/>
  <c r="L174"/>
  <c r="D175"/>
  <c r="F175"/>
  <c r="H175"/>
  <c r="J175"/>
  <c r="L175"/>
  <c r="D176"/>
  <c r="F176"/>
  <c r="H176"/>
  <c r="J176"/>
  <c r="L176"/>
  <c r="D177"/>
  <c r="F177"/>
  <c r="H177"/>
  <c r="J177"/>
  <c r="L177"/>
  <c r="D178"/>
  <c r="F178"/>
  <c r="H178"/>
  <c r="J178"/>
  <c r="L178"/>
  <c r="D179"/>
  <c r="F179"/>
  <c r="H179"/>
  <c r="J179"/>
  <c r="L179"/>
  <c r="D180"/>
  <c r="F180"/>
  <c r="H180"/>
  <c r="J180"/>
  <c r="L180"/>
  <c r="D181"/>
  <c r="F181"/>
  <c r="H181"/>
  <c r="J181"/>
  <c r="L181"/>
  <c r="D182"/>
  <c r="F182"/>
  <c r="H182"/>
  <c r="J182"/>
  <c r="L182"/>
  <c r="D183"/>
  <c r="F183"/>
  <c r="H183"/>
  <c r="J183"/>
  <c r="L183"/>
  <c r="N1525"/>
  <c r="N1526"/>
  <c r="N1527"/>
  <c r="N1528"/>
  <c r="E2103"/>
  <c r="E2050"/>
  <c r="E2024"/>
  <c r="E2020"/>
  <c r="E2029"/>
  <c r="E2120"/>
  <c r="E2098"/>
  <c r="E2068"/>
  <c r="E2077"/>
  <c r="E2046"/>
  <c r="E2007"/>
  <c r="E2072"/>
  <c r="E2107"/>
  <c r="E2090"/>
  <c r="E2081"/>
  <c r="E2037"/>
  <c r="E2112"/>
  <c r="E2064"/>
  <c r="E2059"/>
  <c r="E2094"/>
  <c r="E2042"/>
  <c r="E2033"/>
  <c r="E2016"/>
  <c r="E2116"/>
  <c r="E2011"/>
  <c r="E2085"/>
  <c r="E2055"/>
  <c r="N249" l="1"/>
  <c r="N252"/>
  <c r="B167"/>
  <c r="N167" s="1"/>
  <c r="N247"/>
  <c r="B166"/>
  <c r="N246"/>
  <c r="N251"/>
  <c r="K225"/>
  <c r="L230"/>
  <c r="K233"/>
  <c r="J232"/>
  <c r="H230"/>
  <c r="L226"/>
  <c r="F232"/>
  <c r="J228"/>
  <c r="D226"/>
  <c r="C231"/>
  <c r="E225"/>
  <c r="I229"/>
  <c r="L223"/>
  <c r="H223"/>
  <c r="D223"/>
  <c r="J222"/>
  <c r="F222"/>
  <c r="L221"/>
  <c r="H221"/>
  <c r="D221"/>
  <c r="J220"/>
  <c r="F220"/>
  <c r="L219"/>
  <c r="H219"/>
  <c r="D219"/>
  <c r="J218"/>
  <c r="F218"/>
  <c r="L217"/>
  <c r="H217"/>
  <c r="D217"/>
  <c r="J216"/>
  <c r="F216"/>
  <c r="L215"/>
  <c r="H215"/>
  <c r="D215"/>
  <c r="J214"/>
  <c r="F214"/>
  <c r="L213"/>
  <c r="H213"/>
  <c r="D213"/>
  <c r="J212"/>
  <c r="F212"/>
  <c r="L211"/>
  <c r="H211"/>
  <c r="D211"/>
  <c r="J210"/>
  <c r="F210"/>
  <c r="L209"/>
  <c r="H209"/>
  <c r="D209"/>
  <c r="J208"/>
  <c r="F208"/>
  <c r="L207"/>
  <c r="H207"/>
  <c r="D207"/>
  <c r="J206"/>
  <c r="F206"/>
  <c r="L205"/>
  <c r="H205"/>
  <c r="D205"/>
  <c r="J25" i="36"/>
  <c r="N303" i="23"/>
  <c r="J24" i="36"/>
  <c r="N302" i="23"/>
  <c r="J23" i="36"/>
  <c r="N301" i="23"/>
  <c r="J22" i="36"/>
  <c r="N300" i="23"/>
  <c r="J21" i="36"/>
  <c r="N299" i="23"/>
  <c r="J20" i="36"/>
  <c r="N298" i="23"/>
  <c r="J19" i="36"/>
  <c r="N297" i="23"/>
  <c r="J18" i="36"/>
  <c r="N296" i="23"/>
  <c r="J17" i="36"/>
  <c r="N295" i="23"/>
  <c r="J16" i="36"/>
  <c r="N294" i="23"/>
  <c r="N293"/>
  <c r="J15" i="36"/>
  <c r="J14"/>
  <c r="N292" i="23"/>
  <c r="J13" i="36"/>
  <c r="N291" i="23"/>
  <c r="J12" i="36"/>
  <c r="N290" i="23"/>
  <c r="N289"/>
  <c r="J11" i="36"/>
  <c r="J10"/>
  <c r="N288" i="23"/>
  <c r="J9" i="36"/>
  <c r="N287" i="23"/>
  <c r="J8" i="36"/>
  <c r="N286" i="23"/>
  <c r="N285"/>
  <c r="N353"/>
  <c r="N352"/>
  <c r="N350"/>
  <c r="N349"/>
  <c r="N348"/>
  <c r="N347"/>
  <c r="N346"/>
  <c r="N345"/>
  <c r="N344"/>
  <c r="I22" i="36"/>
  <c r="N340" i="23"/>
  <c r="I20" i="36"/>
  <c r="N338" i="23"/>
  <c r="I19" i="36"/>
  <c r="N337" i="23"/>
  <c r="I17" i="36"/>
  <c r="N335" i="23"/>
  <c r="I16" i="36"/>
  <c r="N334" i="23"/>
  <c r="I15" i="36"/>
  <c r="N333" i="23"/>
  <c r="I14" i="36"/>
  <c r="N332" i="23"/>
  <c r="I13" i="36"/>
  <c r="N331" i="23"/>
  <c r="I12" i="36"/>
  <c r="N330" i="23"/>
  <c r="I11" i="36"/>
  <c r="N329" i="23"/>
  <c r="I10" i="36"/>
  <c r="N328" i="23"/>
  <c r="I9" i="36"/>
  <c r="N327" i="23"/>
  <c r="I8" i="36"/>
  <c r="N326" i="23"/>
  <c r="N325"/>
  <c r="K22" i="39"/>
  <c r="K78" s="1"/>
  <c r="K66" i="36"/>
  <c r="K19" i="38"/>
  <c r="G92" i="27"/>
  <c r="I91"/>
  <c r="I92" s="1"/>
  <c r="K17" i="38"/>
  <c r="K20" i="39"/>
  <c r="K76" s="1"/>
  <c r="K64" i="36"/>
  <c r="G84" i="27"/>
  <c r="I83"/>
  <c r="I84" s="1"/>
  <c r="K15" i="38"/>
  <c r="K18" i="39"/>
  <c r="K74" s="1"/>
  <c r="K62" i="36"/>
  <c r="G76" i="27"/>
  <c r="I75"/>
  <c r="I76" s="1"/>
  <c r="K13" i="38"/>
  <c r="K16" i="39"/>
  <c r="K72" s="1"/>
  <c r="K60" i="36"/>
  <c r="G68" i="27"/>
  <c r="I67"/>
  <c r="I68" s="1"/>
  <c r="K11" i="38"/>
  <c r="K14" i="39"/>
  <c r="K70" s="1"/>
  <c r="K58" i="36"/>
  <c r="G60" i="27"/>
  <c r="I59"/>
  <c r="I60" s="1"/>
  <c r="K9" i="38"/>
  <c r="K12" i="39"/>
  <c r="K68" s="1"/>
  <c r="K56" i="36"/>
  <c r="G52" i="27"/>
  <c r="I51"/>
  <c r="I52" s="1"/>
  <c r="I223" i="23"/>
  <c r="I222"/>
  <c r="I221"/>
  <c r="I220"/>
  <c r="I219"/>
  <c r="I218"/>
  <c r="I217"/>
  <c r="I216"/>
  <c r="I215"/>
  <c r="I214"/>
  <c r="I213"/>
  <c r="I210"/>
  <c r="I208"/>
  <c r="I207"/>
  <c r="K223"/>
  <c r="E223"/>
  <c r="M222"/>
  <c r="G222"/>
  <c r="C222"/>
  <c r="K221"/>
  <c r="E221"/>
  <c r="M220"/>
  <c r="G220"/>
  <c r="C220"/>
  <c r="K219"/>
  <c r="E219"/>
  <c r="M218"/>
  <c r="G218"/>
  <c r="C218"/>
  <c r="K217"/>
  <c r="E217"/>
  <c r="M216"/>
  <c r="G216"/>
  <c r="C216"/>
  <c r="K215"/>
  <c r="E215"/>
  <c r="M214"/>
  <c r="G214"/>
  <c r="C214"/>
  <c r="K213"/>
  <c r="E213"/>
  <c r="M212"/>
  <c r="G212"/>
  <c r="C212"/>
  <c r="K211"/>
  <c r="E211"/>
  <c r="M210"/>
  <c r="G210"/>
  <c r="C210"/>
  <c r="K209"/>
  <c r="E209"/>
  <c r="M208"/>
  <c r="G208"/>
  <c r="C208"/>
  <c r="K207"/>
  <c r="E207"/>
  <c r="M206"/>
  <c r="G206"/>
  <c r="C206"/>
  <c r="K205"/>
  <c r="E205"/>
  <c r="K154" i="38"/>
  <c r="K153"/>
  <c r="K150"/>
  <c r="K149"/>
  <c r="K148"/>
  <c r="G200" i="27"/>
  <c r="I199"/>
  <c r="I200" s="1"/>
  <c r="G196"/>
  <c r="I195"/>
  <c r="I196" s="1"/>
  <c r="G192"/>
  <c r="I191"/>
  <c r="I192" s="1"/>
  <c r="G188"/>
  <c r="I187"/>
  <c r="I188" s="1"/>
  <c r="G184"/>
  <c r="I183"/>
  <c r="I184" s="1"/>
  <c r="G180"/>
  <c r="I179"/>
  <c r="I180" s="1"/>
  <c r="G176"/>
  <c r="I175"/>
  <c r="I176" s="1"/>
  <c r="G172"/>
  <c r="I171"/>
  <c r="I172" s="1"/>
  <c r="G168"/>
  <c r="I167"/>
  <c r="I168" s="1"/>
  <c r="G164"/>
  <c r="I163"/>
  <c r="I164" s="1"/>
  <c r="G160"/>
  <c r="I159"/>
  <c r="I160" s="1"/>
  <c r="G156"/>
  <c r="I155"/>
  <c r="I156" s="1"/>
  <c r="B193" i="23"/>
  <c r="B192"/>
  <c r="B191"/>
  <c r="B190"/>
  <c r="B189"/>
  <c r="B188"/>
  <c r="B187"/>
  <c r="B186"/>
  <c r="B185"/>
  <c r="B184"/>
  <c r="N184" s="1"/>
  <c r="H14" i="36"/>
  <c r="B172" i="23"/>
  <c r="H11" i="36"/>
  <c r="B169" i="23"/>
  <c r="H10" i="36"/>
  <c r="B168" i="23"/>
  <c r="N168" s="1"/>
  <c r="H9" i="36"/>
  <c r="N245" i="23"/>
  <c r="B165"/>
  <c r="J223"/>
  <c r="F223"/>
  <c r="L222"/>
  <c r="H222"/>
  <c r="D222"/>
  <c r="J221"/>
  <c r="F221"/>
  <c r="L220"/>
  <c r="H220"/>
  <c r="D220"/>
  <c r="J219"/>
  <c r="F219"/>
  <c r="L218"/>
  <c r="H218"/>
  <c r="D218"/>
  <c r="J217"/>
  <c r="F217"/>
  <c r="L216"/>
  <c r="H216"/>
  <c r="D216"/>
  <c r="J215"/>
  <c r="F215"/>
  <c r="L214"/>
  <c r="H214"/>
  <c r="D214"/>
  <c r="J213"/>
  <c r="F213"/>
  <c r="L212"/>
  <c r="H212"/>
  <c r="D212"/>
  <c r="J211"/>
  <c r="F211"/>
  <c r="L210"/>
  <c r="H210"/>
  <c r="D210"/>
  <c r="J209"/>
  <c r="F209"/>
  <c r="L208"/>
  <c r="H208"/>
  <c r="D208"/>
  <c r="J207"/>
  <c r="F207"/>
  <c r="L206"/>
  <c r="H206"/>
  <c r="D206"/>
  <c r="J205"/>
  <c r="F205"/>
  <c r="I25" i="36"/>
  <c r="N343" i="23"/>
  <c r="I24" i="36"/>
  <c r="N342" i="23"/>
  <c r="I23" i="36"/>
  <c r="N341" i="23"/>
  <c r="I21" i="36"/>
  <c r="N339" i="23"/>
  <c r="I18" i="36"/>
  <c r="N336" i="23"/>
  <c r="K26" i="38"/>
  <c r="K29" i="39"/>
  <c r="K85" s="1"/>
  <c r="K73" i="36"/>
  <c r="K28" i="39"/>
  <c r="K84" s="1"/>
  <c r="K25" i="38"/>
  <c r="K72" i="36"/>
  <c r="K27" i="39"/>
  <c r="K83" s="1"/>
  <c r="K71" i="36"/>
  <c r="K24" i="38"/>
  <c r="K26" i="39"/>
  <c r="K82" s="1"/>
  <c r="K70" i="36"/>
  <c r="K23" i="38"/>
  <c r="K22"/>
  <c r="K25" i="39"/>
  <c r="K81" s="1"/>
  <c r="K69" i="36"/>
  <c r="K21" i="38"/>
  <c r="K24" i="39"/>
  <c r="K80" s="1"/>
  <c r="K68" i="36"/>
  <c r="K20" i="38"/>
  <c r="K23" i="39"/>
  <c r="K79" s="1"/>
  <c r="K67" i="36"/>
  <c r="G96" i="27"/>
  <c r="I95"/>
  <c r="I96" s="1"/>
  <c r="K18" i="38"/>
  <c r="K21" i="39"/>
  <c r="K77" s="1"/>
  <c r="K65" i="36"/>
  <c r="G88" i="27"/>
  <c r="I87"/>
  <c r="I88" s="1"/>
  <c r="K16" i="38"/>
  <c r="K19" i="39"/>
  <c r="K75" s="1"/>
  <c r="K63" i="36"/>
  <c r="G80" i="27"/>
  <c r="I79"/>
  <c r="I80" s="1"/>
  <c r="K14" i="38"/>
  <c r="K17" i="39"/>
  <c r="K73" s="1"/>
  <c r="K61" i="36"/>
  <c r="G72" i="27"/>
  <c r="I71"/>
  <c r="I72" s="1"/>
  <c r="K12" i="38"/>
  <c r="K15" i="39"/>
  <c r="K71" s="1"/>
  <c r="K59" i="36"/>
  <c r="G64" i="27"/>
  <c r="I63"/>
  <c r="I64" s="1"/>
  <c r="K10" i="38"/>
  <c r="K13" i="39"/>
  <c r="K69" s="1"/>
  <c r="K57" i="36"/>
  <c r="G56" i="27"/>
  <c r="I55"/>
  <c r="I56" s="1"/>
  <c r="K11" i="39"/>
  <c r="H151" i="36"/>
  <c r="H104" i="38"/>
  <c r="H116" i="39"/>
  <c r="L100" i="36"/>
  <c r="H103" i="38"/>
  <c r="H115" i="39"/>
  <c r="H150" i="36"/>
  <c r="L99"/>
  <c r="H149"/>
  <c r="H114" i="39"/>
  <c r="H102" i="38"/>
  <c r="L98" i="36"/>
  <c r="H113" i="39"/>
  <c r="H148" i="36"/>
  <c r="H101" i="38"/>
  <c r="L97" i="36"/>
  <c r="H147"/>
  <c r="H112" i="39"/>
  <c r="H100" i="38"/>
  <c r="L96" i="36"/>
  <c r="H99" i="38"/>
  <c r="H111" i="39"/>
  <c r="H146" i="36"/>
  <c r="L95"/>
  <c r="H145"/>
  <c r="H98" i="38"/>
  <c r="H110" i="39"/>
  <c r="L94" i="36"/>
  <c r="H97" i="38"/>
  <c r="H109" i="39"/>
  <c r="H144" i="36"/>
  <c r="L93"/>
  <c r="H96" i="38"/>
  <c r="H108" i="39"/>
  <c r="H143" i="36"/>
  <c r="L92"/>
  <c r="H107" i="39"/>
  <c r="H142" i="36"/>
  <c r="H95" i="38"/>
  <c r="L91" i="36"/>
  <c r="H94" i="38"/>
  <c r="H106" i="39"/>
  <c r="H141" i="36"/>
  <c r="L90"/>
  <c r="H89"/>
  <c r="I172" i="23"/>
  <c r="H88" i="36"/>
  <c r="I171" i="23"/>
  <c r="H103" i="39"/>
  <c r="H138" i="36"/>
  <c r="H91" i="38"/>
  <c r="L87" i="36"/>
  <c r="H86"/>
  <c r="I169" i="23"/>
  <c r="H89" i="38"/>
  <c r="H101" i="39"/>
  <c r="H136" i="36"/>
  <c r="L85"/>
  <c r="H88" i="38"/>
  <c r="H100" i="39"/>
  <c r="H135" i="36"/>
  <c r="L84"/>
  <c r="H83"/>
  <c r="I166" i="23"/>
  <c r="I165"/>
  <c r="M223"/>
  <c r="G223"/>
  <c r="C223"/>
  <c r="K222"/>
  <c r="E222"/>
  <c r="M221"/>
  <c r="G221"/>
  <c r="C221"/>
  <c r="K220"/>
  <c r="E220"/>
  <c r="M219"/>
  <c r="G219"/>
  <c r="C219"/>
  <c r="K218"/>
  <c r="E218"/>
  <c r="M217"/>
  <c r="G217"/>
  <c r="C217"/>
  <c r="K216"/>
  <c r="E216"/>
  <c r="M215"/>
  <c r="G215"/>
  <c r="C215"/>
  <c r="K214"/>
  <c r="E214"/>
  <c r="M213"/>
  <c r="G213"/>
  <c r="C213"/>
  <c r="K212"/>
  <c r="E212"/>
  <c r="M211"/>
  <c r="G211"/>
  <c r="C211"/>
  <c r="K210"/>
  <c r="E210"/>
  <c r="M209"/>
  <c r="G209"/>
  <c r="C209"/>
  <c r="K208"/>
  <c r="E208"/>
  <c r="M207"/>
  <c r="G207"/>
  <c r="C207"/>
  <c r="K206"/>
  <c r="E206"/>
  <c r="M205"/>
  <c r="G205"/>
  <c r="C205"/>
  <c r="I104" i="38"/>
  <c r="I154" s="1"/>
  <c r="I116" i="39"/>
  <c r="I172" s="1"/>
  <c r="I151" i="36"/>
  <c r="I103" i="38"/>
  <c r="I153" s="1"/>
  <c r="I115" i="39"/>
  <c r="I171" s="1"/>
  <c r="I150" i="36"/>
  <c r="I102" i="38"/>
  <c r="I152" s="1"/>
  <c r="I114" i="39"/>
  <c r="I170" s="1"/>
  <c r="I149" i="36"/>
  <c r="I113" i="39"/>
  <c r="I169" s="1"/>
  <c r="I148" i="36"/>
  <c r="I101" i="38"/>
  <c r="I151" s="1"/>
  <c r="I100"/>
  <c r="I150" s="1"/>
  <c r="I112" i="39"/>
  <c r="I168" s="1"/>
  <c r="I147" i="36"/>
  <c r="I99" i="38"/>
  <c r="I149" s="1"/>
  <c r="I111" i="39"/>
  <c r="I167" s="1"/>
  <c r="I146" i="36"/>
  <c r="I145"/>
  <c r="I98" i="38"/>
  <c r="I148" s="1"/>
  <c r="I110" i="39"/>
  <c r="I166" s="1"/>
  <c r="I97" i="38"/>
  <c r="I147" s="1"/>
  <c r="I109" i="39"/>
  <c r="I165" s="1"/>
  <c r="I144" i="36"/>
  <c r="I143"/>
  <c r="I96" i="38"/>
  <c r="I146" s="1"/>
  <c r="I108" i="39"/>
  <c r="I164" s="1"/>
  <c r="I95" i="38"/>
  <c r="I145" s="1"/>
  <c r="I107" i="39"/>
  <c r="I163" s="1"/>
  <c r="I142" i="36"/>
  <c r="I106" i="39"/>
  <c r="I162" s="1"/>
  <c r="I141" i="36"/>
  <c r="I94" i="38"/>
  <c r="I144" s="1"/>
  <c r="I105" i="39"/>
  <c r="I161" s="1"/>
  <c r="I140" i="36"/>
  <c r="I93" i="38"/>
  <c r="I143" s="1"/>
  <c r="I139" i="36"/>
  <c r="I92" i="38"/>
  <c r="I142" s="1"/>
  <c r="I104" i="39"/>
  <c r="I160" s="1"/>
  <c r="I91" i="38"/>
  <c r="I141" s="1"/>
  <c r="I103" i="39"/>
  <c r="I159" s="1"/>
  <c r="I138" i="36"/>
  <c r="I90" i="38"/>
  <c r="I140" s="1"/>
  <c r="I102" i="39"/>
  <c r="I158" s="1"/>
  <c r="I137" i="36"/>
  <c r="I101" i="39"/>
  <c r="I157" s="1"/>
  <c r="I136" i="36"/>
  <c r="I89" i="38"/>
  <c r="I139" s="1"/>
  <c r="I88"/>
  <c r="I138" s="1"/>
  <c r="I100" i="39"/>
  <c r="I156" s="1"/>
  <c r="I135" i="36"/>
  <c r="I99" i="39"/>
  <c r="I155" s="1"/>
  <c r="I134" i="36"/>
  <c r="I87" i="38"/>
  <c r="I137" s="1"/>
  <c r="I98" i="39"/>
  <c r="I154" s="1"/>
  <c r="K172"/>
  <c r="K171"/>
  <c r="K170"/>
  <c r="K152" i="38"/>
  <c r="K169" i="39"/>
  <c r="K151" i="38"/>
  <c r="K168" i="39"/>
  <c r="K167"/>
  <c r="K166"/>
  <c r="K97" i="38"/>
  <c r="K144" i="36"/>
  <c r="K109" i="39"/>
  <c r="K96" i="38"/>
  <c r="K143" i="36"/>
  <c r="K108" i="39"/>
  <c r="K107"/>
  <c r="K95" i="38"/>
  <c r="K142" i="36"/>
  <c r="K106" i="39"/>
  <c r="K94" i="38"/>
  <c r="K141" i="36"/>
  <c r="K105" i="39"/>
  <c r="K93" i="38"/>
  <c r="K140" i="36"/>
  <c r="K92" i="38"/>
  <c r="K139" i="36"/>
  <c r="K104" i="39"/>
  <c r="K103"/>
  <c r="K91" i="38"/>
  <c r="K138" i="36"/>
  <c r="K102" i="39"/>
  <c r="K90" i="38"/>
  <c r="K137" i="36"/>
  <c r="K89" i="38"/>
  <c r="K136" i="36"/>
  <c r="K101" i="39"/>
  <c r="K88" i="38"/>
  <c r="K135" i="36"/>
  <c r="K100" i="39"/>
  <c r="K99"/>
  <c r="K87" i="38"/>
  <c r="K134" i="36"/>
  <c r="K98" i="39"/>
  <c r="H25" i="36"/>
  <c r="B183" i="23"/>
  <c r="N183" s="1"/>
  <c r="H24" i="36"/>
  <c r="B182" i="23"/>
  <c r="N182" s="1"/>
  <c r="H23" i="36"/>
  <c r="B181" i="23"/>
  <c r="N181" s="1"/>
  <c r="H22" i="36"/>
  <c r="B180" i="23"/>
  <c r="N180" s="1"/>
  <c r="H21" i="36"/>
  <c r="B179" i="23"/>
  <c r="N179" s="1"/>
  <c r="H20" i="36"/>
  <c r="B178" i="23"/>
  <c r="N178" s="1"/>
  <c r="H19" i="36"/>
  <c r="B177" i="23"/>
  <c r="N177" s="1"/>
  <c r="H18" i="36"/>
  <c r="B176" i="23"/>
  <c r="N176" s="1"/>
  <c r="H17" i="36"/>
  <c r="B175" i="23"/>
  <c r="N175" s="1"/>
  <c r="H16" i="36"/>
  <c r="B174" i="23"/>
  <c r="N174" s="1"/>
  <c r="H15" i="36"/>
  <c r="B173" i="23"/>
  <c r="N173" s="1"/>
  <c r="H13" i="36"/>
  <c r="B171" i="23"/>
  <c r="N171" s="1"/>
  <c r="H12" i="36"/>
  <c r="B170" i="23"/>
  <c r="N170" s="1"/>
  <c r="H8" i="36"/>
  <c r="N351" i="23"/>
  <c r="N166" l="1"/>
  <c r="N172"/>
  <c r="N169"/>
  <c r="B210"/>
  <c r="N210" s="1"/>
  <c r="H13" i="38"/>
  <c r="H16" i="39"/>
  <c r="H72" s="1"/>
  <c r="H60" i="36"/>
  <c r="L12"/>
  <c r="B213" i="23"/>
  <c r="N213" s="1"/>
  <c r="H16" i="38"/>
  <c r="H19" i="39"/>
  <c r="H75" s="1"/>
  <c r="H63" i="36"/>
  <c r="L15"/>
  <c r="B215" i="23"/>
  <c r="N215" s="1"/>
  <c r="H18" i="38"/>
  <c r="H21" i="39"/>
  <c r="H77" s="1"/>
  <c r="H65" i="36"/>
  <c r="L17"/>
  <c r="B217" i="23"/>
  <c r="N217" s="1"/>
  <c r="H20" i="38"/>
  <c r="H23" i="39"/>
  <c r="H79" s="1"/>
  <c r="H67" i="36"/>
  <c r="L19"/>
  <c r="B219" i="23"/>
  <c r="N219" s="1"/>
  <c r="H22" i="38"/>
  <c r="H25" i="39"/>
  <c r="H81" s="1"/>
  <c r="H69" i="36"/>
  <c r="L21"/>
  <c r="B221" i="23"/>
  <c r="N221" s="1"/>
  <c r="H71" i="36"/>
  <c r="H24" i="38"/>
  <c r="H27" i="39"/>
  <c r="H83" s="1"/>
  <c r="L23" i="36"/>
  <c r="B223" i="23"/>
  <c r="N223" s="1"/>
  <c r="H73" i="36"/>
  <c r="H26" i="38"/>
  <c r="H29" i="39"/>
  <c r="H85" s="1"/>
  <c r="L25" i="36"/>
  <c r="K154" i="39"/>
  <c r="P98"/>
  <c r="P154" s="1"/>
  <c r="K155"/>
  <c r="K156"/>
  <c r="K138" i="38"/>
  <c r="K157" i="39"/>
  <c r="K139" i="38"/>
  <c r="K158" i="39"/>
  <c r="K159"/>
  <c r="K160"/>
  <c r="K142" i="38"/>
  <c r="K161" i="39"/>
  <c r="K162"/>
  <c r="K163"/>
  <c r="K164"/>
  <c r="K146" i="38"/>
  <c r="K165" i="39"/>
  <c r="K147" i="38"/>
  <c r="I205" i="23"/>
  <c r="I206"/>
  <c r="AM9" i="36"/>
  <c r="V35" i="41"/>
  <c r="L135" i="36"/>
  <c r="H156" i="39"/>
  <c r="L100"/>
  <c r="AM10" i="36"/>
  <c r="V36" i="41"/>
  <c r="L136" i="36"/>
  <c r="H157" i="39"/>
  <c r="L101"/>
  <c r="I209" i="23"/>
  <c r="AM12" i="36"/>
  <c r="L138"/>
  <c r="V38" i="41"/>
  <c r="I211" i="23"/>
  <c r="I212"/>
  <c r="V41" i="41"/>
  <c r="AM15" i="36"/>
  <c r="L141"/>
  <c r="H162" i="39"/>
  <c r="L106"/>
  <c r="AM16" i="36"/>
  <c r="V42" i="41"/>
  <c r="L142" i="36"/>
  <c r="L143"/>
  <c r="AM17"/>
  <c r="V43" i="41"/>
  <c r="H164" i="39"/>
  <c r="L108"/>
  <c r="AM18" i="36"/>
  <c r="V44" i="41"/>
  <c r="L144" i="36"/>
  <c r="H165" i="39"/>
  <c r="L109"/>
  <c r="L145" i="36"/>
  <c r="AM19"/>
  <c r="V45" i="41"/>
  <c r="H148" i="38"/>
  <c r="L98"/>
  <c r="AM20" i="36"/>
  <c r="V46" i="41"/>
  <c r="L146" i="36"/>
  <c r="H167" i="39"/>
  <c r="L111"/>
  <c r="AM21" i="36"/>
  <c r="L147"/>
  <c r="V47" i="41"/>
  <c r="H168" i="39"/>
  <c r="L112"/>
  <c r="AM22" i="36"/>
  <c r="L148"/>
  <c r="V48" i="41"/>
  <c r="AM23" i="36"/>
  <c r="L149"/>
  <c r="V49" i="41"/>
  <c r="H170" i="39"/>
  <c r="L114"/>
  <c r="AM24" i="36"/>
  <c r="L150"/>
  <c r="V50" i="41"/>
  <c r="H171" i="39"/>
  <c r="L115"/>
  <c r="AM25" i="36"/>
  <c r="L151"/>
  <c r="V51" i="41"/>
  <c r="H154" i="38"/>
  <c r="L104"/>
  <c r="P11" i="39"/>
  <c r="P67" s="1"/>
  <c r="I19" i="38"/>
  <c r="I69" s="1"/>
  <c r="I22" i="39"/>
  <c r="I78" s="1"/>
  <c r="I66" i="36"/>
  <c r="I71"/>
  <c r="I24" i="38"/>
  <c r="I74" s="1"/>
  <c r="I27" i="39"/>
  <c r="I83" s="1"/>
  <c r="I73" i="36"/>
  <c r="I26" i="38"/>
  <c r="I76" s="1"/>
  <c r="I29" i="39"/>
  <c r="I85" s="1"/>
  <c r="B205" i="23"/>
  <c r="N165"/>
  <c r="B208"/>
  <c r="N208" s="1"/>
  <c r="H11" i="38"/>
  <c r="H14" i="39"/>
  <c r="H70" s="1"/>
  <c r="H58" i="36"/>
  <c r="L10"/>
  <c r="B212" i="23"/>
  <c r="H15" i="38"/>
  <c r="H18" i="39"/>
  <c r="H74" s="1"/>
  <c r="H62" i="36"/>
  <c r="L14"/>
  <c r="B224" i="23"/>
  <c r="N224" s="1"/>
  <c r="N185"/>
  <c r="B225"/>
  <c r="N225" s="1"/>
  <c r="N186"/>
  <c r="B226"/>
  <c r="N226" s="1"/>
  <c r="N187"/>
  <c r="B227"/>
  <c r="N227" s="1"/>
  <c r="N188"/>
  <c r="B228"/>
  <c r="N228" s="1"/>
  <c r="N189"/>
  <c r="B229"/>
  <c r="N229" s="1"/>
  <c r="N190"/>
  <c r="B230"/>
  <c r="N230" s="1"/>
  <c r="N191"/>
  <c r="B231"/>
  <c r="N231" s="1"/>
  <c r="N192"/>
  <c r="B232"/>
  <c r="N232" s="1"/>
  <c r="N193"/>
  <c r="B233"/>
  <c r="N233" s="1"/>
  <c r="I9" i="38"/>
  <c r="I59" s="1"/>
  <c r="I12" i="39"/>
  <c r="I68" s="1"/>
  <c r="I56" i="36"/>
  <c r="I14" i="39"/>
  <c r="I70" s="1"/>
  <c r="I58" i="36"/>
  <c r="I11" i="38"/>
  <c r="I61" s="1"/>
  <c r="I16" i="39"/>
  <c r="I72" s="1"/>
  <c r="I60" i="36"/>
  <c r="I13" i="38"/>
  <c r="I63" s="1"/>
  <c r="I18" i="39"/>
  <c r="I74" s="1"/>
  <c r="I62" i="36"/>
  <c r="I15" i="38"/>
  <c r="I65" s="1"/>
  <c r="I64" i="36"/>
  <c r="I17" i="38"/>
  <c r="I67" s="1"/>
  <c r="I20" i="39"/>
  <c r="I76" s="1"/>
  <c r="I20" i="38"/>
  <c r="I70" s="1"/>
  <c r="I23" i="39"/>
  <c r="I79" s="1"/>
  <c r="I67" i="36"/>
  <c r="I70"/>
  <c r="I26" i="39"/>
  <c r="I82" s="1"/>
  <c r="I23" i="38"/>
  <c r="I73" s="1"/>
  <c r="J12" i="39"/>
  <c r="J68" s="1"/>
  <c r="J56" i="36"/>
  <c r="J9" i="38"/>
  <c r="J59" s="1"/>
  <c r="J10"/>
  <c r="J60" s="1"/>
  <c r="J57" i="36"/>
  <c r="J13" i="39"/>
  <c r="J69" s="1"/>
  <c r="J11" i="38"/>
  <c r="J61" s="1"/>
  <c r="J58" i="36"/>
  <c r="J14" i="39"/>
  <c r="J70" s="1"/>
  <c r="J16"/>
  <c r="J72" s="1"/>
  <c r="J13" i="38"/>
  <c r="J63" s="1"/>
  <c r="J60" i="36"/>
  <c r="J17" i="39"/>
  <c r="J73" s="1"/>
  <c r="J14" i="38"/>
  <c r="J64" s="1"/>
  <c r="J61" i="36"/>
  <c r="J18" i="39"/>
  <c r="J74" s="1"/>
  <c r="J15" i="38"/>
  <c r="J65" s="1"/>
  <c r="J62" i="36"/>
  <c r="J17" i="38"/>
  <c r="J67" s="1"/>
  <c r="J64" i="36"/>
  <c r="J20" i="39"/>
  <c r="J76" s="1"/>
  <c r="J21"/>
  <c r="J77" s="1"/>
  <c r="J18" i="38"/>
  <c r="J68" s="1"/>
  <c r="J65" i="36"/>
  <c r="J22" i="39"/>
  <c r="J78" s="1"/>
  <c r="J19" i="38"/>
  <c r="J69" s="1"/>
  <c r="J66" i="36"/>
  <c r="J20" i="38"/>
  <c r="J70" s="1"/>
  <c r="J67" i="36"/>
  <c r="J23" i="39"/>
  <c r="J79" s="1"/>
  <c r="J68" i="36"/>
  <c r="J24" i="39"/>
  <c r="J80" s="1"/>
  <c r="J21" i="38"/>
  <c r="J71" s="1"/>
  <c r="J25" i="39"/>
  <c r="J81" s="1"/>
  <c r="J69" i="36"/>
  <c r="J22" i="38"/>
  <c r="J72" s="1"/>
  <c r="J26" i="39"/>
  <c r="J82" s="1"/>
  <c r="J23" i="38"/>
  <c r="J73" s="1"/>
  <c r="J70" i="36"/>
  <c r="J24" i="38"/>
  <c r="J74" s="1"/>
  <c r="J27" i="39"/>
  <c r="J83" s="1"/>
  <c r="J71" i="36"/>
  <c r="J28" i="39"/>
  <c r="J84" s="1"/>
  <c r="J25" i="38"/>
  <c r="J75" s="1"/>
  <c r="J72" i="36"/>
  <c r="J29" i="39"/>
  <c r="J85" s="1"/>
  <c r="J26" i="38"/>
  <c r="J76" s="1"/>
  <c r="J73" i="36"/>
  <c r="B206" i="23"/>
  <c r="H56" i="36"/>
  <c r="H9" i="38"/>
  <c r="H12" i="39"/>
  <c r="H68" s="1"/>
  <c r="L8" i="36"/>
  <c r="B211" i="23"/>
  <c r="N211" s="1"/>
  <c r="H61" i="36"/>
  <c r="H14" i="38"/>
  <c r="H17" i="39"/>
  <c r="H73" s="1"/>
  <c r="L13" i="36"/>
  <c r="B214" i="23"/>
  <c r="N214" s="1"/>
  <c r="H17" i="38"/>
  <c r="H20" i="39"/>
  <c r="H76" s="1"/>
  <c r="H64" i="36"/>
  <c r="L16"/>
  <c r="B216" i="23"/>
  <c r="N216" s="1"/>
  <c r="H66" i="36"/>
  <c r="H19" i="38"/>
  <c r="H22" i="39"/>
  <c r="H78" s="1"/>
  <c r="L18" i="36"/>
  <c r="B218" i="23"/>
  <c r="N218" s="1"/>
  <c r="H21" i="38"/>
  <c r="H24" i="39"/>
  <c r="H80" s="1"/>
  <c r="H68" i="36"/>
  <c r="L20"/>
  <c r="B220" i="23"/>
  <c r="N220" s="1"/>
  <c r="H23" i="38"/>
  <c r="H26" i="39"/>
  <c r="H82" s="1"/>
  <c r="H70" i="36"/>
  <c r="L22"/>
  <c r="B222" i="23"/>
  <c r="N222" s="1"/>
  <c r="H28" i="39"/>
  <c r="H84" s="1"/>
  <c r="H72" i="36"/>
  <c r="H25" i="38"/>
  <c r="L24" i="36"/>
  <c r="K137" i="38"/>
  <c r="K140"/>
  <c r="K141"/>
  <c r="K143"/>
  <c r="K144"/>
  <c r="K145"/>
  <c r="H98" i="39"/>
  <c r="H134" i="36"/>
  <c r="H87" i="38"/>
  <c r="H99" i="39"/>
  <c r="L83" i="36"/>
  <c r="H138" i="38"/>
  <c r="L88"/>
  <c r="H139"/>
  <c r="L89"/>
  <c r="H102" i="39"/>
  <c r="H137" i="36"/>
  <c r="H90" i="38"/>
  <c r="L86" i="36"/>
  <c r="H141" i="38"/>
  <c r="L91"/>
  <c r="H159" i="39"/>
  <c r="L103"/>
  <c r="H92" i="38"/>
  <c r="H104" i="39"/>
  <c r="H139" i="36"/>
  <c r="L88"/>
  <c r="H105" i="39"/>
  <c r="H140" i="36"/>
  <c r="H93" i="38"/>
  <c r="L89" i="36"/>
  <c r="H144" i="38"/>
  <c r="L94"/>
  <c r="H145"/>
  <c r="L95"/>
  <c r="H163" i="39"/>
  <c r="L107"/>
  <c r="H146" i="38"/>
  <c r="L96"/>
  <c r="H147"/>
  <c r="L97"/>
  <c r="H166" i="39"/>
  <c r="L110"/>
  <c r="H149" i="38"/>
  <c r="L99"/>
  <c r="H150"/>
  <c r="L100"/>
  <c r="H151"/>
  <c r="L101"/>
  <c r="H169" i="39"/>
  <c r="L113"/>
  <c r="H152" i="38"/>
  <c r="L102"/>
  <c r="H153"/>
  <c r="L103"/>
  <c r="H172" i="39"/>
  <c r="L116"/>
  <c r="F2" i="42"/>
  <c r="K67" i="39"/>
  <c r="I69" i="36"/>
  <c r="I22" i="38"/>
  <c r="I72" s="1"/>
  <c r="I25" i="39"/>
  <c r="I81" s="1"/>
  <c r="I25" i="38"/>
  <c r="I75" s="1"/>
  <c r="I28" i="39"/>
  <c r="I84" s="1"/>
  <c r="I72" i="36"/>
  <c r="H11" i="39"/>
  <c r="H67" s="1"/>
  <c r="B207" i="23"/>
  <c r="N207" s="1"/>
  <c r="H13" i="39"/>
  <c r="H69" s="1"/>
  <c r="H57" i="36"/>
  <c r="H10" i="38"/>
  <c r="L9" i="36"/>
  <c r="B209" i="23"/>
  <c r="H12" i="38"/>
  <c r="H15" i="39"/>
  <c r="H71" s="1"/>
  <c r="H59" i="36"/>
  <c r="L11"/>
  <c r="I11" i="39"/>
  <c r="I10" i="38"/>
  <c r="I60" s="1"/>
  <c r="I13" i="39"/>
  <c r="I69" s="1"/>
  <c r="I57" i="36"/>
  <c r="I15" i="39"/>
  <c r="I71" s="1"/>
  <c r="I59" i="36"/>
  <c r="I12" i="38"/>
  <c r="I62" s="1"/>
  <c r="I17" i="39"/>
  <c r="I73" s="1"/>
  <c r="I61" i="36"/>
  <c r="I14" i="38"/>
  <c r="I64" s="1"/>
  <c r="I63" i="36"/>
  <c r="I16" i="38"/>
  <c r="I66" s="1"/>
  <c r="I19" i="39"/>
  <c r="I75" s="1"/>
  <c r="I18" i="38"/>
  <c r="I68" s="1"/>
  <c r="I21" i="39"/>
  <c r="I77" s="1"/>
  <c r="I65" i="36"/>
  <c r="I21" i="38"/>
  <c r="I71" s="1"/>
  <c r="I24" i="39"/>
  <c r="I80" s="1"/>
  <c r="I68" i="36"/>
  <c r="J11" i="39"/>
  <c r="J67" s="1"/>
  <c r="J15"/>
  <c r="J71" s="1"/>
  <c r="J12" i="38"/>
  <c r="J62" s="1"/>
  <c r="J59" i="36"/>
  <c r="J19" i="39"/>
  <c r="J75" s="1"/>
  <c r="J16" i="38"/>
  <c r="J66" s="1"/>
  <c r="J63" i="36"/>
  <c r="N209" i="23" l="1"/>
  <c r="N206"/>
  <c r="N212"/>
  <c r="H64" i="38"/>
  <c r="H70"/>
  <c r="H65"/>
  <c r="H60"/>
  <c r="H72"/>
  <c r="H68"/>
  <c r="H66"/>
  <c r="H63"/>
  <c r="H62"/>
  <c r="H74"/>
  <c r="H71"/>
  <c r="H76"/>
  <c r="H75"/>
  <c r="H61"/>
  <c r="B35" i="41"/>
  <c r="L13" i="39"/>
  <c r="L69" s="1"/>
  <c r="L10" i="38"/>
  <c r="AI9" i="36"/>
  <c r="L57"/>
  <c r="H143" i="38"/>
  <c r="L93"/>
  <c r="H161" i="39"/>
  <c r="L105"/>
  <c r="H142" i="38"/>
  <c r="L92"/>
  <c r="H140"/>
  <c r="L90"/>
  <c r="H158" i="39"/>
  <c r="L102"/>
  <c r="H155"/>
  <c r="L99"/>
  <c r="L26"/>
  <c r="L82" s="1"/>
  <c r="AI22" i="36"/>
  <c r="L70"/>
  <c r="L23" i="38"/>
  <c r="B48" i="41"/>
  <c r="B46"/>
  <c r="L24" i="39"/>
  <c r="L80" s="1"/>
  <c r="L21" i="38"/>
  <c r="AI20" i="36"/>
  <c r="L68"/>
  <c r="B42" i="41"/>
  <c r="L20" i="39"/>
  <c r="L76" s="1"/>
  <c r="L17" i="38"/>
  <c r="AI16" i="36"/>
  <c r="L64"/>
  <c r="L9" i="38"/>
  <c r="B34" i="41"/>
  <c r="AI8" i="36"/>
  <c r="L12" i="39"/>
  <c r="L68" s="1"/>
  <c r="L56" i="36"/>
  <c r="L15" i="38"/>
  <c r="L62" i="36"/>
  <c r="AI14"/>
  <c r="L18" i="39"/>
  <c r="L74" s="1"/>
  <c r="B40" i="41"/>
  <c r="N205" i="23"/>
  <c r="AN26" i="38"/>
  <c r="L154"/>
  <c r="L170" i="39"/>
  <c r="L168"/>
  <c r="X47" i="41"/>
  <c r="Y47"/>
  <c r="L148" i="38"/>
  <c r="AN20"/>
  <c r="L164" i="39"/>
  <c r="L162"/>
  <c r="Y38" i="41"/>
  <c r="X38"/>
  <c r="L157" i="39"/>
  <c r="Y36" i="41"/>
  <c r="X36"/>
  <c r="L26" i="38"/>
  <c r="AI25" i="36"/>
  <c r="L73"/>
  <c r="L29" i="39"/>
  <c r="L85" s="1"/>
  <c r="B51" i="41"/>
  <c r="L22" i="38"/>
  <c r="B47" i="41"/>
  <c r="L69" i="36"/>
  <c r="AI21"/>
  <c r="L25" i="39"/>
  <c r="L81" s="1"/>
  <c r="L65" i="36"/>
  <c r="L18" i="38"/>
  <c r="AI17" i="36"/>
  <c r="B43" i="41"/>
  <c r="L21" i="39"/>
  <c r="L77" s="1"/>
  <c r="L60" i="36"/>
  <c r="L13" i="38"/>
  <c r="AI12" i="36"/>
  <c r="B38" i="41"/>
  <c r="L16" i="39"/>
  <c r="L72" s="1"/>
  <c r="H73" i="38"/>
  <c r="H59"/>
  <c r="I67" i="39"/>
  <c r="E2" i="42"/>
  <c r="L59" i="36"/>
  <c r="L15" i="39"/>
  <c r="L71" s="1"/>
  <c r="B37" i="41"/>
  <c r="AI11" i="36"/>
  <c r="L12" i="38"/>
  <c r="L11" i="39"/>
  <c r="L67" s="1"/>
  <c r="B33" i="41"/>
  <c r="L172" i="39"/>
  <c r="L153" i="38"/>
  <c r="AN25"/>
  <c r="AN24"/>
  <c r="L152"/>
  <c r="L169" i="39"/>
  <c r="AN23" i="38"/>
  <c r="L151"/>
  <c r="L150"/>
  <c r="AN22"/>
  <c r="L149"/>
  <c r="AN21"/>
  <c r="L166" i="39"/>
  <c r="L147" i="38"/>
  <c r="AN19"/>
  <c r="L146"/>
  <c r="AN18"/>
  <c r="L163" i="39"/>
  <c r="AN17" i="38"/>
  <c r="L145"/>
  <c r="AN16"/>
  <c r="L144"/>
  <c r="L140" i="36"/>
  <c r="V40" i="41"/>
  <c r="AM14" i="36"/>
  <c r="AM13"/>
  <c r="L139"/>
  <c r="V39" i="41"/>
  <c r="H160" i="39"/>
  <c r="L104"/>
  <c r="L159"/>
  <c r="L141" i="38"/>
  <c r="AN13"/>
  <c r="L137" i="36"/>
  <c r="AM11"/>
  <c r="V37" i="41"/>
  <c r="AN11" i="38"/>
  <c r="L139"/>
  <c r="L138"/>
  <c r="AN10"/>
  <c r="L134" i="36"/>
  <c r="AM8"/>
  <c r="V34" i="41"/>
  <c r="H137" i="38"/>
  <c r="L87"/>
  <c r="V33" i="41"/>
  <c r="H154" i="39"/>
  <c r="L98"/>
  <c r="AI24" i="36"/>
  <c r="L28" i="39"/>
  <c r="L84" s="1"/>
  <c r="L72" i="36"/>
  <c r="L25" i="38"/>
  <c r="B50" i="41"/>
  <c r="L19" i="38"/>
  <c r="L66" i="36"/>
  <c r="AI18"/>
  <c r="L22" i="39"/>
  <c r="L78" s="1"/>
  <c r="B44" i="41"/>
  <c r="L61" i="36"/>
  <c r="L14" i="38"/>
  <c r="AI13" i="36"/>
  <c r="B39" i="41"/>
  <c r="L17" i="39"/>
  <c r="L73" s="1"/>
  <c r="B36" i="41"/>
  <c r="L14" i="39"/>
  <c r="L70" s="1"/>
  <c r="L11" i="38"/>
  <c r="AI10" i="36"/>
  <c r="L58"/>
  <c r="Y51" i="41"/>
  <c r="X51"/>
  <c r="L171" i="39"/>
  <c r="Y50" i="41"/>
  <c r="X50"/>
  <c r="X49"/>
  <c r="Y49"/>
  <c r="X48"/>
  <c r="Y48"/>
  <c r="L167" i="39"/>
  <c r="X46" i="41"/>
  <c r="Y46"/>
  <c r="X45"/>
  <c r="Y45"/>
  <c r="L165" i="39"/>
  <c r="X44" i="41"/>
  <c r="Y44"/>
  <c r="Y43"/>
  <c r="X43"/>
  <c r="X42"/>
  <c r="Y42"/>
  <c r="X41"/>
  <c r="Y41"/>
  <c r="L156" i="39"/>
  <c r="X35" i="41"/>
  <c r="Y35"/>
  <c r="L27" i="39"/>
  <c r="L83" s="1"/>
  <c r="AI23" i="36"/>
  <c r="B49" i="41"/>
  <c r="L24" i="38"/>
  <c r="L71" i="36"/>
  <c r="L20" i="38"/>
  <c r="AI19" i="36"/>
  <c r="L23" i="39"/>
  <c r="L79" s="1"/>
  <c r="B45" i="41"/>
  <c r="L67" i="36"/>
  <c r="B41" i="41"/>
  <c r="L19" i="39"/>
  <c r="L75" s="1"/>
  <c r="L16" i="38"/>
  <c r="AI15" i="36"/>
  <c r="L63"/>
  <c r="H67" i="38"/>
  <c r="H69"/>
  <c r="AI27" i="36" l="1"/>
  <c r="AM27"/>
  <c r="L66" i="38"/>
  <c r="K66" s="1"/>
  <c r="AJ16"/>
  <c r="D41" i="41"/>
  <c r="E41"/>
  <c r="L70" i="38"/>
  <c r="K70" s="1"/>
  <c r="AJ20"/>
  <c r="D49" i="41"/>
  <c r="E49"/>
  <c r="L61" i="38"/>
  <c r="K61" s="1"/>
  <c r="AJ11"/>
  <c r="E36" i="41"/>
  <c r="D36"/>
  <c r="D39"/>
  <c r="E39"/>
  <c r="L64" i="38"/>
  <c r="K64" s="1"/>
  <c r="AJ14"/>
  <c r="L69"/>
  <c r="K69" s="1"/>
  <c r="AJ19"/>
  <c r="D50" i="41"/>
  <c r="E50"/>
  <c r="L137" i="38"/>
  <c r="AN9"/>
  <c r="X37" i="41"/>
  <c r="Y37"/>
  <c r="Y40"/>
  <c r="X40"/>
  <c r="AJ12" i="38"/>
  <c r="L62"/>
  <c r="K62" s="1"/>
  <c r="D37" i="41"/>
  <c r="E37"/>
  <c r="D38"/>
  <c r="E38"/>
  <c r="L63" i="38"/>
  <c r="K63" s="1"/>
  <c r="AJ13"/>
  <c r="D47" i="41"/>
  <c r="E47"/>
  <c r="L76" i="38"/>
  <c r="K76" s="1"/>
  <c r="AJ26"/>
  <c r="AJ15"/>
  <c r="L65"/>
  <c r="K65" s="1"/>
  <c r="E34" i="41"/>
  <c r="D34"/>
  <c r="AJ21" i="38"/>
  <c r="L71"/>
  <c r="K71" s="1"/>
  <c r="D46" i="41"/>
  <c r="E46"/>
  <c r="AJ23" i="38"/>
  <c r="L73"/>
  <c r="K73" s="1"/>
  <c r="D45" i="41"/>
  <c r="E45"/>
  <c r="AJ24" i="38"/>
  <c r="L74"/>
  <c r="K74" s="1"/>
  <c r="E44" i="41"/>
  <c r="D44"/>
  <c r="L75" i="38"/>
  <c r="K75" s="1"/>
  <c r="AJ25"/>
  <c r="L154" i="39"/>
  <c r="Y33" i="41"/>
  <c r="X33"/>
  <c r="Y34"/>
  <c r="X34"/>
  <c r="L160" i="39"/>
  <c r="X39" i="41"/>
  <c r="Y39"/>
  <c r="D33"/>
  <c r="E33"/>
  <c r="E43"/>
  <c r="D43"/>
  <c r="AJ18" i="38"/>
  <c r="L68"/>
  <c r="K68" s="1"/>
  <c r="L72"/>
  <c r="K72" s="1"/>
  <c r="AJ22"/>
  <c r="E51" i="41"/>
  <c r="D51"/>
  <c r="E40"/>
  <c r="D40"/>
  <c r="L59" i="38"/>
  <c r="K59" s="1"/>
  <c r="AJ9"/>
  <c r="L67"/>
  <c r="K67" s="1"/>
  <c r="AJ17"/>
  <c r="D42" i="41"/>
  <c r="E42"/>
  <c r="E48"/>
  <c r="D48"/>
  <c r="AN8" i="38"/>
  <c r="L155" i="39"/>
  <c r="L158"/>
  <c r="L140" i="38"/>
  <c r="AN12"/>
  <c r="AN14"/>
  <c r="L142"/>
  <c r="L161" i="39"/>
  <c r="AN15" i="38"/>
  <c r="L143"/>
  <c r="L60"/>
  <c r="K60" s="1"/>
  <c r="AJ10"/>
  <c r="D35" i="41"/>
  <c r="E35"/>
  <c r="AJ28" i="38" l="1"/>
  <c r="AN28"/>
  <c r="AN66" i="34" l="1"/>
  <c r="AN92" i="19" l="1"/>
  <c r="AN96"/>
  <c r="AN97"/>
  <c r="AN107"/>
  <c r="AN98"/>
  <c r="AN103"/>
  <c r="AN100"/>
  <c r="AN104"/>
  <c r="AN94"/>
  <c r="AN105"/>
  <c r="AN101"/>
  <c r="AN93"/>
  <c r="AN102"/>
  <c r="AN95"/>
  <c r="AN106"/>
  <c r="AO117" i="35"/>
  <c r="AO104"/>
  <c r="AO119"/>
  <c r="AO110"/>
  <c r="AO120"/>
  <c r="AO112"/>
  <c r="AO108"/>
  <c r="AO103"/>
  <c r="AO118"/>
  <c r="AO116"/>
  <c r="AO121"/>
  <c r="AO105"/>
  <c r="AO115"/>
  <c r="AO114"/>
  <c r="AO109"/>
  <c r="AO113"/>
  <c r="AO111"/>
  <c r="AO107"/>
  <c r="AO106"/>
  <c r="AN108" i="19" l="1"/>
  <c r="AN99"/>
  <c r="V31" i="1" l="1"/>
  <c r="U31" i="29"/>
  <c r="U31" i="30"/>
  <c r="U31" i="31"/>
  <c r="AB31" i="6"/>
  <c r="U31" i="32"/>
  <c r="U31" i="33"/>
  <c r="U31" i="34"/>
  <c r="U31" i="35"/>
  <c r="V32" i="1"/>
  <c r="U32" i="28"/>
  <c r="U32" i="29"/>
  <c r="U32" i="30"/>
  <c r="U32" i="31"/>
  <c r="AB32" i="6"/>
  <c r="U32" i="32"/>
  <c r="U32" i="33"/>
  <c r="U32" i="34"/>
  <c r="U32" i="35"/>
  <c r="V33" i="1"/>
  <c r="U33" i="18"/>
  <c r="U33" i="19"/>
  <c r="U33" i="28"/>
  <c r="U33" i="29"/>
  <c r="U33" i="30"/>
  <c r="U33" i="31"/>
  <c r="AB33" i="6"/>
  <c r="U33" i="32"/>
  <c r="U33" i="33"/>
  <c r="U33" i="34"/>
  <c r="W33" s="1"/>
  <c r="U33" i="35"/>
  <c r="V34" i="1"/>
  <c r="U34" i="18"/>
  <c r="U34" i="19"/>
  <c r="U34" i="28"/>
  <c r="U34" i="29"/>
  <c r="U34" i="30"/>
  <c r="U34" i="31"/>
  <c r="AB34" i="6"/>
  <c r="U34" i="32"/>
  <c r="U34" i="33"/>
  <c r="U34" i="34"/>
  <c r="U34" i="35"/>
  <c r="V35" i="1"/>
  <c r="U35" i="18"/>
  <c r="U35" i="19"/>
  <c r="U35" i="28"/>
  <c r="U35" i="29"/>
  <c r="U35" i="30"/>
  <c r="U35" i="32"/>
  <c r="U35" i="33"/>
  <c r="U35" i="34"/>
  <c r="U35" i="35"/>
  <c r="V36" i="1"/>
  <c r="U36" i="18"/>
  <c r="U36" i="19"/>
  <c r="U36" i="28"/>
  <c r="U36" i="29"/>
  <c r="U36" i="30"/>
  <c r="U36" i="32"/>
  <c r="U36" i="33"/>
  <c r="U36" i="34"/>
  <c r="U36" i="35"/>
  <c r="V37" i="1"/>
  <c r="U37" i="18"/>
  <c r="U37" i="19"/>
  <c r="U37" i="28"/>
  <c r="U37" i="29"/>
  <c r="U37" i="31"/>
  <c r="U37" i="32"/>
  <c r="U37" i="33"/>
  <c r="U37" i="34"/>
  <c r="U37" i="35"/>
  <c r="V38" i="1"/>
  <c r="U38" i="18"/>
  <c r="U38" i="19"/>
  <c r="U38" i="28"/>
  <c r="U38" i="29"/>
  <c r="U38" i="30"/>
  <c r="U38" i="31"/>
  <c r="U38" i="32"/>
  <c r="U38" i="33"/>
  <c r="U38" i="34"/>
  <c r="U38" i="35"/>
  <c r="U39" i="19"/>
  <c r="U39" i="28"/>
  <c r="U39" i="29"/>
  <c r="U39" i="30"/>
  <c r="U39" i="31"/>
  <c r="U39" i="32"/>
  <c r="U39" i="33"/>
  <c r="U39" i="34"/>
  <c r="U39" i="35"/>
  <c r="U40" i="19"/>
  <c r="U40" i="28"/>
  <c r="U40" i="29"/>
  <c r="U40" i="30"/>
  <c r="U40" i="31"/>
  <c r="U40" i="32"/>
  <c r="U40" i="33"/>
  <c r="U40" i="34"/>
  <c r="U40" i="35"/>
  <c r="V41" i="1"/>
  <c r="U41" i="18"/>
  <c r="U41" i="19"/>
  <c r="U41" i="28"/>
  <c r="U41" i="29"/>
  <c r="U41" i="30"/>
  <c r="U41" i="31"/>
  <c r="U41" i="32"/>
  <c r="U41" i="33"/>
  <c r="U41" i="34"/>
  <c r="U41" i="35"/>
  <c r="U42" i="19"/>
  <c r="U42" i="28"/>
  <c r="U42" i="29"/>
  <c r="U42" i="31"/>
  <c r="U42" i="32"/>
  <c r="U42" i="33"/>
  <c r="U42" i="34"/>
  <c r="U42" i="35"/>
  <c r="V43" i="1"/>
  <c r="U43" i="18"/>
  <c r="U43" i="19"/>
  <c r="U43" i="28"/>
  <c r="U43" i="29"/>
  <c r="U43" i="30"/>
  <c r="U43" i="32"/>
  <c r="U43" i="33"/>
  <c r="U43" i="34"/>
  <c r="U44" i="18"/>
  <c r="U44" i="19"/>
  <c r="U44" i="28"/>
  <c r="U44" i="29"/>
  <c r="U44" i="30"/>
  <c r="U44" i="32"/>
  <c r="AA45" s="1"/>
  <c r="U44" i="33"/>
  <c r="U44" i="34"/>
  <c r="U44" i="35"/>
  <c r="AA45" s="1"/>
  <c r="V45" i="1"/>
  <c r="AO45" s="1"/>
  <c r="U45" i="18"/>
  <c r="U45" i="19"/>
  <c r="W41" i="34" l="1"/>
  <c r="W45" i="19"/>
  <c r="AE45"/>
  <c r="BJ45" i="1"/>
  <c r="AF42" i="35"/>
  <c r="W44" i="34"/>
  <c r="W44" i="30"/>
  <c r="W44" i="19"/>
  <c r="AE44"/>
  <c r="U43" i="35"/>
  <c r="V44" i="1"/>
  <c r="W43" i="34"/>
  <c r="W43" i="29"/>
  <c r="AF43" i="28"/>
  <c r="W43"/>
  <c r="AE43" i="19"/>
  <c r="W43"/>
  <c r="AA42" i="35"/>
  <c r="AF40"/>
  <c r="W42"/>
  <c r="W42" i="34"/>
  <c r="U42" i="30"/>
  <c r="W43" s="1"/>
  <c r="W41" i="33"/>
  <c r="W41" i="31"/>
  <c r="W41" i="30"/>
  <c r="W41" i="28"/>
  <c r="AF41"/>
  <c r="W41" i="19"/>
  <c r="AE41"/>
  <c r="AO41" i="1"/>
  <c r="BJ41"/>
  <c r="AF38" i="35"/>
  <c r="W40"/>
  <c r="AA40"/>
  <c r="W40" i="34"/>
  <c r="W40" i="33"/>
  <c r="W40" i="29"/>
  <c r="U40" i="18"/>
  <c r="W41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V64" s="1"/>
  <c r="V65" s="1"/>
  <c r="V66" s="1"/>
  <c r="V67" s="1"/>
  <c r="V68" s="1"/>
  <c r="V69" s="1"/>
  <c r="V70" s="1"/>
  <c r="V71" s="1"/>
  <c r="V72" s="1"/>
  <c r="V73" s="1"/>
  <c r="V40" i="1"/>
  <c r="AF37" i="35"/>
  <c r="W39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AA39"/>
  <c r="W39" i="34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AB39" i="6"/>
  <c r="W39" i="29"/>
  <c r="V39" s="1"/>
  <c r="AF39" i="28"/>
  <c r="W39"/>
  <c r="W39" i="19"/>
  <c r="AE39"/>
  <c r="U39" i="18"/>
  <c r="V39" i="1"/>
  <c r="AA38" i="35"/>
  <c r="W38"/>
  <c r="AF36"/>
  <c r="W38" i="32"/>
  <c r="AA38"/>
  <c r="W38" i="18"/>
  <c r="AC38" i="1"/>
  <c r="W37" i="35"/>
  <c r="AF35"/>
  <c r="AA37"/>
  <c r="W37" i="34"/>
  <c r="W37" i="33"/>
  <c r="AA37" i="32"/>
  <c r="W37"/>
  <c r="V37" i="6"/>
  <c r="AB37" s="1"/>
  <c r="U37" i="30"/>
  <c r="W38" s="1"/>
  <c r="W37" i="29"/>
  <c r="AF37" i="28"/>
  <c r="W37"/>
  <c r="AC37" i="1"/>
  <c r="W36" i="35"/>
  <c r="AA36"/>
  <c r="AF34"/>
  <c r="W36" i="33"/>
  <c r="W36" i="32"/>
  <c r="AA36"/>
  <c r="W36" i="30"/>
  <c r="W36" i="29"/>
  <c r="W36" i="19"/>
  <c r="AE36"/>
  <c r="W36" i="18"/>
  <c r="W35" i="33"/>
  <c r="W35" i="30"/>
  <c r="W35" i="29"/>
  <c r="AE35" i="19"/>
  <c r="W35"/>
  <c r="AC35" i="1"/>
  <c r="W34" i="34"/>
  <c r="W34" i="33"/>
  <c r="AA34" i="6"/>
  <c r="W34" i="30"/>
  <c r="AF34" i="28"/>
  <c r="W34"/>
  <c r="W34" i="18"/>
  <c r="W33" i="35"/>
  <c r="AA33"/>
  <c r="AF31"/>
  <c r="W33" i="33"/>
  <c r="AA33" i="6"/>
  <c r="W33" i="30"/>
  <c r="AF33" i="28"/>
  <c r="W33"/>
  <c r="W33" i="18"/>
  <c r="AF30" i="35"/>
  <c r="AA32"/>
  <c r="W32"/>
  <c r="W32" i="33"/>
  <c r="AA32" i="6"/>
  <c r="W32" i="30"/>
  <c r="W32" i="28"/>
  <c r="AF32"/>
  <c r="W31" i="35"/>
  <c r="AF29"/>
  <c r="AA31"/>
  <c r="W31" i="33"/>
  <c r="AA31" i="6"/>
  <c r="W31" i="30"/>
  <c r="W45" i="18"/>
  <c r="W44" i="33"/>
  <c r="W44" i="32"/>
  <c r="AA44"/>
  <c r="U44" i="31"/>
  <c r="W44" i="29"/>
  <c r="AF44" i="28"/>
  <c r="W44"/>
  <c r="W44" i="18"/>
  <c r="W43" i="33"/>
  <c r="AA43" i="32"/>
  <c r="W43"/>
  <c r="U43" i="31"/>
  <c r="W42" i="33"/>
  <c r="AA42" i="32"/>
  <c r="W42"/>
  <c r="W42" i="31"/>
  <c r="W42" i="29"/>
  <c r="W42" i="28"/>
  <c r="AF42"/>
  <c r="W42" i="19"/>
  <c r="AE42"/>
  <c r="U42" i="18"/>
  <c r="V42" i="1"/>
  <c r="W41" i="35"/>
  <c r="AA41"/>
  <c r="AF39"/>
  <c r="W41" i="32"/>
  <c r="AA41"/>
  <c r="AB41" i="6"/>
  <c r="W41" i="29"/>
  <c r="AA40" i="32"/>
  <c r="W40"/>
  <c r="AB40" i="6"/>
  <c r="W40" i="31"/>
  <c r="W40" i="30"/>
  <c r="AF40" i="28"/>
  <c r="W40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V64" s="1"/>
  <c r="AE40" i="19"/>
  <c r="W40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V64" s="1"/>
  <c r="V65" s="1"/>
  <c r="V66" s="1"/>
  <c r="V67" s="1"/>
  <c r="V68" s="1"/>
  <c r="V69" s="1"/>
  <c r="V70" s="1"/>
  <c r="V71" s="1"/>
  <c r="V72" s="1"/>
  <c r="V73" s="1"/>
  <c r="W39" i="33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AA39" i="32"/>
  <c r="W39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W39" i="31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W39" i="30"/>
  <c r="V39" s="1"/>
  <c r="W38" i="34"/>
  <c r="W38" i="33"/>
  <c r="AB38" i="6"/>
  <c r="W38" i="31"/>
  <c r="W38" i="29"/>
  <c r="W38" i="28"/>
  <c r="AF38"/>
  <c r="W38" i="19"/>
  <c r="AE38"/>
  <c r="W37"/>
  <c r="AE37"/>
  <c r="W37" i="18"/>
  <c r="W36" i="34"/>
  <c r="U36" i="31"/>
  <c r="W37" s="1"/>
  <c r="V36" i="6"/>
  <c r="AB36" s="1"/>
  <c r="W36" i="28"/>
  <c r="AF36"/>
  <c r="AC36" i="1"/>
  <c r="W35" i="35"/>
  <c r="AA35"/>
  <c r="AF33"/>
  <c r="W35" i="34"/>
  <c r="W35" i="32"/>
  <c r="AA35"/>
  <c r="U35" i="31"/>
  <c r="V35" i="6"/>
  <c r="AB35" s="1"/>
  <c r="W35" i="28"/>
  <c r="AF35"/>
  <c r="W35" i="18"/>
  <c r="W34" i="35"/>
  <c r="AA34"/>
  <c r="AF32"/>
  <c r="W34" i="32"/>
  <c r="AA34"/>
  <c r="W34" i="31"/>
  <c r="W34" i="29"/>
  <c r="W34" i="19"/>
  <c r="AE34"/>
  <c r="AC34" i="1"/>
  <c r="W33" i="32"/>
  <c r="AA33"/>
  <c r="W33" i="31"/>
  <c r="W33" i="29"/>
  <c r="W33" i="19"/>
  <c r="AE33"/>
  <c r="AS8" s="1" a="1"/>
  <c r="AC33" i="1"/>
  <c r="W32" i="34"/>
  <c r="W32" i="32"/>
  <c r="AA32"/>
  <c r="W32" i="31"/>
  <c r="W32" i="29"/>
  <c r="AC32" i="1"/>
  <c r="W31" i="34"/>
  <c r="AA31" i="32"/>
  <c r="W31"/>
  <c r="W31" i="31"/>
  <c r="W31" i="29"/>
  <c r="AC31" i="1"/>
  <c r="AS8" i="19" l="1"/>
  <c r="AV10"/>
  <c r="AX12"/>
  <c r="AU10"/>
  <c r="AT12"/>
  <c r="AV9"/>
  <c r="AS12"/>
  <c r="AU9"/>
  <c r="AU11"/>
  <c r="AX11"/>
  <c r="AW11"/>
  <c r="AX10"/>
  <c r="AW10"/>
  <c r="AV8"/>
  <c r="AV13" s="1"/>
  <c r="AU8"/>
  <c r="AW12"/>
  <c r="AV12"/>
  <c r="AX9"/>
  <c r="AU12"/>
  <c r="AW9"/>
  <c r="AV11"/>
  <c r="AX8"/>
  <c r="AW8"/>
  <c r="AT9"/>
  <c r="AS9"/>
  <c r="AT8"/>
  <c r="AT11"/>
  <c r="AS11"/>
  <c r="AT10"/>
  <c r="AS10"/>
  <c r="V40" i="30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V40" i="29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BJ34" i="1"/>
  <c r="BL34" s="1"/>
  <c r="AO34"/>
  <c r="AJ35" i="18"/>
  <c r="BB35"/>
  <c r="BD35" s="1"/>
  <c r="W35" i="31"/>
  <c r="AO36" i="1"/>
  <c r="BJ36"/>
  <c r="AA36" i="6"/>
  <c r="AA38"/>
  <c r="AA40"/>
  <c r="AA41"/>
  <c r="AC42" i="1"/>
  <c r="AO43"/>
  <c r="BJ43"/>
  <c r="AB43" i="6"/>
  <c r="W44" i="31"/>
  <c r="AJ33" i="18"/>
  <c r="BB33"/>
  <c r="AJ34"/>
  <c r="BB34"/>
  <c r="BD34" s="1"/>
  <c r="W37" i="30"/>
  <c r="AJ38" i="18"/>
  <c r="BB38"/>
  <c r="BD38" s="1"/>
  <c r="AC39" i="1"/>
  <c r="AA39" i="6"/>
  <c r="Z39" s="1"/>
  <c r="Z40" s="1"/>
  <c r="Z41" s="1"/>
  <c r="Z42" s="1"/>
  <c r="Z43" s="1"/>
  <c r="AC41" i="1"/>
  <c r="AC40"/>
  <c r="AB40" s="1"/>
  <c r="AB41" s="1"/>
  <c r="AB42" s="1"/>
  <c r="AB43" s="1"/>
  <c r="AB44" s="1"/>
  <c r="AB45" s="1"/>
  <c r="AB46" s="1"/>
  <c r="AB47" s="1"/>
  <c r="AB48" s="1"/>
  <c r="AB49" s="1"/>
  <c r="AB50" s="1"/>
  <c r="AB51" s="1"/>
  <c r="AB52" s="1"/>
  <c r="AB53" s="1"/>
  <c r="AB54" s="1"/>
  <c r="AB55" s="1"/>
  <c r="AB56" s="1"/>
  <c r="AB57" s="1"/>
  <c r="AB58" s="1"/>
  <c r="AB59" s="1"/>
  <c r="AB60" s="1"/>
  <c r="AB61" s="1"/>
  <c r="AB62" s="1"/>
  <c r="AB63" s="1"/>
  <c r="AB64" s="1"/>
  <c r="AB65" s="1"/>
  <c r="AB66" s="1"/>
  <c r="AB67" s="1"/>
  <c r="AB68" s="1"/>
  <c r="AB69" s="1"/>
  <c r="AB70" s="1"/>
  <c r="AB71" s="1"/>
  <c r="AB72" s="1"/>
  <c r="AB73" s="1"/>
  <c r="BM41"/>
  <c r="BN41" s="1"/>
  <c r="AP41"/>
  <c r="AB42" i="6"/>
  <c r="BB43" i="18"/>
  <c r="AJ43"/>
  <c r="W44" i="35"/>
  <c r="AA43"/>
  <c r="W43"/>
  <c r="AF41"/>
  <c r="BM45" i="1"/>
  <c r="BN45" s="1"/>
  <c r="AA44" i="35"/>
  <c r="BJ32" i="1"/>
  <c r="BL32" s="1"/>
  <c r="AO32"/>
  <c r="AO33"/>
  <c r="BJ33"/>
  <c r="BL33" s="1"/>
  <c r="AO31"/>
  <c r="BJ31"/>
  <c r="BL31" s="1"/>
  <c r="AA35" i="6"/>
  <c r="W36" i="31"/>
  <c r="AJ37" i="18"/>
  <c r="BB37"/>
  <c r="BD37" s="1"/>
  <c r="AJ41"/>
  <c r="BB41"/>
  <c r="BD41" s="1"/>
  <c r="W42"/>
  <c r="W43" i="31"/>
  <c r="AJ44" i="18"/>
  <c r="BB44"/>
  <c r="BD44" s="1"/>
  <c r="BB45"/>
  <c r="AJ45"/>
  <c r="BJ35" i="1"/>
  <c r="BL35" s="1"/>
  <c r="AO35"/>
  <c r="BB36" i="18"/>
  <c r="BD36" s="1"/>
  <c r="AJ36"/>
  <c r="AO37" i="1"/>
  <c r="BJ37"/>
  <c r="BL37" s="1"/>
  <c r="AA37" i="6"/>
  <c r="BJ38" i="1"/>
  <c r="BL38" s="1"/>
  <c r="AO38"/>
  <c r="W39" i="18"/>
  <c r="W40"/>
  <c r="BL41" i="1"/>
  <c r="W42" i="30"/>
  <c r="AC45" i="1"/>
  <c r="AC44"/>
  <c r="AC43"/>
  <c r="W43" i="18"/>
  <c r="AS13" i="19" l="1"/>
  <c r="AW13"/>
  <c r="AU13"/>
  <c r="AT13"/>
  <c r="BJ44" i="1"/>
  <c r="AO44"/>
  <c r="BB40" i="18"/>
  <c r="BD40" s="1"/>
  <c r="AJ40"/>
  <c r="BB39"/>
  <c r="BD39" s="1"/>
  <c r="AJ39"/>
  <c r="BM38" i="1"/>
  <c r="BN38" s="1"/>
  <c r="AP38"/>
  <c r="BE36" i="18"/>
  <c r="BF36" s="1"/>
  <c r="AK36"/>
  <c r="BM35" i="1"/>
  <c r="BN35" s="1"/>
  <c r="AP35"/>
  <c r="AP37"/>
  <c r="BM37"/>
  <c r="BN37" s="1"/>
  <c r="BM32"/>
  <c r="BN32" s="1"/>
  <c r="AP32"/>
  <c r="AA42" i="6"/>
  <c r="AO40" i="1"/>
  <c r="BJ40"/>
  <c r="BL40" s="1"/>
  <c r="BD33" i="18"/>
  <c r="BM43" i="1"/>
  <c r="BN43" s="1"/>
  <c r="BM36"/>
  <c r="BN36" s="1"/>
  <c r="AP36"/>
  <c r="BE35" i="18"/>
  <c r="BF35" s="1"/>
  <c r="AK35"/>
  <c r="BE45"/>
  <c r="BF45" s="1"/>
  <c r="AA44" i="6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BE44" i="18"/>
  <c r="BF44" s="1"/>
  <c r="AK44"/>
  <c r="BB42"/>
  <c r="AJ42"/>
  <c r="BE41"/>
  <c r="BF41" s="1"/>
  <c r="AK41"/>
  <c r="AK37"/>
  <c r="BE37"/>
  <c r="BF37" s="1"/>
  <c r="BM31" i="1"/>
  <c r="BN31" s="1"/>
  <c r="AP31"/>
  <c r="BM33"/>
  <c r="BN33" s="1"/>
  <c r="AP33"/>
  <c r="BE43" i="18"/>
  <c r="BF43" s="1"/>
  <c r="AO39" i="1"/>
  <c r="BJ39"/>
  <c r="BE38" i="18"/>
  <c r="BF38" s="1"/>
  <c r="AK38"/>
  <c r="AK34"/>
  <c r="BE34"/>
  <c r="BF34" s="1"/>
  <c r="BE33"/>
  <c r="BF33" s="1"/>
  <c r="AK33"/>
  <c r="AA43" i="6"/>
  <c r="AO42" i="1"/>
  <c r="BJ42"/>
  <c r="BL42" s="1"/>
  <c r="BL36"/>
  <c r="AP34"/>
  <c r="BM34"/>
  <c r="BN34" s="1"/>
  <c r="BA34" i="19" l="1"/>
  <c r="BC34" s="1"/>
  <c r="BA32"/>
  <c r="BC32" s="1"/>
  <c r="BA38"/>
  <c r="BC38" s="1"/>
  <c r="BA28"/>
  <c r="BC28" s="1"/>
  <c r="BA39"/>
  <c r="BC39" s="1"/>
  <c r="BA33"/>
  <c r="BC33" s="1"/>
  <c r="BA35"/>
  <c r="BC35" s="1"/>
  <c r="AJ33"/>
  <c r="AJ22"/>
  <c r="AK22" s="1"/>
  <c r="AJ13"/>
  <c r="BD13" s="1"/>
  <c r="BA29"/>
  <c r="BC29" s="1"/>
  <c r="AJ34"/>
  <c r="AJ24"/>
  <c r="AJ15"/>
  <c r="BD15" s="1"/>
  <c r="AJ43"/>
  <c r="BD43" s="1"/>
  <c r="AJ27"/>
  <c r="BD27" s="1"/>
  <c r="AJ30"/>
  <c r="BA30"/>
  <c r="BC30" s="1"/>
  <c r="BA31"/>
  <c r="BC31" s="1"/>
  <c r="AJ29"/>
  <c r="AK29" s="1"/>
  <c r="AJ41"/>
  <c r="BA24"/>
  <c r="BC24" s="1"/>
  <c r="BA25"/>
  <c r="BC25" s="1"/>
  <c r="AJ25"/>
  <c r="AK25" s="1"/>
  <c r="AJ16"/>
  <c r="BA26"/>
  <c r="BC26" s="1"/>
  <c r="BA27"/>
  <c r="BC27" s="1"/>
  <c r="AJ31"/>
  <c r="AK31" s="1"/>
  <c r="AJ38"/>
  <c r="BA20"/>
  <c r="BC20" s="1"/>
  <c r="BA21"/>
  <c r="BC21" s="1"/>
  <c r="AJ36"/>
  <c r="BD36" s="1"/>
  <c r="AJ14"/>
  <c r="AK14" s="1"/>
  <c r="BA22"/>
  <c r="BC22" s="1"/>
  <c r="BA23"/>
  <c r="BC23" s="1"/>
  <c r="AJ40"/>
  <c r="AK40" s="1"/>
  <c r="AJ19"/>
  <c r="BD19" s="1"/>
  <c r="BA16"/>
  <c r="BC16" s="1"/>
  <c r="BA17"/>
  <c r="BC17" s="1"/>
  <c r="AJ28"/>
  <c r="BD28" s="1"/>
  <c r="AJ18"/>
  <c r="AK18" s="1"/>
  <c r="BA18"/>
  <c r="BC18" s="1"/>
  <c r="BA19"/>
  <c r="BC19" s="1"/>
  <c r="AJ26"/>
  <c r="BD26" s="1"/>
  <c r="AJ32"/>
  <c r="BD32" s="1"/>
  <c r="BA13"/>
  <c r="BC13" s="1"/>
  <c r="AJ35"/>
  <c r="AK35" s="1"/>
  <c r="AJ39"/>
  <c r="AK39" s="1"/>
  <c r="BA14"/>
  <c r="BC14" s="1"/>
  <c r="BA15"/>
  <c r="BC15" s="1"/>
  <c r="AJ37"/>
  <c r="BA40"/>
  <c r="BC40" s="1"/>
  <c r="BA41"/>
  <c r="BC41" s="1"/>
  <c r="AJ42"/>
  <c r="AK42" s="1"/>
  <c r="AJ21"/>
  <c r="BA42"/>
  <c r="BC42" s="1"/>
  <c r="BA43"/>
  <c r="AJ23"/>
  <c r="BD23" s="1"/>
  <c r="AJ20"/>
  <c r="BA36"/>
  <c r="BC36" s="1"/>
  <c r="BA37"/>
  <c r="BC37" s="1"/>
  <c r="AJ17"/>
  <c r="BD17" s="1"/>
  <c r="BD31"/>
  <c r="BM42" i="1"/>
  <c r="BN42" s="1"/>
  <c r="AP42"/>
  <c r="AP39"/>
  <c r="BM39"/>
  <c r="BN39" s="1"/>
  <c r="AK42" i="18"/>
  <c r="BE42"/>
  <c r="BF42" s="1"/>
  <c r="BM40" i="1"/>
  <c r="BN40" s="1"/>
  <c r="AP40"/>
  <c r="BL39"/>
  <c r="BD42" i="18"/>
  <c r="BE39"/>
  <c r="BF39" s="1"/>
  <c r="AK39"/>
  <c r="BE40"/>
  <c r="BF40" s="1"/>
  <c r="AK40"/>
  <c r="BM44" i="1"/>
  <c r="BN44" s="1"/>
  <c r="E2101" i="23"/>
  <c r="E1900"/>
  <c r="E1818"/>
  <c r="E1878"/>
  <c r="E2039"/>
  <c r="E1810"/>
  <c r="E1909"/>
  <c r="E1838"/>
  <c r="E2061"/>
  <c r="E1888"/>
  <c r="E2083"/>
  <c r="E2000"/>
  <c r="E2010"/>
  <c r="E2076"/>
  <c r="E1813"/>
  <c r="E2048"/>
  <c r="E2018"/>
  <c r="E1912"/>
  <c r="E1939"/>
  <c r="E1892"/>
  <c r="E2056"/>
  <c r="E1935"/>
  <c r="E1855"/>
  <c r="E1867"/>
  <c r="E2119"/>
  <c r="E1894"/>
  <c r="E1964"/>
  <c r="E2027"/>
  <c r="E1958"/>
  <c r="E1805"/>
  <c r="E1982"/>
  <c r="E1967"/>
  <c r="E1860"/>
  <c r="E2067"/>
  <c r="E1941"/>
  <c r="E1904"/>
  <c r="E1948"/>
  <c r="E1829"/>
  <c r="E1953"/>
  <c r="E1983"/>
  <c r="E1820"/>
  <c r="E1955"/>
  <c r="E1856"/>
  <c r="E1819"/>
  <c r="E2071"/>
  <c r="E1988"/>
  <c r="E1977"/>
  <c r="E1989"/>
  <c r="E1836"/>
  <c r="E1984"/>
  <c r="E1799"/>
  <c r="E2014"/>
  <c r="E1830"/>
  <c r="E1815"/>
  <c r="E2026"/>
  <c r="E1898"/>
  <c r="E1846"/>
  <c r="E1893"/>
  <c r="E1792"/>
  <c r="E1862"/>
  <c r="E1949"/>
  <c r="E1996"/>
  <c r="E1887"/>
  <c r="E2096"/>
  <c r="E2009"/>
  <c r="E1910"/>
  <c r="E1890"/>
  <c r="E1834"/>
  <c r="E1852"/>
  <c r="E2062"/>
  <c r="E1975"/>
  <c r="E1828"/>
  <c r="E1944"/>
  <c r="E1896"/>
  <c r="E2086"/>
  <c r="E2104"/>
  <c r="E2102"/>
  <c r="E2070"/>
  <c r="E1837"/>
  <c r="E1926"/>
  <c r="E2100"/>
  <c r="E1871"/>
  <c r="E1876"/>
  <c r="E1854"/>
  <c r="E2079"/>
  <c r="E1918"/>
  <c r="E1895"/>
  <c r="E1801"/>
  <c r="E1986"/>
  <c r="E1780"/>
  <c r="E1857"/>
  <c r="E2074"/>
  <c r="E1973"/>
  <c r="E1832"/>
  <c r="E1864"/>
  <c r="E1966"/>
  <c r="E1811"/>
  <c r="E1823"/>
  <c r="E1987"/>
  <c r="E1962"/>
  <c r="E1848"/>
  <c r="E1969"/>
  <c r="E2091"/>
  <c r="E1907"/>
  <c r="E1806"/>
  <c r="E2117"/>
  <c r="E1891"/>
  <c r="E2052"/>
  <c r="E1825"/>
  <c r="E1924"/>
  <c r="E2087"/>
  <c r="E1976"/>
  <c r="E2005"/>
  <c r="E1961"/>
  <c r="E1814"/>
  <c r="E1777"/>
  <c r="E1802"/>
  <c r="E1993"/>
  <c r="E2051"/>
  <c r="E1853"/>
  <c r="E1954"/>
  <c r="E2022"/>
  <c r="E1807"/>
  <c r="E1781"/>
  <c r="E1979"/>
  <c r="E1963"/>
  <c r="E1783"/>
  <c r="E1905"/>
  <c r="E2105"/>
  <c r="E2058"/>
  <c r="E1911"/>
  <c r="E1915"/>
  <c r="E1959"/>
  <c r="E1917"/>
  <c r="E1884"/>
  <c r="E1873"/>
  <c r="E1886"/>
  <c r="E1952"/>
  <c r="E1897"/>
  <c r="E2025"/>
  <c r="E1998"/>
  <c r="E1881"/>
  <c r="E1942"/>
  <c r="E1842"/>
  <c r="E1902"/>
  <c r="E1787"/>
  <c r="E1796"/>
  <c r="E1847"/>
  <c r="E1817"/>
  <c r="E1790"/>
  <c r="E1794"/>
  <c r="E1808"/>
  <c r="E2028"/>
  <c r="E2084"/>
  <c r="E1821"/>
  <c r="E1971"/>
  <c r="E2060"/>
  <c r="E2106"/>
  <c r="E2003"/>
  <c r="E1865"/>
  <c r="E2082"/>
  <c r="E1793"/>
  <c r="E1908"/>
  <c r="E2047"/>
  <c r="E2041"/>
  <c r="E1844"/>
  <c r="E1940"/>
  <c r="E1822"/>
  <c r="E1859"/>
  <c r="E1968"/>
  <c r="E2089"/>
  <c r="E2113"/>
  <c r="E1863"/>
  <c r="E1800"/>
  <c r="E1916"/>
  <c r="E1921"/>
  <c r="E1929"/>
  <c r="E1879"/>
  <c r="E1845"/>
  <c r="E1866"/>
  <c r="E1960"/>
  <c r="E2097"/>
  <c r="E2057"/>
  <c r="E1957"/>
  <c r="E2109"/>
  <c r="E2078"/>
  <c r="E1803"/>
  <c r="E1869"/>
  <c r="E1797"/>
  <c r="E1779"/>
  <c r="E1872"/>
  <c r="E1922"/>
  <c r="E1972"/>
  <c r="E2115"/>
  <c r="E1775"/>
  <c r="E2108"/>
  <c r="E2069"/>
  <c r="E1809"/>
  <c r="E2073"/>
  <c r="E1934"/>
  <c r="E2015"/>
  <c r="E1874"/>
  <c r="E1880"/>
  <c r="E2034"/>
  <c r="E2008"/>
  <c r="E1946"/>
  <c r="E1978"/>
  <c r="E1956"/>
  <c r="E1804"/>
  <c r="E2004"/>
  <c r="E1841"/>
  <c r="E1812"/>
  <c r="E1782"/>
  <c r="E1788"/>
  <c r="E2110"/>
  <c r="E1981"/>
  <c r="E2066"/>
  <c r="E2095"/>
  <c r="E2063"/>
  <c r="E2093"/>
  <c r="E2053"/>
  <c r="E1789"/>
  <c r="E2040"/>
  <c r="E1937"/>
  <c r="E2054"/>
  <c r="E1991"/>
  <c r="E1925"/>
  <c r="E1776"/>
  <c r="E1835"/>
  <c r="E1980"/>
  <c r="E1999"/>
  <c r="E1936"/>
  <c r="E2006"/>
  <c r="E2049"/>
  <c r="E2021"/>
  <c r="E1928"/>
  <c r="E1985"/>
  <c r="E2031"/>
  <c r="E1883"/>
  <c r="E2023"/>
  <c r="E1882"/>
  <c r="E1965"/>
  <c r="E2002"/>
  <c r="E1877"/>
  <c r="E1798"/>
  <c r="E1995"/>
  <c r="E1997"/>
  <c r="E1826"/>
  <c r="E1870"/>
  <c r="E2013"/>
  <c r="E1851"/>
  <c r="E1927"/>
  <c r="E1974"/>
  <c r="E1889"/>
  <c r="E2045"/>
  <c r="E2038"/>
  <c r="E1994"/>
  <c r="E2099"/>
  <c r="E1951"/>
  <c r="E2065"/>
  <c r="E2017"/>
  <c r="E2088"/>
  <c r="E1938"/>
  <c r="E1914"/>
  <c r="E2075"/>
  <c r="E2019"/>
  <c r="E1885"/>
  <c r="E1784"/>
  <c r="E1923"/>
  <c r="E1850"/>
  <c r="E1899"/>
  <c r="E1947"/>
  <c r="E1945"/>
  <c r="E1875"/>
  <c r="E1831"/>
  <c r="E2092"/>
  <c r="E1839"/>
  <c r="E1913"/>
  <c r="E1849"/>
  <c r="E1932"/>
  <c r="E2035"/>
  <c r="E1858"/>
  <c r="E2118"/>
  <c r="E2122"/>
  <c r="E1861"/>
  <c r="E2012"/>
  <c r="E1919"/>
  <c r="E2080"/>
  <c r="E1970"/>
  <c r="E2111"/>
  <c r="E1990"/>
  <c r="E1903"/>
  <c r="E1795"/>
  <c r="E2030"/>
  <c r="E1868"/>
  <c r="E2036"/>
  <c r="E2114"/>
  <c r="E1933"/>
  <c r="E1992"/>
  <c r="E1816"/>
  <c r="E1778"/>
  <c r="E1824"/>
  <c r="E1943"/>
  <c r="E1931"/>
  <c r="E1950"/>
  <c r="E2044"/>
  <c r="E2043"/>
  <c r="E1843"/>
  <c r="E1840"/>
  <c r="E2001"/>
  <c r="E1786"/>
  <c r="E1791"/>
  <c r="E1833"/>
  <c r="E2121"/>
  <c r="E1785"/>
  <c r="E1827"/>
  <c r="E1930"/>
  <c r="E2032"/>
  <c r="E1920"/>
  <c r="E1901"/>
  <c r="E1906"/>
  <c r="BD39" i="19" l="1"/>
  <c r="BD40"/>
  <c r="BE40" s="1"/>
  <c r="BF40" s="1"/>
  <c r="AK36"/>
  <c r="BD29"/>
  <c r="BD25"/>
  <c r="AK27"/>
  <c r="AK26"/>
  <c r="AK28"/>
  <c r="BE36"/>
  <c r="BF36" s="1"/>
  <c r="BE32"/>
  <c r="BF32" s="1"/>
  <c r="BD18"/>
  <c r="BE18" s="1"/>
  <c r="BF18" s="1"/>
  <c r="AK32"/>
  <c r="BD22"/>
  <c r="BE22" s="1"/>
  <c r="BF22" s="1"/>
  <c r="AK23"/>
  <c r="AK13"/>
  <c r="AK15"/>
  <c r="AK19"/>
  <c r="BD14"/>
  <c r="BE14" s="1"/>
  <c r="BF14" s="1"/>
  <c r="BD42"/>
  <c r="BE42" s="1"/>
  <c r="BF42" s="1"/>
  <c r="BE39"/>
  <c r="BF39" s="1"/>
  <c r="BE26"/>
  <c r="BF26" s="1"/>
  <c r="BE28"/>
  <c r="BF28" s="1"/>
  <c r="BE17"/>
  <c r="BF17" s="1"/>
  <c r="BE23"/>
  <c r="BF23" s="1"/>
  <c r="BE19"/>
  <c r="BF19" s="1"/>
  <c r="AK17"/>
  <c r="BD35"/>
  <c r="BE35" s="1"/>
  <c r="BF35" s="1"/>
  <c r="BD20"/>
  <c r="BE20" s="1"/>
  <c r="BF20" s="1"/>
  <c r="AK20"/>
  <c r="BD37"/>
  <c r="BE37" s="1"/>
  <c r="BF37" s="1"/>
  <c r="AK37"/>
  <c r="AK38"/>
  <c r="BD38"/>
  <c r="BE38" s="1"/>
  <c r="BF38" s="1"/>
  <c r="AK41"/>
  <c r="BD41"/>
  <c r="BE41" s="1"/>
  <c r="BF41" s="1"/>
  <c r="BD21"/>
  <c r="BE21" s="1"/>
  <c r="BF21" s="1"/>
  <c r="AK21"/>
  <c r="AK16"/>
  <c r="BD16"/>
  <c r="BE16" s="1"/>
  <c r="BF16" s="1"/>
  <c r="BD30"/>
  <c r="BE30" s="1"/>
  <c r="BF30" s="1"/>
  <c r="AK30"/>
  <c r="BE15"/>
  <c r="BF15" s="1"/>
  <c r="BD24"/>
  <c r="BE24" s="1"/>
  <c r="BF24" s="1"/>
  <c r="AK24"/>
  <c r="AK34"/>
  <c r="BD34"/>
  <c r="BE34" s="1"/>
  <c r="BF34" s="1"/>
  <c r="BD33"/>
  <c r="BE33" s="1"/>
  <c r="BF33" s="1"/>
  <c r="AK33"/>
  <c r="BE43"/>
  <c r="BE29"/>
  <c r="BF29" s="1"/>
  <c r="BE13"/>
  <c r="BF13" s="1"/>
  <c r="BE31"/>
  <c r="BF31" s="1"/>
  <c r="BE25"/>
  <c r="BF25" s="1"/>
  <c r="BE27"/>
  <c r="BF27" s="1"/>
  <c r="AF45" i="28" l="1"/>
  <c r="W45"/>
  <c r="Q45" i="34" l="1"/>
  <c r="U45" s="1"/>
  <c r="W45" i="32" l="1"/>
  <c r="W45" i="34"/>
  <c r="W45" i="31"/>
  <c r="W45" i="30"/>
  <c r="W45" i="35"/>
  <c r="AF43"/>
  <c r="W45" i="29"/>
  <c r="W45" i="33"/>
  <c r="AA45" i="6" l="1"/>
  <c r="Q46" i="35"/>
  <c r="U46" s="1"/>
  <c r="Q46" i="34"/>
  <c r="U46" s="1"/>
  <c r="Q46" i="32"/>
  <c r="U46" s="1"/>
  <c r="V46" i="6"/>
  <c r="Q46" i="31"/>
  <c r="U46" s="1"/>
  <c r="Q46" i="33"/>
  <c r="U46" s="1"/>
  <c r="W46" i="34" l="1"/>
  <c r="AC46" i="1"/>
  <c r="W46" i="30"/>
  <c r="W46" i="33"/>
  <c r="W46" i="31"/>
  <c r="AB46" i="6"/>
  <c r="W46" i="32"/>
  <c r="W46" i="29"/>
  <c r="AF44" i="35"/>
  <c r="W46"/>
  <c r="W46" i="18"/>
  <c r="AE46" i="19"/>
  <c r="AM46" s="1"/>
  <c r="W46"/>
  <c r="AF46" i="28"/>
  <c r="W46"/>
  <c r="Q47" i="29"/>
  <c r="U47" s="1"/>
  <c r="V47" i="6"/>
  <c r="Q47" i="18"/>
  <c r="U47" s="1"/>
  <c r="X47" i="1"/>
  <c r="V47" s="1"/>
  <c r="Q47" i="35"/>
  <c r="U47" s="1"/>
  <c r="Q47" i="34"/>
  <c r="U47" s="1"/>
  <c r="Q47" i="19"/>
  <c r="U47" s="1"/>
  <c r="Q47" i="33"/>
  <c r="U47" s="1"/>
  <c r="Q47" i="32"/>
  <c r="U47" s="1"/>
  <c r="Q47" i="30"/>
  <c r="U47" s="1"/>
  <c r="Q47" i="31"/>
  <c r="U47" s="1"/>
  <c r="Q47" i="28"/>
  <c r="U47" s="1"/>
  <c r="AJ46" i="18" l="1"/>
  <c r="BB46"/>
  <c r="AO46" i="1"/>
  <c r="BJ46"/>
  <c r="AF47" i="28"/>
  <c r="W47"/>
  <c r="W47" i="31"/>
  <c r="W47" i="30"/>
  <c r="W47" i="32"/>
  <c r="W47" i="34"/>
  <c r="AO46" i="19"/>
  <c r="W47" i="33"/>
  <c r="AE47" i="19"/>
  <c r="AM47" s="1"/>
  <c r="W47"/>
  <c r="AF45" i="35"/>
  <c r="W47"/>
  <c r="AU47" i="1"/>
  <c r="AC47"/>
  <c r="W47" i="18"/>
  <c r="AM47"/>
  <c r="AB47" i="6"/>
  <c r="W47" i="29"/>
  <c r="AA46" i="6"/>
  <c r="Q48" i="32"/>
  <c r="U48" s="1"/>
  <c r="Q48" i="29"/>
  <c r="U48" s="1"/>
  <c r="Q48" i="33"/>
  <c r="U48" s="1"/>
  <c r="Q48" i="31"/>
  <c r="U48" s="1"/>
  <c r="Q48" i="34"/>
  <c r="U48" s="1"/>
  <c r="X48" i="1"/>
  <c r="V48" s="1"/>
  <c r="Q48" i="28"/>
  <c r="U48" s="1"/>
  <c r="Q48" i="30"/>
  <c r="U48" s="1"/>
  <c r="Q48" i="18"/>
  <c r="U48" s="1"/>
  <c r="Q48" i="19"/>
  <c r="U48" s="1"/>
  <c r="V48" i="6"/>
  <c r="Q48" i="35"/>
  <c r="U48" s="1"/>
  <c r="BE46" i="18" l="1"/>
  <c r="BF46" s="1"/>
  <c r="BM46" i="1"/>
  <c r="BN46" s="1"/>
  <c r="AF46" i="35"/>
  <c r="W48"/>
  <c r="AB48" i="6"/>
  <c r="AE48" i="19"/>
  <c r="AM48" s="1"/>
  <c r="W48"/>
  <c r="AF48" i="28"/>
  <c r="W48"/>
  <c r="AR48" i="1"/>
  <c r="AC48"/>
  <c r="W48" i="34"/>
  <c r="W48" i="31"/>
  <c r="W48" i="33"/>
  <c r="W48" i="32"/>
  <c r="AP47" i="19"/>
  <c r="AO47"/>
  <c r="AM48" i="18"/>
  <c r="W48"/>
  <c r="W48" i="30"/>
  <c r="W48" i="29"/>
  <c r="AA47" i="6"/>
  <c r="AP47" i="18"/>
  <c r="AO47"/>
  <c r="C447" i="23"/>
  <c r="Q49" i="33"/>
  <c r="U49" s="1"/>
  <c r="Q49" i="18"/>
  <c r="U49" s="1"/>
  <c r="Q49" i="32"/>
  <c r="U49" s="1"/>
  <c r="Q49" i="31"/>
  <c r="U49" s="1"/>
  <c r="Q49" i="28"/>
  <c r="U49" s="1"/>
  <c r="X49" i="1"/>
  <c r="V49" s="1"/>
  <c r="Q49" i="34"/>
  <c r="U49" s="1"/>
  <c r="V49" i="6"/>
  <c r="Q49" i="30"/>
  <c r="U49" s="1"/>
  <c r="Q49" i="35"/>
  <c r="U49" s="1"/>
  <c r="Q49" i="29"/>
  <c r="U49" s="1"/>
  <c r="Q49" i="19"/>
  <c r="U49" s="1"/>
  <c r="W49" i="30" l="1"/>
  <c r="AF49" i="28"/>
  <c r="W49"/>
  <c r="W49" i="31"/>
  <c r="W49" i="33"/>
  <c r="C448" i="23"/>
  <c r="AO48" i="18"/>
  <c r="AP48"/>
  <c r="AF47" i="35"/>
  <c r="W49"/>
  <c r="AB49" i="6"/>
  <c r="W49" i="19"/>
  <c r="AE49"/>
  <c r="AM49" s="1"/>
  <c r="W49" i="29"/>
  <c r="W49" i="34"/>
  <c r="AC49" i="1"/>
  <c r="AR49"/>
  <c r="W49" i="32"/>
  <c r="W49" i="18"/>
  <c r="AM49"/>
  <c r="AT47" i="1"/>
  <c r="B447" i="23"/>
  <c r="AO48" i="19"/>
  <c r="AP48"/>
  <c r="AA48" i="6"/>
  <c r="Q50" i="28"/>
  <c r="U50" s="1"/>
  <c r="Q50" i="18"/>
  <c r="U50" s="1"/>
  <c r="Q50" i="31"/>
  <c r="U50" s="1"/>
  <c r="V50" i="6"/>
  <c r="X50" i="1"/>
  <c r="V50" s="1"/>
  <c r="Q50" i="32"/>
  <c r="U50" s="1"/>
  <c r="Q50" i="30"/>
  <c r="U50" s="1"/>
  <c r="Q50" i="34"/>
  <c r="U50" s="1"/>
  <c r="Q50" i="35"/>
  <c r="U50" s="1"/>
  <c r="Q50" i="29"/>
  <c r="U50" s="1"/>
  <c r="Q50" i="19"/>
  <c r="U50" s="1"/>
  <c r="Q50" i="33"/>
  <c r="U50" s="1"/>
  <c r="W50" l="1"/>
  <c r="W50" i="19"/>
  <c r="AE50"/>
  <c r="AM50" s="1"/>
  <c r="W50" i="35"/>
  <c r="AF48"/>
  <c r="W50" i="34"/>
  <c r="AC50" i="1"/>
  <c r="AR50"/>
  <c r="AB50" i="6"/>
  <c r="W50" i="31"/>
  <c r="W50" i="18"/>
  <c r="AM50"/>
  <c r="AF50" i="28"/>
  <c r="W50"/>
  <c r="W50" i="29"/>
  <c r="W50" i="30"/>
  <c r="W50" i="32"/>
  <c r="B9" i="36"/>
  <c r="AP49" i="18"/>
  <c r="AO49"/>
  <c r="C449" i="23"/>
  <c r="AO49" i="19"/>
  <c r="AP49"/>
  <c r="AA49" i="6"/>
  <c r="B448" i="23"/>
  <c r="AU48" i="1"/>
  <c r="AT48"/>
  <c r="Q51" i="31"/>
  <c r="U51" s="1"/>
  <c r="Q51" i="18"/>
  <c r="U51" s="1"/>
  <c r="Q51" i="30"/>
  <c r="U51" s="1"/>
  <c r="Q51" i="35"/>
  <c r="U51" s="1"/>
  <c r="Q51" i="29"/>
  <c r="U51" s="1"/>
  <c r="V51" i="6"/>
  <c r="Q51" i="32"/>
  <c r="U51" s="1"/>
  <c r="Q51" i="34"/>
  <c r="U51" s="1"/>
  <c r="Q51" i="33"/>
  <c r="U51" s="1"/>
  <c r="Q51" i="28"/>
  <c r="U51" s="1"/>
  <c r="Q51" i="19"/>
  <c r="U51" s="1"/>
  <c r="X51" i="1"/>
  <c r="V51" s="1"/>
  <c r="W51" i="19" l="1"/>
  <c r="AE51"/>
  <c r="AM51" s="1"/>
  <c r="W51" i="33"/>
  <c r="W51" i="34"/>
  <c r="W51" i="32"/>
  <c r="AB51" i="6"/>
  <c r="W51" i="29"/>
  <c r="AF49" i="35"/>
  <c r="W51"/>
  <c r="W51" i="30"/>
  <c r="W51" i="31"/>
  <c r="AT49" i="1"/>
  <c r="B449" i="23"/>
  <c r="AU49" i="1"/>
  <c r="AO50" i="18"/>
  <c r="C450" i="23"/>
  <c r="AP50" i="18"/>
  <c r="AA50" i="6"/>
  <c r="AC51" i="1"/>
  <c r="AR51"/>
  <c r="AF51" i="28"/>
  <c r="W51"/>
  <c r="W51" i="18"/>
  <c r="AM51"/>
  <c r="B10" i="36"/>
  <c r="B13" i="39"/>
  <c r="B69" s="1"/>
  <c r="B57" i="36"/>
  <c r="B10" i="38"/>
  <c r="B60" s="1"/>
  <c r="AP50" i="19"/>
  <c r="AO50"/>
  <c r="Q52" i="33"/>
  <c r="U52" s="1"/>
  <c r="Q52" i="19"/>
  <c r="U52" s="1"/>
  <c r="Q52" i="31"/>
  <c r="U52" s="1"/>
  <c r="Q52" i="28"/>
  <c r="U52" s="1"/>
  <c r="Q52" i="29"/>
  <c r="U52" s="1"/>
  <c r="V52" i="6"/>
  <c r="Q52" i="34"/>
  <c r="U52" s="1"/>
  <c r="Q52" i="35"/>
  <c r="U52" s="1"/>
  <c r="Q52" i="18"/>
  <c r="U52" s="1"/>
  <c r="Q52" i="30"/>
  <c r="U52" s="1"/>
  <c r="Q52" i="32"/>
  <c r="U52" s="1"/>
  <c r="X52" i="1"/>
  <c r="V52" s="1"/>
  <c r="AR52" l="1"/>
  <c r="AC52"/>
  <c r="W52" i="32"/>
  <c r="W52" i="18"/>
  <c r="AM52"/>
  <c r="AF50" i="35"/>
  <c r="W52"/>
  <c r="W52" i="31"/>
  <c r="W52" i="33"/>
  <c r="B58" i="36"/>
  <c r="B11" i="38"/>
  <c r="B61" s="1"/>
  <c r="B14" i="39"/>
  <c r="B70" s="1"/>
  <c r="AU50" i="1"/>
  <c r="B450" i="23"/>
  <c r="AT50" i="1"/>
  <c r="AO51" i="19"/>
  <c r="AP51"/>
  <c r="W52" i="30"/>
  <c r="W52" i="34"/>
  <c r="AB52" i="6"/>
  <c r="W52" i="29"/>
  <c r="AF52" i="28"/>
  <c r="W52"/>
  <c r="W52" i="19"/>
  <c r="AE52"/>
  <c r="AM52" s="1"/>
  <c r="AP51" i="18"/>
  <c r="AO51"/>
  <c r="C451" i="23"/>
  <c r="B11" i="36"/>
  <c r="AA51" i="6"/>
  <c r="Q53" i="34"/>
  <c r="U53" s="1"/>
  <c r="Q53" i="31"/>
  <c r="U53" s="1"/>
  <c r="Q53" i="28"/>
  <c r="U53" s="1"/>
  <c r="X53" i="1"/>
  <c r="V53" s="1"/>
  <c r="Q53" i="30"/>
  <c r="U53" s="1"/>
  <c r="Q53" i="35"/>
  <c r="U53" s="1"/>
  <c r="Q53" i="18"/>
  <c r="U53" s="1"/>
  <c r="Q53" i="19"/>
  <c r="U53" s="1"/>
  <c r="Q53" i="33"/>
  <c r="U53" s="1"/>
  <c r="Q53" i="29"/>
  <c r="U53" s="1"/>
  <c r="V53" i="6"/>
  <c r="Q54" i="31"/>
  <c r="U54" s="1"/>
  <c r="Q54" i="33"/>
  <c r="U54" s="1"/>
  <c r="Q54" i="35"/>
  <c r="U54" s="1"/>
  <c r="X54" i="1"/>
  <c r="V54" s="1"/>
  <c r="V54" i="6"/>
  <c r="Q54" i="19"/>
  <c r="U54" s="1"/>
  <c r="Q54" i="32"/>
  <c r="U54" s="1"/>
  <c r="Q54" i="34"/>
  <c r="U54" s="1"/>
  <c r="Q54" i="29"/>
  <c r="U54" s="1"/>
  <c r="Q53" i="32"/>
  <c r="U53" s="1"/>
  <c r="Q54" i="30"/>
  <c r="U54" s="1"/>
  <c r="Q54" i="28"/>
  <c r="U54" s="1"/>
  <c r="Q54" i="18"/>
  <c r="U54" s="1"/>
  <c r="AF54" i="28" l="1"/>
  <c r="W54"/>
  <c r="W54" i="29"/>
  <c r="W54" i="34"/>
  <c r="AE54" i="19"/>
  <c r="AM54" s="1"/>
  <c r="W54"/>
  <c r="AB54" i="6"/>
  <c r="AR54" i="1"/>
  <c r="AC54"/>
  <c r="AF52" i="35"/>
  <c r="W54"/>
  <c r="W54" i="31"/>
  <c r="W53" i="29"/>
  <c r="W53" i="19"/>
  <c r="AE53"/>
  <c r="AM53" s="1"/>
  <c r="AF51" i="35"/>
  <c r="W53"/>
  <c r="AC53" i="1"/>
  <c r="AR53"/>
  <c r="W53" i="31"/>
  <c r="B15" i="39"/>
  <c r="B71" s="1"/>
  <c r="B12" i="38"/>
  <c r="B62" s="1"/>
  <c r="B59" i="36"/>
  <c r="AP52" i="19"/>
  <c r="AO52"/>
  <c r="B451" i="23"/>
  <c r="AU51" i="1"/>
  <c r="AT51"/>
  <c r="AM54" i="18"/>
  <c r="W54"/>
  <c r="W54" i="30"/>
  <c r="W53" i="32"/>
  <c r="W54"/>
  <c r="W54" i="33"/>
  <c r="AB53" i="6"/>
  <c r="W53" i="33"/>
  <c r="AM53" i="18"/>
  <c r="W53"/>
  <c r="W53" i="30"/>
  <c r="W53" i="28"/>
  <c r="AF53"/>
  <c r="W53" i="34"/>
  <c r="AA52" i="6"/>
  <c r="B12" i="36"/>
  <c r="C452" i="23"/>
  <c r="AP52" i="18"/>
  <c r="AO52"/>
  <c r="Q55" i="34"/>
  <c r="U55" s="1"/>
  <c r="Q55" i="29"/>
  <c r="U55" s="1"/>
  <c r="Q55" i="28"/>
  <c r="U55" s="1"/>
  <c r="Q55" i="35"/>
  <c r="U55" s="1"/>
  <c r="Q55" i="33"/>
  <c r="U55" s="1"/>
  <c r="Q55" i="19"/>
  <c r="U55" s="1"/>
  <c r="Q55" i="32"/>
  <c r="U55" s="1"/>
  <c r="V55" i="6"/>
  <c r="Q55" i="30"/>
  <c r="U55" s="1"/>
  <c r="Q55" i="18"/>
  <c r="U55" s="1"/>
  <c r="Q55" i="31"/>
  <c r="U55" s="1"/>
  <c r="X55" i="1"/>
  <c r="V55" s="1"/>
  <c r="AR55" l="1"/>
  <c r="AC55"/>
  <c r="AM55" i="18"/>
  <c r="W55"/>
  <c r="W55" i="30"/>
  <c r="W55" i="32"/>
  <c r="AE55" i="19"/>
  <c r="AM55" s="1"/>
  <c r="W55"/>
  <c r="AF53" i="35"/>
  <c r="W55"/>
  <c r="W55" i="29"/>
  <c r="B16" i="39"/>
  <c r="B72" s="1"/>
  <c r="B60" i="36"/>
  <c r="B13" i="38"/>
  <c r="B63" s="1"/>
  <c r="AP53" i="19"/>
  <c r="AO53"/>
  <c r="AA54" i="6"/>
  <c r="W55" i="31"/>
  <c r="AB55" i="6"/>
  <c r="W55" i="33"/>
  <c r="W55" i="28"/>
  <c r="AF55"/>
  <c r="W55" i="34"/>
  <c r="AO53" i="18"/>
  <c r="C453" i="23"/>
  <c r="AP53" i="18"/>
  <c r="AA53" i="6"/>
  <c r="AO54" i="18"/>
  <c r="C454" i="23"/>
  <c r="AP54" i="18"/>
  <c r="AT52" i="1"/>
  <c r="AU52"/>
  <c r="B452" i="23"/>
  <c r="B13" i="36"/>
  <c r="AO54" i="19"/>
  <c r="AP54"/>
  <c r="Q56" i="33"/>
  <c r="U56" s="1"/>
  <c r="Q56" i="18"/>
  <c r="U56" s="1"/>
  <c r="Q56" i="29"/>
  <c r="U56" s="1"/>
  <c r="Q56" i="28"/>
  <c r="U56" s="1"/>
  <c r="Q56" i="34"/>
  <c r="U56" s="1"/>
  <c r="Q56" i="32"/>
  <c r="U56" s="1"/>
  <c r="X56" i="1"/>
  <c r="V56" s="1"/>
  <c r="V56" i="6"/>
  <c r="Q56" i="30"/>
  <c r="U56" s="1"/>
  <c r="Q56" i="19"/>
  <c r="U56" s="1"/>
  <c r="Q56" i="35"/>
  <c r="U56" s="1"/>
  <c r="Q56" i="31"/>
  <c r="U56" s="1"/>
  <c r="W56" l="1"/>
  <c r="AE56" i="19"/>
  <c r="AM56" s="1"/>
  <c r="W56"/>
  <c r="AB56" i="6"/>
  <c r="W56" i="34"/>
  <c r="W56" i="29"/>
  <c r="W56" i="18"/>
  <c r="W56" i="33"/>
  <c r="B14" i="38"/>
  <c r="B64" s="1"/>
  <c r="B17" i="39"/>
  <c r="B73" s="1"/>
  <c r="B61" i="36"/>
  <c r="B14"/>
  <c r="AA55" i="6"/>
  <c r="AU54" i="1"/>
  <c r="B454" i="23"/>
  <c r="AT54" i="1"/>
  <c r="B453" i="23"/>
  <c r="AT53" i="1"/>
  <c r="AU53"/>
  <c r="AP55" i="18"/>
  <c r="C455" i="23"/>
  <c r="AO55" i="18"/>
  <c r="AF54" i="35"/>
  <c r="W56"/>
  <c r="W56" i="30"/>
  <c r="AR56" i="1"/>
  <c r="AC56"/>
  <c r="W56" i="32"/>
  <c r="AF56" i="28"/>
  <c r="W56"/>
  <c r="AP55" i="19"/>
  <c r="AO55"/>
  <c r="Q57" i="31"/>
  <c r="U57" s="1"/>
  <c r="Q57" i="34"/>
  <c r="U57" s="1"/>
  <c r="Q57" i="18"/>
  <c r="U57" s="1"/>
  <c r="V57" i="6"/>
  <c r="Q57" i="30"/>
  <c r="U57" s="1"/>
  <c r="X57" i="1"/>
  <c r="V57" s="1"/>
  <c r="Q57" i="33"/>
  <c r="U57" s="1"/>
  <c r="Q57" i="28"/>
  <c r="U57" s="1"/>
  <c r="Q57" i="35"/>
  <c r="U57" s="1"/>
  <c r="Q57" i="19"/>
  <c r="U57" s="1"/>
  <c r="Q57" i="32"/>
  <c r="U57" s="1"/>
  <c r="Q57" i="29"/>
  <c r="U57" s="1"/>
  <c r="W57" i="32" l="1"/>
  <c r="AF55" i="35"/>
  <c r="W57"/>
  <c r="W57" i="29"/>
  <c r="AE57" i="19"/>
  <c r="AM57" s="1"/>
  <c r="W57"/>
  <c r="AB57" i="6"/>
  <c r="W57" i="18"/>
  <c r="AM57"/>
  <c r="W57" i="34"/>
  <c r="W57" i="31"/>
  <c r="B15" i="36"/>
  <c r="B18" i="39"/>
  <c r="B74" s="1"/>
  <c r="B62" i="36"/>
  <c r="B15" i="38"/>
  <c r="B65" s="1"/>
  <c r="AF57" i="28"/>
  <c r="W57"/>
  <c r="W57" i="33"/>
  <c r="AC57" i="1"/>
  <c r="AR57"/>
  <c r="W57" i="30"/>
  <c r="B455" i="23"/>
  <c r="AU55" i="1"/>
  <c r="AT55"/>
  <c r="B16" i="36"/>
  <c r="AM56" i="18"/>
  <c r="AA56" i="6"/>
  <c r="AO56" i="19"/>
  <c r="AP56"/>
  <c r="Q58"/>
  <c r="U58" s="1"/>
  <c r="Q58" i="35"/>
  <c r="U58" s="1"/>
  <c r="Q58" i="30"/>
  <c r="U58" s="1"/>
  <c r="Q58" i="18"/>
  <c r="U58" s="1"/>
  <c r="Q58" i="33"/>
  <c r="U58" s="1"/>
  <c r="Q58" i="28"/>
  <c r="U58" s="1"/>
  <c r="Q58" i="34"/>
  <c r="U58" s="1"/>
  <c r="X58" i="1"/>
  <c r="V58" s="1"/>
  <c r="Q58" i="29"/>
  <c r="U58" s="1"/>
  <c r="V58" i="6"/>
  <c r="Q58" i="32"/>
  <c r="U58" s="1"/>
  <c r="Q58" i="31"/>
  <c r="U58" s="1"/>
  <c r="W58" i="29" l="1"/>
  <c r="W58" i="33"/>
  <c r="W58" i="30"/>
  <c r="AE58" i="19"/>
  <c r="AM58" s="1"/>
  <c r="W58"/>
  <c r="C456" i="23"/>
  <c r="AP56" i="18"/>
  <c r="AO56"/>
  <c r="B17" i="36"/>
  <c r="AP57" i="18"/>
  <c r="AO57"/>
  <c r="C457" i="23"/>
  <c r="AO57" i="19"/>
  <c r="AP57"/>
  <c r="W58" i="32"/>
  <c r="AB58" i="6"/>
  <c r="AC58" i="1"/>
  <c r="AR58"/>
  <c r="AM58" i="18"/>
  <c r="W58"/>
  <c r="AF56" i="35"/>
  <c r="W58"/>
  <c r="W58" i="31"/>
  <c r="W58" i="34"/>
  <c r="AF58" i="28"/>
  <c r="W58"/>
  <c r="B20" i="39"/>
  <c r="B76" s="1"/>
  <c r="B64" i="36"/>
  <c r="B17" i="38"/>
  <c r="B67" s="1"/>
  <c r="AU56" i="1"/>
  <c r="AT56"/>
  <c r="B456" i="23"/>
  <c r="B19" i="39"/>
  <c r="B75" s="1"/>
  <c r="B16" i="38"/>
  <c r="B66" s="1"/>
  <c r="B63" i="36"/>
  <c r="AA57" i="6"/>
  <c r="X59" i="1"/>
  <c r="V59" s="1"/>
  <c r="Q59" i="18"/>
  <c r="U59" s="1"/>
  <c r="Q59" i="31"/>
  <c r="U59" s="1"/>
  <c r="Q59" i="29"/>
  <c r="U59" s="1"/>
  <c r="Q59" i="34"/>
  <c r="U59" s="1"/>
  <c r="Q59" i="32"/>
  <c r="U59" s="1"/>
  <c r="Q59" i="19"/>
  <c r="U59" s="1"/>
  <c r="V59" i="6"/>
  <c r="Q59" i="30"/>
  <c r="U59" s="1"/>
  <c r="Q59" i="28"/>
  <c r="U59" s="1"/>
  <c r="Q59" i="35"/>
  <c r="U59" s="1"/>
  <c r="Q59" i="33"/>
  <c r="U59" s="1"/>
  <c r="W59" l="1"/>
  <c r="AF59" i="28"/>
  <c r="W59"/>
  <c r="W59" i="30"/>
  <c r="AB59" i="6"/>
  <c r="W59" i="31"/>
  <c r="W59" i="18"/>
  <c r="AM59"/>
  <c r="B18" i="36"/>
  <c r="AA58" i="6"/>
  <c r="B18" i="38"/>
  <c r="B68" s="1"/>
  <c r="B21" i="39"/>
  <c r="B77" s="1"/>
  <c r="B65" i="36"/>
  <c r="W59" i="35"/>
  <c r="AF57"/>
  <c r="AE59" i="19"/>
  <c r="AM59" s="1"/>
  <c r="W59"/>
  <c r="W59" i="32"/>
  <c r="W59" i="34"/>
  <c r="W59" i="29"/>
  <c r="AR59" i="1"/>
  <c r="AC59"/>
  <c r="AT57"/>
  <c r="AU57"/>
  <c r="B457" i="23"/>
  <c r="C458"/>
  <c r="AP58" i="18"/>
  <c r="AO58"/>
  <c r="AO58" i="19"/>
  <c r="AP58"/>
  <c r="Q60" i="28"/>
  <c r="U60" s="1"/>
  <c r="Q60" i="34"/>
  <c r="U60" s="1"/>
  <c r="V60" i="6"/>
  <c r="Q60" i="29"/>
  <c r="U60" s="1"/>
  <c r="Q60" i="35"/>
  <c r="U60" s="1"/>
  <c r="Q60" i="19"/>
  <c r="U60" s="1"/>
  <c r="Q60" i="32"/>
  <c r="U60" s="1"/>
  <c r="Q60" i="18"/>
  <c r="U60" s="1"/>
  <c r="Q60" i="31"/>
  <c r="U60" s="1"/>
  <c r="Q60" i="30"/>
  <c r="U60" s="1"/>
  <c r="Q60" i="33"/>
  <c r="U60" s="1"/>
  <c r="X60" i="1"/>
  <c r="V60" s="1"/>
  <c r="W60" i="33" l="1"/>
  <c r="AE60" i="19"/>
  <c r="AM60" s="1"/>
  <c r="W60"/>
  <c r="W60" i="29"/>
  <c r="AO59" i="19"/>
  <c r="AP59"/>
  <c r="AT58" i="1"/>
  <c r="AU58"/>
  <c r="B458" i="23"/>
  <c r="C459"/>
  <c r="AP59" i="18"/>
  <c r="AO59"/>
  <c r="AA59" i="6"/>
  <c r="AR60" i="1"/>
  <c r="AC60"/>
  <c r="W60" i="30"/>
  <c r="W60" i="31"/>
  <c r="AM60" i="18"/>
  <c r="W60"/>
  <c r="W60" i="32"/>
  <c r="W60" i="35"/>
  <c r="AF58"/>
  <c r="AB60" i="6"/>
  <c r="W60" i="34"/>
  <c r="W60" i="28"/>
  <c r="AF60"/>
  <c r="B19" i="36"/>
  <c r="B66"/>
  <c r="B19" i="38"/>
  <c r="B69" s="1"/>
  <c r="B22" i="39"/>
  <c r="B78" s="1"/>
  <c r="Q61" i="31"/>
  <c r="U61" s="1"/>
  <c r="Q61" i="32"/>
  <c r="U61" s="1"/>
  <c r="Q61" i="34"/>
  <c r="U61" s="1"/>
  <c r="Q61" i="18"/>
  <c r="U61" s="1"/>
  <c r="Q61" i="30"/>
  <c r="U61" s="1"/>
  <c r="X61" i="1"/>
  <c r="V61" s="1"/>
  <c r="Q61" i="33"/>
  <c r="U61" s="1"/>
  <c r="Q61" i="28"/>
  <c r="U61" s="1"/>
  <c r="Q61" i="35"/>
  <c r="U61" s="1"/>
  <c r="Q61" i="29"/>
  <c r="U61" s="1"/>
  <c r="V61" i="6"/>
  <c r="Q61" i="19"/>
  <c r="U61" s="1"/>
  <c r="AF61" i="28" l="1"/>
  <c r="W61"/>
  <c r="W61" i="33"/>
  <c r="W61" i="30"/>
  <c r="AA60" i="6"/>
  <c r="B20" i="36"/>
  <c r="AP60" i="19"/>
  <c r="AO60"/>
  <c r="W61"/>
  <c r="AE61"/>
  <c r="AM61" s="1"/>
  <c r="AB61" i="6"/>
  <c r="W61" i="29"/>
  <c r="W61" i="35"/>
  <c r="AF59"/>
  <c r="AR61" i="1"/>
  <c r="AC61"/>
  <c r="AM61" i="18"/>
  <c r="W61"/>
  <c r="W61" i="34"/>
  <c r="W61" i="32"/>
  <c r="W61" i="31"/>
  <c r="B459" i="23"/>
  <c r="AT59" i="1"/>
  <c r="AU59"/>
  <c r="B23" i="39"/>
  <c r="B79" s="1"/>
  <c r="B20" i="38"/>
  <c r="B70" s="1"/>
  <c r="B67" i="36"/>
  <c r="AO60" i="18"/>
  <c r="AP60"/>
  <c r="C460" i="23"/>
  <c r="Q62" i="19"/>
  <c r="U62" s="1"/>
  <c r="Q62" i="34"/>
  <c r="U62" s="1"/>
  <c r="Q62" i="18"/>
  <c r="U62" s="1"/>
  <c r="V62" i="6"/>
  <c r="Q62" i="28"/>
  <c r="U62" s="1"/>
  <c r="Q62" i="33"/>
  <c r="U62" s="1"/>
  <c r="Q62" i="35"/>
  <c r="U62" s="1"/>
  <c r="X62" i="1"/>
  <c r="V62" s="1"/>
  <c r="Q62" i="29"/>
  <c r="U62" s="1"/>
  <c r="Q62" i="31"/>
  <c r="U62" s="1"/>
  <c r="Q62" i="32"/>
  <c r="U62" s="1"/>
  <c r="Q62" i="30"/>
  <c r="U62" s="1"/>
  <c r="W62" l="1"/>
  <c r="AF60" i="35"/>
  <c r="W62"/>
  <c r="W62" i="32"/>
  <c r="W62" i="31"/>
  <c r="W62" i="29"/>
  <c r="W62" i="28"/>
  <c r="AF62"/>
  <c r="AT60" i="1"/>
  <c r="B460" i="23"/>
  <c r="AU60" i="1"/>
  <c r="AO61" i="18"/>
  <c r="C461" i="23"/>
  <c r="AP61" i="18"/>
  <c r="AA61" i="6"/>
  <c r="AR62" i="1"/>
  <c r="AC62"/>
  <c r="W62" i="33"/>
  <c r="AB62" i="6"/>
  <c r="AM62" i="18"/>
  <c r="W62"/>
  <c r="W62" i="34"/>
  <c r="W62" i="19"/>
  <c r="AE62"/>
  <c r="AM62" s="1"/>
  <c r="B21" i="36"/>
  <c r="AP61" i="19"/>
  <c r="AO61"/>
  <c r="B21" i="38"/>
  <c r="B71" s="1"/>
  <c r="B68" i="36"/>
  <c r="B24" i="39"/>
  <c r="B80" s="1"/>
  <c r="Q63" i="35"/>
  <c r="U63" s="1"/>
  <c r="Q63" i="33"/>
  <c r="U63" s="1"/>
  <c r="X63" i="1"/>
  <c r="V63" s="1"/>
  <c r="Q63" i="29"/>
  <c r="U63" s="1"/>
  <c r="Q63" i="34"/>
  <c r="U63" s="1"/>
  <c r="Q63" i="18"/>
  <c r="U63" s="1"/>
  <c r="Q63" i="32"/>
  <c r="U63" s="1"/>
  <c r="Q63" i="19"/>
  <c r="U63" s="1"/>
  <c r="V63" i="6"/>
  <c r="Q63" i="30"/>
  <c r="U63" s="1"/>
  <c r="Q63" i="28"/>
  <c r="U63" s="1"/>
  <c r="Q63" i="31"/>
  <c r="U63" s="1"/>
  <c r="W63" l="1"/>
  <c r="W63" i="30"/>
  <c r="AR63" i="1"/>
  <c r="AC63"/>
  <c r="W63" i="33"/>
  <c r="AO62" i="19"/>
  <c r="AP62"/>
  <c r="C462" i="23"/>
  <c r="AP62" i="18"/>
  <c r="AO62"/>
  <c r="B22" i="36"/>
  <c r="AF63" i="28"/>
  <c r="W63"/>
  <c r="AB63" i="6"/>
  <c r="AE63" i="19"/>
  <c r="AM63" s="1"/>
  <c r="W63"/>
  <c r="W63" i="32"/>
  <c r="AM63" i="18"/>
  <c r="W63"/>
  <c r="W63" i="34"/>
  <c r="W63" i="29"/>
  <c r="AF61" i="35"/>
  <c r="W63"/>
  <c r="B25" i="39"/>
  <c r="B81" s="1"/>
  <c r="B22" i="38"/>
  <c r="B72" s="1"/>
  <c r="B69" i="36"/>
  <c r="AA62" i="6"/>
  <c r="AU61" i="1"/>
  <c r="B461" i="23"/>
  <c r="AT61" i="1"/>
  <c r="Q64" i="19"/>
  <c r="U64" s="1"/>
  <c r="Q64" i="35"/>
  <c r="U64" s="1"/>
  <c r="Q64" i="33"/>
  <c r="U64" s="1"/>
  <c r="Q64" i="18"/>
  <c r="U64" s="1"/>
  <c r="Q64" i="31"/>
  <c r="U64" s="1"/>
  <c r="Q64" i="29"/>
  <c r="U64" s="1"/>
  <c r="Q64" i="28"/>
  <c r="U64" s="1"/>
  <c r="Q64" i="34"/>
  <c r="U64" s="1"/>
  <c r="Q64" i="32"/>
  <c r="U64" s="1"/>
  <c r="X64" i="1"/>
  <c r="V64" s="1"/>
  <c r="V64" i="6"/>
  <c r="AB64" s="1"/>
  <c r="Q64" i="30"/>
  <c r="U64" s="1"/>
  <c r="AA64" i="6" l="1"/>
  <c r="W64" i="28"/>
  <c r="W64" i="31"/>
  <c r="W64" i="33"/>
  <c r="W64" i="19"/>
  <c r="B23" i="36"/>
  <c r="AO63" i="18"/>
  <c r="AP63"/>
  <c r="C463" i="23"/>
  <c r="AO63" i="19"/>
  <c r="AP63"/>
  <c r="AA63" i="6"/>
  <c r="AT62" i="1"/>
  <c r="B462" i="23"/>
  <c r="AU62" i="1"/>
  <c r="W64" i="32"/>
  <c r="W64" i="30"/>
  <c r="AC64" i="1"/>
  <c r="AR64"/>
  <c r="W64" i="34"/>
  <c r="W64" i="29"/>
  <c r="AM64" i="18"/>
  <c r="W64"/>
  <c r="AF62" i="35"/>
  <c r="W64"/>
  <c r="B26" i="39"/>
  <c r="B82" s="1"/>
  <c r="B70" i="36"/>
  <c r="B23" i="38"/>
  <c r="B73" s="1"/>
  <c r="Q65" i="32"/>
  <c r="U65" s="1"/>
  <c r="Q65" i="18"/>
  <c r="U65" s="1"/>
  <c r="Q65" i="31"/>
  <c r="U65" s="1"/>
  <c r="X65" i="1"/>
  <c r="V65" s="1"/>
  <c r="Q65" i="33"/>
  <c r="U65" s="1"/>
  <c r="Q65" i="28"/>
  <c r="U65" s="1"/>
  <c r="Q65" i="30"/>
  <c r="U65" s="1"/>
  <c r="Q65" i="19"/>
  <c r="U65" s="1"/>
  <c r="V65" i="6"/>
  <c r="AB65" s="1"/>
  <c r="Q65" i="34"/>
  <c r="U65" s="1"/>
  <c r="Q65" i="29"/>
  <c r="U65" s="1"/>
  <c r="Q65" i="35"/>
  <c r="U65" s="1"/>
  <c r="AF63" l="1"/>
  <c r="W65"/>
  <c r="W65" i="34"/>
  <c r="W65" i="19"/>
  <c r="W65" i="28"/>
  <c r="AC65" i="1"/>
  <c r="AR65"/>
  <c r="W65" i="18"/>
  <c r="AM65"/>
  <c r="AU64" i="1"/>
  <c r="B464" i="23"/>
  <c r="B463"/>
  <c r="AT63" i="1"/>
  <c r="AU63"/>
  <c r="W65" i="29"/>
  <c r="AA65" i="6"/>
  <c r="W65" i="30"/>
  <c r="W65" i="33"/>
  <c r="W65" i="31"/>
  <c r="W65" i="32"/>
  <c r="C464" i="23"/>
  <c r="AP64" i="18"/>
  <c r="B24" i="36"/>
  <c r="B24" i="38"/>
  <c r="B74" s="1"/>
  <c r="B27" i="39"/>
  <c r="B83" s="1"/>
  <c r="B71" i="36"/>
  <c r="Q66" i="29"/>
  <c r="U66" s="1"/>
  <c r="Q66" i="19"/>
  <c r="U66" s="1"/>
  <c r="Q66" i="35"/>
  <c r="U66" s="1"/>
  <c r="Q66" i="30"/>
  <c r="U66" s="1"/>
  <c r="Q66" i="18"/>
  <c r="U66" s="1"/>
  <c r="Q66" i="31"/>
  <c r="U66" s="1"/>
  <c r="Q66" i="33"/>
  <c r="U66" s="1"/>
  <c r="Q66" i="28"/>
  <c r="U66" s="1"/>
  <c r="Q66" i="34"/>
  <c r="U66" s="1"/>
  <c r="X66" i="1"/>
  <c r="V66" s="1"/>
  <c r="V66" i="6"/>
  <c r="AB66" s="1"/>
  <c r="Q66" i="32"/>
  <c r="U66" s="1"/>
  <c r="AA66" i="6" l="1"/>
  <c r="W66" i="34"/>
  <c r="W66" i="33"/>
  <c r="W66" i="18"/>
  <c r="AM66"/>
  <c r="W66" i="35"/>
  <c r="W66" i="29"/>
  <c r="B25" i="36"/>
  <c r="W66" i="32"/>
  <c r="AC66" i="1"/>
  <c r="AR66"/>
  <c r="W66" i="28"/>
  <c r="W66" i="31"/>
  <c r="W66" i="30"/>
  <c r="W66" i="19"/>
  <c r="B72" i="36"/>
  <c r="B28" i="39"/>
  <c r="B84" s="1"/>
  <c r="B25" i="38"/>
  <c r="B75" s="1"/>
  <c r="C465" i="23"/>
  <c r="AP65" i="18"/>
  <c r="B465" i="23"/>
  <c r="AU65" i="1"/>
  <c r="Q67" i="19"/>
  <c r="U67" s="1"/>
  <c r="Q67" i="30"/>
  <c r="U67" s="1"/>
  <c r="Q67" i="35"/>
  <c r="U67" s="1"/>
  <c r="Q67" i="31"/>
  <c r="U67" s="1"/>
  <c r="X67" i="1"/>
  <c r="V67" s="1"/>
  <c r="Q67" i="29"/>
  <c r="U67" s="1"/>
  <c r="Q67" i="34"/>
  <c r="U67" s="1"/>
  <c r="Q67" i="18"/>
  <c r="U67" s="1"/>
  <c r="Q67" i="32"/>
  <c r="U67" s="1"/>
  <c r="V67" i="6"/>
  <c r="AB67" s="1"/>
  <c r="Q67" i="28"/>
  <c r="U67" s="1"/>
  <c r="Q67" i="33"/>
  <c r="U67" s="1"/>
  <c r="W67" l="1"/>
  <c r="AA67" i="6"/>
  <c r="AM67" i="18"/>
  <c r="W67"/>
  <c r="W67" i="29"/>
  <c r="W67" i="31"/>
  <c r="W67" i="30"/>
  <c r="B26" i="38"/>
  <c r="B76" s="1"/>
  <c r="B29" i="39"/>
  <c r="B85" s="1"/>
  <c r="B73" i="36"/>
  <c r="W67" i="28"/>
  <c r="W67" i="32"/>
  <c r="W67" i="34"/>
  <c r="AR67" i="1"/>
  <c r="AC67"/>
  <c r="W67" i="35"/>
  <c r="W67" i="19"/>
  <c r="B466" i="23"/>
  <c r="AU66" i="1"/>
  <c r="C466" i="23"/>
  <c r="AP66" i="18"/>
  <c r="Q68" i="34"/>
  <c r="U68" s="1"/>
  <c r="V68" i="6"/>
  <c r="AB68" s="1"/>
  <c r="Q68" i="29"/>
  <c r="U68" s="1"/>
  <c r="Q68" i="35"/>
  <c r="U68" s="1"/>
  <c r="Q68" i="19"/>
  <c r="U68" s="1"/>
  <c r="Q68" i="32"/>
  <c r="U68" s="1"/>
  <c r="Q68" i="18"/>
  <c r="U68" s="1"/>
  <c r="Q68" i="31"/>
  <c r="U68" s="1"/>
  <c r="Q68" i="30"/>
  <c r="U68" s="1"/>
  <c r="Q68" i="28"/>
  <c r="U68" s="1"/>
  <c r="Q68" i="33"/>
  <c r="U68" s="1"/>
  <c r="X68" i="1"/>
  <c r="V68" s="1"/>
  <c r="W68" i="30" l="1"/>
  <c r="W68" i="18"/>
  <c r="AM68"/>
  <c r="W68" i="19"/>
  <c r="W68" i="29"/>
  <c r="W68" i="34"/>
  <c r="C467" i="23"/>
  <c r="AP67" i="18"/>
  <c r="W68" i="33"/>
  <c r="AC68" i="1"/>
  <c r="AR68"/>
  <c r="W68" i="28"/>
  <c r="W68" i="31"/>
  <c r="W68" i="32"/>
  <c r="W68" i="35"/>
  <c r="AA68" i="6"/>
  <c r="AU67" i="1"/>
  <c r="B467" i="23"/>
  <c r="Q69" i="33"/>
  <c r="U69" s="1"/>
  <c r="Q69" i="35"/>
  <c r="U69" s="1"/>
  <c r="Q69" i="31"/>
  <c r="U69" s="1"/>
  <c r="Q69" i="32"/>
  <c r="U69" s="1"/>
  <c r="Q69" i="34"/>
  <c r="U69" s="1"/>
  <c r="Q69" i="18"/>
  <c r="U69" s="1"/>
  <c r="Q69" i="30"/>
  <c r="U69" s="1"/>
  <c r="Q69" i="19"/>
  <c r="U69" s="1"/>
  <c r="V69" i="6"/>
  <c r="AB69" s="1"/>
  <c r="Q69" i="28"/>
  <c r="U69" s="1"/>
  <c r="Q69" i="29"/>
  <c r="U69" s="1"/>
  <c r="X69" i="1"/>
  <c r="V69" s="1"/>
  <c r="W69" i="29" l="1"/>
  <c r="AA69" i="6"/>
  <c r="W69" i="30"/>
  <c r="W69" i="34"/>
  <c r="W69" i="31"/>
  <c r="W69" i="33"/>
  <c r="AR69" i="1"/>
  <c r="AC69"/>
  <c r="W69" i="28"/>
  <c r="W69" i="19"/>
  <c r="AM69" i="18"/>
  <c r="W69"/>
  <c r="W69" i="32"/>
  <c r="W69" i="35"/>
  <c r="B468" i="23"/>
  <c r="AU68" i="1"/>
  <c r="AP68" i="18"/>
  <c r="C468" i="23"/>
  <c r="Q70" i="33"/>
  <c r="U70" s="1"/>
  <c r="X70" i="1"/>
  <c r="V70" s="1"/>
  <c r="Q70" i="29"/>
  <c r="U70" s="1"/>
  <c r="Q70" i="19"/>
  <c r="U70" s="1"/>
  <c r="Q70" i="32"/>
  <c r="U70" s="1"/>
  <c r="Q70" i="34"/>
  <c r="U70" s="1"/>
  <c r="Q70" i="18"/>
  <c r="U70" s="1"/>
  <c r="Q70" i="30"/>
  <c r="U70" s="1"/>
  <c r="V70" i="6"/>
  <c r="AB70" s="1"/>
  <c r="Q70" i="28"/>
  <c r="U70" s="1"/>
  <c r="Q70" i="35"/>
  <c r="U70" s="1"/>
  <c r="Q70" i="31"/>
  <c r="U70" s="1"/>
  <c r="W70" i="35" l="1"/>
  <c r="AA70" i="6"/>
  <c r="AM70" i="18"/>
  <c r="W70"/>
  <c r="W70" i="32"/>
  <c r="W70" i="29"/>
  <c r="W70" i="33"/>
  <c r="C469" i="23"/>
  <c r="AP69" i="18"/>
  <c r="B469" i="23"/>
  <c r="AU69" i="1"/>
  <c r="W70" i="31"/>
  <c r="W70" i="28"/>
  <c r="W70" i="30"/>
  <c r="W70" i="34"/>
  <c r="W70" i="19"/>
  <c r="AC70" i="1"/>
  <c r="AR70"/>
  <c r="Q71" i="18"/>
  <c r="U71" s="1"/>
  <c r="Q71" i="19"/>
  <c r="U71" s="1"/>
  <c r="Q71" i="30"/>
  <c r="U71" s="1"/>
  <c r="Q71" i="34"/>
  <c r="U71" s="1"/>
  <c r="Q71" i="32"/>
  <c r="U71" s="1"/>
  <c r="V71" i="6"/>
  <c r="AB71" s="1"/>
  <c r="Q71" i="28"/>
  <c r="U71" s="1"/>
  <c r="Q71" i="35"/>
  <c r="U71" s="1"/>
  <c r="Q71" i="33"/>
  <c r="U71" s="1"/>
  <c r="Q71" i="31"/>
  <c r="U71" s="1"/>
  <c r="X71" i="1"/>
  <c r="V71" s="1"/>
  <c r="Q71" i="29"/>
  <c r="U71" s="1"/>
  <c r="W71" l="1"/>
  <c r="W71" i="35"/>
  <c r="W71" i="34"/>
  <c r="AC71" i="1"/>
  <c r="AR71"/>
  <c r="W71" i="33"/>
  <c r="W71" i="28"/>
  <c r="W71" i="32"/>
  <c r="W71" i="30"/>
  <c r="W71" i="18"/>
  <c r="AM71"/>
  <c r="W71" i="31"/>
  <c r="AA71" i="6"/>
  <c r="W71" i="19"/>
  <c r="AU70" i="1"/>
  <c r="B470" i="23"/>
  <c r="C470"/>
  <c r="AP70" i="18"/>
  <c r="V72" i="6"/>
  <c r="AB72" s="1"/>
  <c r="Q72" i="28"/>
  <c r="U72" s="1"/>
  <c r="Q72" i="33"/>
  <c r="U72" s="1"/>
  <c r="Q72" i="19"/>
  <c r="U72" s="1"/>
  <c r="Q72" i="32"/>
  <c r="U72" s="1"/>
  <c r="Q72" i="30"/>
  <c r="U72" s="1"/>
  <c r="Q72" i="31"/>
  <c r="U72" s="1"/>
  <c r="Q72" i="35"/>
  <c r="U72" s="1"/>
  <c r="Q72" i="18"/>
  <c r="U72" s="1"/>
  <c r="Q72" i="34"/>
  <c r="U72" s="1"/>
  <c r="X72" i="1"/>
  <c r="V72" s="1"/>
  <c r="Q72" i="29"/>
  <c r="U72" s="1"/>
  <c r="AM72" i="18" l="1"/>
  <c r="W72"/>
  <c r="W72" i="29"/>
  <c r="W72" i="34"/>
  <c r="W72" i="35"/>
  <c r="W72" i="30"/>
  <c r="W72" i="19"/>
  <c r="W72" i="28"/>
  <c r="AC72" i="1"/>
  <c r="AR72"/>
  <c r="W72" i="31"/>
  <c r="W72" i="32"/>
  <c r="W72" i="33"/>
  <c r="AA72" i="6"/>
  <c r="AP71" i="18"/>
  <c r="C471" i="23"/>
  <c r="AU71" i="1"/>
  <c r="B471" i="23"/>
  <c r="Q73" i="31"/>
  <c r="U73" s="1"/>
  <c r="Q73" i="29"/>
  <c r="U73" s="1"/>
  <c r="Q73" i="30"/>
  <c r="U73" s="1"/>
  <c r="V73" i="6"/>
  <c r="AB73" s="1"/>
  <c r="Q73" i="33"/>
  <c r="U73" s="1"/>
  <c r="Q73" i="28"/>
  <c r="U73" s="1"/>
  <c r="Q73" i="35"/>
  <c r="U73" s="1"/>
  <c r="Q73" i="34"/>
  <c r="U73" s="1"/>
  <c r="X73" i="1"/>
  <c r="V73" s="1"/>
  <c r="Q73" i="32"/>
  <c r="U73" s="1"/>
  <c r="Q73" i="18"/>
  <c r="U73" s="1"/>
  <c r="Q73" i="19"/>
  <c r="U73" s="1"/>
  <c r="W73" i="18" l="1"/>
  <c r="AM73"/>
  <c r="W73" i="19"/>
  <c r="W73" i="32"/>
  <c r="W73" i="34"/>
  <c r="W73" i="28"/>
  <c r="AA73" i="6"/>
  <c r="W73" i="29"/>
  <c r="C472" i="23"/>
  <c r="AP72" i="18"/>
  <c r="AC73" i="1"/>
  <c r="AR73"/>
  <c r="W73" i="35"/>
  <c r="W73" i="33"/>
  <c r="W73" i="30"/>
  <c r="W73" i="31"/>
  <c r="B472" i="23"/>
  <c r="AU72" i="1"/>
  <c r="AU73" l="1"/>
  <c r="B473" i="23"/>
  <c r="C473"/>
  <c r="AP73" i="18"/>
  <c r="X604" i="23" l="1"/>
  <c r="I604" s="1"/>
  <c r="X603"/>
  <c r="I603" s="1"/>
  <c r="I124" l="1"/>
  <c r="I44" s="1"/>
  <c r="Q603"/>
  <c r="Q604"/>
  <c r="Q97" i="39" l="1"/>
  <c r="V57" i="41"/>
  <c r="Q96" i="39"/>
  <c r="Q152" l="1"/>
  <c r="Y57" i="41"/>
  <c r="X57"/>
  <c r="Q153" i="39"/>
  <c r="R153" s="1"/>
  <c r="R97"/>
  <c r="X605" i="23"/>
  <c r="I605" s="1"/>
  <c r="U38" i="39" l="1"/>
  <c r="V5" i="41"/>
  <c r="X606" i="23"/>
  <c r="I606" s="1"/>
  <c r="X607"/>
  <c r="I607" s="1"/>
  <c r="Q84" i="36" l="1"/>
  <c r="Q83"/>
  <c r="Q605" i="23"/>
  <c r="Y5" i="41"/>
  <c r="X5"/>
  <c r="Q98" i="39"/>
  <c r="X608" i="23"/>
  <c r="I608" s="1"/>
  <c r="Q606" l="1"/>
  <c r="Q85" i="36"/>
  <c r="Q154" i="39"/>
  <c r="Q88" i="38"/>
  <c r="Q100" i="39"/>
  <c r="Q135" i="36"/>
  <c r="AG8" i="38"/>
  <c r="Q99" i="39"/>
  <c r="Q134" i="36"/>
  <c r="Q87" i="38"/>
  <c r="Y604" i="23"/>
  <c r="J604" s="1"/>
  <c r="J124" s="1"/>
  <c r="J44" s="1"/>
  <c r="V604"/>
  <c r="G604" s="1"/>
  <c r="G124" s="1"/>
  <c r="G44" s="1"/>
  <c r="T604"/>
  <c r="E604" s="1"/>
  <c r="E124" s="1"/>
  <c r="E44" s="1"/>
  <c r="Y603"/>
  <c r="J603" s="1"/>
  <c r="V603"/>
  <c r="T603"/>
  <c r="E603" s="1"/>
  <c r="Z604"/>
  <c r="K604" s="1"/>
  <c r="K124" s="1"/>
  <c r="K44" s="1"/>
  <c r="W604"/>
  <c r="H604" s="1"/>
  <c r="H124" s="1"/>
  <c r="H44" s="1"/>
  <c r="U604"/>
  <c r="F604" s="1"/>
  <c r="F124" s="1"/>
  <c r="F44" s="1"/>
  <c r="Z603"/>
  <c r="K603" s="1"/>
  <c r="W603"/>
  <c r="H603" s="1"/>
  <c r="U603"/>
  <c r="F603" s="1"/>
  <c r="AB604"/>
  <c r="M604" s="1"/>
  <c r="M124" s="1"/>
  <c r="M44" s="1"/>
  <c r="S604"/>
  <c r="D604" s="1"/>
  <c r="D124" s="1"/>
  <c r="D44" s="1"/>
  <c r="AB603"/>
  <c r="S603"/>
  <c r="AA604"/>
  <c r="L604" s="1"/>
  <c r="L124" s="1"/>
  <c r="L44" s="1"/>
  <c r="AA603"/>
  <c r="Z606"/>
  <c r="K606" s="1"/>
  <c r="W607"/>
  <c r="H607" s="1"/>
  <c r="V606"/>
  <c r="G606" s="1"/>
  <c r="W605"/>
  <c r="H605" s="1"/>
  <c r="U605"/>
  <c r="F605" s="1"/>
  <c r="X609"/>
  <c r="I609" s="1"/>
  <c r="Y606"/>
  <c r="J606" s="1"/>
  <c r="V605"/>
  <c r="G605" s="1"/>
  <c r="T605"/>
  <c r="E605" s="1"/>
  <c r="Z605"/>
  <c r="K605" s="1"/>
  <c r="T606"/>
  <c r="E606" s="1"/>
  <c r="Y605"/>
  <c r="J605" s="1"/>
  <c r="AA605"/>
  <c r="AB605"/>
  <c r="S605"/>
  <c r="AB606"/>
  <c r="Q608" l="1"/>
  <c r="G603"/>
  <c r="R605"/>
  <c r="BG605"/>
  <c r="AC605" s="1"/>
  <c r="Q607"/>
  <c r="Q137" i="38"/>
  <c r="Q155" i="39"/>
  <c r="Q138" i="38"/>
  <c r="Q101" i="39"/>
  <c r="Q136" i="36"/>
  <c r="Q89" i="38"/>
  <c r="R603" i="23"/>
  <c r="BG603"/>
  <c r="AC603" s="1"/>
  <c r="R604"/>
  <c r="C604" s="1"/>
  <c r="BG604"/>
  <c r="AC604" s="1"/>
  <c r="Q86" i="36"/>
  <c r="Q156" i="39"/>
  <c r="W608" i="23"/>
  <c r="H608" s="1"/>
  <c r="V607"/>
  <c r="G607" s="1"/>
  <c r="X610"/>
  <c r="I610" s="1"/>
  <c r="Z607"/>
  <c r="K607" s="1"/>
  <c r="Y608"/>
  <c r="J608" s="1"/>
  <c r="U608"/>
  <c r="F608" s="1"/>
  <c r="T607"/>
  <c r="E607" s="1"/>
  <c r="W606"/>
  <c r="H606" s="1"/>
  <c r="U606"/>
  <c r="F606" s="1"/>
  <c r="U607"/>
  <c r="F607" s="1"/>
  <c r="Z608"/>
  <c r="K608" s="1"/>
  <c r="Y607"/>
  <c r="J607" s="1"/>
  <c r="T608"/>
  <c r="E608" s="1"/>
  <c r="V608"/>
  <c r="G608" s="1"/>
  <c r="S606"/>
  <c r="AA606"/>
  <c r="R607" l="1"/>
  <c r="Q87" i="36"/>
  <c r="Q609" i="23"/>
  <c r="Q139" i="38"/>
  <c r="Q157" i="39"/>
  <c r="Q102"/>
  <c r="Q90" i="38"/>
  <c r="Q137" i="36"/>
  <c r="C124" i="23"/>
  <c r="R606"/>
  <c r="BG606"/>
  <c r="AC606" s="1"/>
  <c r="Z609"/>
  <c r="K609" s="1"/>
  <c r="T609"/>
  <c r="E609" s="1"/>
  <c r="V609"/>
  <c r="G609" s="1"/>
  <c r="AB607"/>
  <c r="X611"/>
  <c r="I611" s="1"/>
  <c r="W609"/>
  <c r="H609" s="1"/>
  <c r="Y609"/>
  <c r="J609" s="1"/>
  <c r="U609"/>
  <c r="F609" s="1"/>
  <c r="AA607"/>
  <c r="Q88" i="36" l="1"/>
  <c r="S607" i="23"/>
  <c r="BG607"/>
  <c r="AC607" s="1"/>
  <c r="Q610"/>
  <c r="Q158" i="39"/>
  <c r="Q91" i="38"/>
  <c r="Q138" i="36"/>
  <c r="Q103" i="39"/>
  <c r="C44" i="23"/>
  <c r="Q140" i="38"/>
  <c r="X612" i="23"/>
  <c r="I612" s="1"/>
  <c r="W610"/>
  <c r="H610" s="1"/>
  <c r="Y610"/>
  <c r="J610" s="1"/>
  <c r="AB608"/>
  <c r="U610"/>
  <c r="F610" s="1"/>
  <c r="T610"/>
  <c r="E610" s="1"/>
  <c r="V610"/>
  <c r="G610" s="1"/>
  <c r="Z610"/>
  <c r="K610" s="1"/>
  <c r="AA608"/>
  <c r="S608"/>
  <c r="R608" l="1"/>
  <c r="BG608"/>
  <c r="AC608" s="1"/>
  <c r="Q89" i="36"/>
  <c r="Q159" i="39"/>
  <c r="Q141" i="38"/>
  <c r="Q104" i="39"/>
  <c r="Q92" i="38"/>
  <c r="Q139" i="36"/>
  <c r="Q611" i="23"/>
  <c r="Z611"/>
  <c r="K611" s="1"/>
  <c r="V611"/>
  <c r="G611" s="1"/>
  <c r="T611"/>
  <c r="E611" s="1"/>
  <c r="AB609"/>
  <c r="S609"/>
  <c r="X613"/>
  <c r="I613" s="1"/>
  <c r="Y611"/>
  <c r="J611" s="1"/>
  <c r="W611"/>
  <c r="H611" s="1"/>
  <c r="U611"/>
  <c r="F611" s="1"/>
  <c r="AA609"/>
  <c r="R609" l="1"/>
  <c r="BG609"/>
  <c r="AC609" s="1"/>
  <c r="Q90" i="36"/>
  <c r="Q612" i="23"/>
  <c r="Q160" i="39"/>
  <c r="Q105"/>
  <c r="Q140" i="36"/>
  <c r="Q93" i="38"/>
  <c r="Q142"/>
  <c r="X614" i="23"/>
  <c r="I614" s="1"/>
  <c r="U612"/>
  <c r="F612" s="1"/>
  <c r="Y612"/>
  <c r="J612" s="1"/>
  <c r="AB610"/>
  <c r="W612"/>
  <c r="H612" s="1"/>
  <c r="Z612"/>
  <c r="K612" s="1"/>
  <c r="T612"/>
  <c r="E612" s="1"/>
  <c r="V612"/>
  <c r="G612" s="1"/>
  <c r="S610"/>
  <c r="AA610"/>
  <c r="R610" l="1"/>
  <c r="BG610"/>
  <c r="AC610" s="1"/>
  <c r="Q91" i="36"/>
  <c r="Q613" i="23"/>
  <c r="Q143" i="38"/>
  <c r="Q161" i="39"/>
  <c r="Q94" i="38"/>
  <c r="Q106" i="39"/>
  <c r="Q141" i="36"/>
  <c r="T613" i="23"/>
  <c r="E613" s="1"/>
  <c r="Z613"/>
  <c r="K613" s="1"/>
  <c r="V613"/>
  <c r="G613" s="1"/>
  <c r="X615"/>
  <c r="I615" s="1"/>
  <c r="U613"/>
  <c r="F613" s="1"/>
  <c r="W613"/>
  <c r="H613" s="1"/>
  <c r="Y613"/>
  <c r="J613" s="1"/>
  <c r="AB611"/>
  <c r="S611"/>
  <c r="AA611"/>
  <c r="R611" l="1"/>
  <c r="BG611"/>
  <c r="AC611" s="1"/>
  <c r="Q92" i="36"/>
  <c r="Q144" i="38"/>
  <c r="Q107" i="39"/>
  <c r="Q95" i="38"/>
  <c r="Q142" i="36"/>
  <c r="Q614" i="23"/>
  <c r="Q162" i="39"/>
  <c r="T614" i="23"/>
  <c r="E614" s="1"/>
  <c r="X616"/>
  <c r="I616" s="1"/>
  <c r="U614"/>
  <c r="F614" s="1"/>
  <c r="W614"/>
  <c r="H614" s="1"/>
  <c r="Y614"/>
  <c r="J614" s="1"/>
  <c r="Z614"/>
  <c r="K614" s="1"/>
  <c r="V614"/>
  <c r="G614" s="1"/>
  <c r="S612"/>
  <c r="AA612"/>
  <c r="AB612"/>
  <c r="Q616" l="1"/>
  <c r="R612"/>
  <c r="BG612"/>
  <c r="AC612" s="1"/>
  <c r="Q615"/>
  <c r="Q163" i="39"/>
  <c r="Q108"/>
  <c r="Q96" i="38"/>
  <c r="Q143" i="36"/>
  <c r="Q93"/>
  <c r="Q145" i="38"/>
  <c r="W615" i="23"/>
  <c r="H615" s="1"/>
  <c r="Z615"/>
  <c r="K615" s="1"/>
  <c r="T615"/>
  <c r="E615" s="1"/>
  <c r="V615"/>
  <c r="G615" s="1"/>
  <c r="X617"/>
  <c r="I617" s="1"/>
  <c r="U615"/>
  <c r="F615" s="1"/>
  <c r="Y615"/>
  <c r="J615" s="1"/>
  <c r="AB613"/>
  <c r="S613"/>
  <c r="AA613"/>
  <c r="Q617" l="1"/>
  <c r="Q94" i="36"/>
  <c r="R613" i="23"/>
  <c r="BG613"/>
  <c r="AC613" s="1"/>
  <c r="Q97" i="38"/>
  <c r="Q109" i="39"/>
  <c r="Q144" i="36"/>
  <c r="Q146" i="38"/>
  <c r="Q164" i="39"/>
  <c r="U616" i="23"/>
  <c r="F616" s="1"/>
  <c r="X618"/>
  <c r="I618" s="1"/>
  <c r="W616"/>
  <c r="H616" s="1"/>
  <c r="Y616"/>
  <c r="J616" s="1"/>
  <c r="T616"/>
  <c r="E616" s="1"/>
  <c r="Z616"/>
  <c r="K616" s="1"/>
  <c r="V616"/>
  <c r="G616" s="1"/>
  <c r="AB614"/>
  <c r="AA614"/>
  <c r="S614"/>
  <c r="Q95" i="36" l="1"/>
  <c r="R614" i="23"/>
  <c r="BG614"/>
  <c r="AC614" s="1"/>
  <c r="Q147" i="38"/>
  <c r="Q110" i="39"/>
  <c r="Q98" i="38"/>
  <c r="Q145" i="36"/>
  <c r="Q165" i="39"/>
  <c r="Z617" i="23"/>
  <c r="K617" s="1"/>
  <c r="V617"/>
  <c r="G617" s="1"/>
  <c r="T617"/>
  <c r="E617" s="1"/>
  <c r="AB615"/>
  <c r="X619"/>
  <c r="I619" s="1"/>
  <c r="U617"/>
  <c r="F617" s="1"/>
  <c r="W617"/>
  <c r="H617" s="1"/>
  <c r="Y617"/>
  <c r="J617" s="1"/>
  <c r="S615"/>
  <c r="AA615"/>
  <c r="R615" l="1"/>
  <c r="BG615"/>
  <c r="AC615" s="1"/>
  <c r="Q96" i="36"/>
  <c r="Q148" i="38"/>
  <c r="Q111" i="39"/>
  <c r="Q146" i="36"/>
  <c r="Q99" i="38"/>
  <c r="Q619" i="23"/>
  <c r="Q618"/>
  <c r="Q166" i="39"/>
  <c r="X620" i="23"/>
  <c r="I620" s="1"/>
  <c r="U618"/>
  <c r="F618" s="1"/>
  <c r="W618"/>
  <c r="H618" s="1"/>
  <c r="Y618"/>
  <c r="J618" s="1"/>
  <c r="Z618"/>
  <c r="K618" s="1"/>
  <c r="V618"/>
  <c r="G618" s="1"/>
  <c r="T618"/>
  <c r="E618" s="1"/>
  <c r="S616"/>
  <c r="AA616"/>
  <c r="AB616"/>
  <c r="R616" l="1"/>
  <c r="BG616"/>
  <c r="AC616" s="1"/>
  <c r="Q97" i="36"/>
  <c r="Q149" i="38"/>
  <c r="Q167" i="39"/>
  <c r="Q147" i="36"/>
  <c r="Q112" i="39"/>
  <c r="Q100" i="38"/>
  <c r="X621" i="23"/>
  <c r="I621" s="1"/>
  <c r="U619"/>
  <c r="F619" s="1"/>
  <c r="Y619"/>
  <c r="J619" s="1"/>
  <c r="W619"/>
  <c r="H619" s="1"/>
  <c r="T619"/>
  <c r="E619" s="1"/>
  <c r="Z619"/>
  <c r="K619" s="1"/>
  <c r="V619"/>
  <c r="G619" s="1"/>
  <c r="AA617"/>
  <c r="AB617"/>
  <c r="S617"/>
  <c r="Q98" i="36" l="1"/>
  <c r="Q621" i="23"/>
  <c r="R617"/>
  <c r="BG617"/>
  <c r="AC617" s="1"/>
  <c r="Q620"/>
  <c r="Q150" i="38"/>
  <c r="Q101"/>
  <c r="Q148" i="36"/>
  <c r="Q113" i="39"/>
  <c r="Q168"/>
  <c r="U620" i="23"/>
  <c r="F620" s="1"/>
  <c r="W620"/>
  <c r="H620" s="1"/>
  <c r="Z620"/>
  <c r="K620" s="1"/>
  <c r="T620"/>
  <c r="E620" s="1"/>
  <c r="V620"/>
  <c r="G620" s="1"/>
  <c r="X622"/>
  <c r="I622" s="1"/>
  <c r="Y620"/>
  <c r="J620" s="1"/>
  <c r="AB618"/>
  <c r="S618"/>
  <c r="AA618"/>
  <c r="R618" l="1"/>
  <c r="BG618"/>
  <c r="AC618" s="1"/>
  <c r="Q102" i="38"/>
  <c r="Q114" i="39"/>
  <c r="Q149" i="36"/>
  <c r="Q99"/>
  <c r="Q169" i="39"/>
  <c r="Q151" i="38"/>
  <c r="Z621" i="23"/>
  <c r="K621" s="1"/>
  <c r="V621"/>
  <c r="G621" s="1"/>
  <c r="T621"/>
  <c r="E621" s="1"/>
  <c r="X623"/>
  <c r="I623" s="1"/>
  <c r="Y621"/>
  <c r="J621" s="1"/>
  <c r="U621"/>
  <c r="F621" s="1"/>
  <c r="W621"/>
  <c r="H621" s="1"/>
  <c r="S619"/>
  <c r="AB619"/>
  <c r="AA619"/>
  <c r="R619" l="1"/>
  <c r="BG619"/>
  <c r="AC619" s="1"/>
  <c r="Q100" i="36"/>
  <c r="Q170" i="39"/>
  <c r="Q622" i="23"/>
  <c r="Q150" i="36"/>
  <c r="Q103" i="38"/>
  <c r="Q115" i="39"/>
  <c r="Q152" i="38"/>
  <c r="X625" i="23"/>
  <c r="I625" s="1"/>
  <c r="Z622"/>
  <c r="K622" s="1"/>
  <c r="X624"/>
  <c r="I624" s="1"/>
  <c r="V622"/>
  <c r="G622" s="1"/>
  <c r="T622"/>
  <c r="E622" s="1"/>
  <c r="Y622"/>
  <c r="J622" s="1"/>
  <c r="U622"/>
  <c r="F622" s="1"/>
  <c r="W622"/>
  <c r="H622" s="1"/>
  <c r="AB620"/>
  <c r="AA620"/>
  <c r="S620"/>
  <c r="X626" l="1"/>
  <c r="I626" s="1"/>
  <c r="R620"/>
  <c r="BG620"/>
  <c r="AC620" s="1"/>
  <c r="Q623"/>
  <c r="Q171" i="39"/>
  <c r="Q116"/>
  <c r="Q151" i="36"/>
  <c r="Q104" i="38"/>
  <c r="Q153"/>
  <c r="Y623" i="23"/>
  <c r="J623" s="1"/>
  <c r="W623"/>
  <c r="H623" s="1"/>
  <c r="U623"/>
  <c r="F623" s="1"/>
  <c r="T623"/>
  <c r="E623" s="1"/>
  <c r="Z623"/>
  <c r="K623" s="1"/>
  <c r="V623"/>
  <c r="G623" s="1"/>
  <c r="AB621"/>
  <c r="S621"/>
  <c r="AA621"/>
  <c r="R621" l="1"/>
  <c r="BG621"/>
  <c r="AC621" s="1"/>
  <c r="Q624"/>
  <c r="Q154" i="38"/>
  <c r="Q172" i="39"/>
  <c r="T624" i="23"/>
  <c r="E624" s="1"/>
  <c r="V624"/>
  <c r="G624" s="1"/>
  <c r="Z624"/>
  <c r="K624" s="1"/>
  <c r="W624"/>
  <c r="H624" s="1"/>
  <c r="Y624"/>
  <c r="J624" s="1"/>
  <c r="U624"/>
  <c r="F624" s="1"/>
  <c r="S622"/>
  <c r="AA622"/>
  <c r="AB622"/>
  <c r="R622" l="1"/>
  <c r="BG622"/>
  <c r="AC622" s="1"/>
  <c r="T625"/>
  <c r="E625" s="1"/>
  <c r="Z625"/>
  <c r="K625" s="1"/>
  <c r="V625"/>
  <c r="G625" s="1"/>
  <c r="Q625"/>
  <c r="Y625"/>
  <c r="J625" s="1"/>
  <c r="W625"/>
  <c r="H625" s="1"/>
  <c r="U625"/>
  <c r="F625" s="1"/>
  <c r="S623"/>
  <c r="AB623"/>
  <c r="AA623"/>
  <c r="Q626" l="1"/>
  <c r="R623"/>
  <c r="BG623"/>
  <c r="AC623" s="1"/>
  <c r="AB624"/>
  <c r="AA624"/>
  <c r="S624"/>
  <c r="U626" l="1"/>
  <c r="F626" s="1"/>
  <c r="T626"/>
  <c r="E626" s="1"/>
  <c r="W626"/>
  <c r="H626" s="1"/>
  <c r="Z626"/>
  <c r="K626" s="1"/>
  <c r="Y626"/>
  <c r="J626" s="1"/>
  <c r="V626"/>
  <c r="G626" s="1"/>
  <c r="AA625"/>
  <c r="S625"/>
  <c r="R624"/>
  <c r="BG624"/>
  <c r="AC624" s="1"/>
  <c r="AB625"/>
  <c r="R625" l="1"/>
  <c r="BG625"/>
  <c r="AC625" s="1"/>
  <c r="AB626" l="1"/>
  <c r="AA626"/>
  <c r="R626"/>
  <c r="S626"/>
  <c r="BG626" l="1"/>
  <c r="AC626" s="1"/>
  <c r="W11" i="39" l="1"/>
  <c r="W39" l="1"/>
  <c r="X39" s="1"/>
  <c r="K96" i="27" l="1"/>
  <c r="K92"/>
  <c r="K200"/>
  <c r="K88"/>
  <c r="K84"/>
  <c r="K196"/>
  <c r="K80"/>
  <c r="K192"/>
  <c r="K76"/>
  <c r="K188"/>
  <c r="K184"/>
  <c r="K72"/>
  <c r="K68"/>
  <c r="K172"/>
  <c r="K180"/>
  <c r="K168"/>
  <c r="K64"/>
  <c r="K176"/>
  <c r="K60"/>
  <c r="K164"/>
  <c r="K160"/>
  <c r="K56"/>
  <c r="K52"/>
  <c r="K156"/>
  <c r="K152"/>
  <c r="K48"/>
  <c r="K44"/>
  <c r="K148"/>
  <c r="K144"/>
  <c r="K136"/>
  <c r="K132"/>
  <c r="K32"/>
  <c r="K28"/>
  <c r="K124"/>
  <c r="K120"/>
  <c r="K16"/>
  <c r="BE168" i="22"/>
  <c r="AV168"/>
  <c r="AZ168"/>
  <c r="AY168"/>
  <c r="BD168"/>
  <c r="BF168"/>
  <c r="BC168"/>
  <c r="BG168"/>
  <c r="AX168"/>
  <c r="AW168"/>
  <c r="BB168"/>
  <c r="C37"/>
  <c r="C38" s="1"/>
  <c r="F38" s="1"/>
  <c r="G38" s="1"/>
  <c r="BA168"/>
  <c r="C39" l="1"/>
  <c r="F39" s="1"/>
  <c r="T77" s="1"/>
  <c r="T76"/>
  <c r="V76" s="1"/>
  <c r="AX169" s="1"/>
  <c r="F37"/>
  <c r="P37" s="1"/>
  <c r="Q37" s="1"/>
  <c r="G39"/>
  <c r="Q39" s="1"/>
  <c r="P39"/>
  <c r="AD76"/>
  <c r="BF169" s="1"/>
  <c r="Z76"/>
  <c r="BB169" s="1"/>
  <c r="X76"/>
  <c r="AZ169" s="1"/>
  <c r="C40"/>
  <c r="AE76"/>
  <c r="BG169" s="1"/>
  <c r="W76"/>
  <c r="AY169" s="1"/>
  <c r="Y76" l="1"/>
  <c r="BA169" s="1"/>
  <c r="U76"/>
  <c r="AW169" s="1"/>
  <c r="AV169"/>
  <c r="AA76"/>
  <c r="BC169" s="1"/>
  <c r="AB76"/>
  <c r="BD169" s="1"/>
  <c r="AC76"/>
  <c r="BE169" s="1"/>
  <c r="AE24"/>
  <c r="C486" i="23"/>
  <c r="F486"/>
  <c r="AB24" i="22"/>
  <c r="G486" i="23"/>
  <c r="E486"/>
  <c r="AC24" i="22"/>
  <c r="AA24"/>
  <c r="AD24"/>
  <c r="D486" i="23"/>
  <c r="H486"/>
  <c r="AE26" i="22"/>
  <c r="AD26"/>
  <c r="V26"/>
  <c r="W26"/>
  <c r="AB26"/>
  <c r="Y26"/>
  <c r="U26"/>
  <c r="X26"/>
  <c r="Z26"/>
  <c r="AC26"/>
  <c r="AA26"/>
  <c r="T26"/>
  <c r="AH26" s="1"/>
  <c r="F40"/>
  <c r="C41"/>
  <c r="W77"/>
  <c r="AY170" s="1"/>
  <c r="AB77"/>
  <c r="BD170" s="1"/>
  <c r="Y77"/>
  <c r="BA170" s="1"/>
  <c r="AA77"/>
  <c r="BC170" s="1"/>
  <c r="U77"/>
  <c r="AW170" s="1"/>
  <c r="AE77"/>
  <c r="BG170" s="1"/>
  <c r="AC77"/>
  <c r="BE170" s="1"/>
  <c r="X77"/>
  <c r="AZ170" s="1"/>
  <c r="V77"/>
  <c r="AX170" s="1"/>
  <c r="Z77"/>
  <c r="BB170" s="1"/>
  <c r="AV170"/>
  <c r="AD77"/>
  <c r="BF170" s="1"/>
  <c r="AK26" l="1"/>
  <c r="E488" i="23" s="1"/>
  <c r="AO26" i="22"/>
  <c r="I488" i="23" s="1"/>
  <c r="AI26" i="22"/>
  <c r="C488" i="23" s="1"/>
  <c r="C528" s="1"/>
  <c r="AJ26" i="22"/>
  <c r="D488" i="23" s="1"/>
  <c r="AN26" i="22"/>
  <c r="H488" i="23" s="1"/>
  <c r="AP26" i="22"/>
  <c r="J488" i="23" s="1"/>
  <c r="AS26" i="22"/>
  <c r="M488" i="23" s="1"/>
  <c r="AL26" i="22"/>
  <c r="F488" i="23" s="1"/>
  <c r="AQ26" i="22"/>
  <c r="K488" i="23" s="1"/>
  <c r="AM26" i="22"/>
  <c r="G488" i="23" s="1"/>
  <c r="AR26" i="22"/>
  <c r="L488" i="23" s="1"/>
  <c r="AQ24" i="22"/>
  <c r="K486" i="23" s="1"/>
  <c r="AO24" i="22"/>
  <c r="I486" i="23" s="1"/>
  <c r="AP24" i="22"/>
  <c r="J486" i="23" s="1"/>
  <c r="AR24" i="22"/>
  <c r="L486" i="23" s="1"/>
  <c r="AS24" i="22"/>
  <c r="M486" i="23" s="1"/>
  <c r="P40" i="22"/>
  <c r="T78"/>
  <c r="G40"/>
  <c r="Q40" s="1"/>
  <c r="AF26"/>
  <c r="C42"/>
  <c r="F41"/>
  <c r="AF24"/>
  <c r="C88" i="23" l="1"/>
  <c r="C8" s="1"/>
  <c r="R88"/>
  <c r="C85" i="36"/>
  <c r="P85" s="1"/>
  <c r="C83"/>
  <c r="C87" i="38" s="1"/>
  <c r="F42" i="22"/>
  <c r="C43"/>
  <c r="AE78"/>
  <c r="BG171" s="1"/>
  <c r="AC78"/>
  <c r="BE171" s="1"/>
  <c r="V78"/>
  <c r="AX171" s="1"/>
  <c r="X78"/>
  <c r="AZ171" s="1"/>
  <c r="U78"/>
  <c r="AW171" s="1"/>
  <c r="AB78"/>
  <c r="BD171" s="1"/>
  <c r="Y78"/>
  <c r="BA171" s="1"/>
  <c r="AA78"/>
  <c r="BC171" s="1"/>
  <c r="AV171"/>
  <c r="Z78"/>
  <c r="BB171" s="1"/>
  <c r="W78"/>
  <c r="AY171" s="1"/>
  <c r="AD78"/>
  <c r="BF171" s="1"/>
  <c r="AT24"/>
  <c r="B486" i="23"/>
  <c r="G41" i="22"/>
  <c r="Q41" s="1"/>
  <c r="P41"/>
  <c r="T79"/>
  <c r="AT26"/>
  <c r="B488" i="23"/>
  <c r="AE27" i="22"/>
  <c r="AB27"/>
  <c r="V27"/>
  <c r="W27"/>
  <c r="X27"/>
  <c r="U27"/>
  <c r="Y27"/>
  <c r="Z27"/>
  <c r="AC27"/>
  <c r="AD27"/>
  <c r="AA27"/>
  <c r="T27"/>
  <c r="AH27" s="1"/>
  <c r="D1812" i="23"/>
  <c r="AG608" l="1"/>
  <c r="C608" s="1"/>
  <c r="C128" s="1"/>
  <c r="C48" s="1"/>
  <c r="C101" i="39"/>
  <c r="P101" s="1"/>
  <c r="P157" s="1"/>
  <c r="C408" i="23"/>
  <c r="C136" i="36"/>
  <c r="C99" i="39"/>
  <c r="AR27" i="22"/>
  <c r="L489" i="23" s="1"/>
  <c r="AI27" i="22"/>
  <c r="C489" i="23" s="1"/>
  <c r="C529" s="1"/>
  <c r="AP27" i="22"/>
  <c r="J489" i="23" s="1"/>
  <c r="AN27" i="22"/>
  <c r="H489" i="23" s="1"/>
  <c r="AK27" i="22"/>
  <c r="E489" i="23" s="1"/>
  <c r="AO27" i="22"/>
  <c r="I489" i="23" s="1"/>
  <c r="AM27" i="22"/>
  <c r="G489" i="23" s="1"/>
  <c r="AJ27" i="22"/>
  <c r="D489" i="23" s="1"/>
  <c r="C89" i="38"/>
  <c r="P89" s="1"/>
  <c r="AQ27" i="22"/>
  <c r="K489" i="23" s="1"/>
  <c r="AL27" i="22"/>
  <c r="F489" i="23" s="1"/>
  <c r="AS27" i="22"/>
  <c r="M489" i="23" s="1"/>
  <c r="P83" i="36"/>
  <c r="AF8" s="1"/>
  <c r="C134"/>
  <c r="AV172" i="22"/>
  <c r="AA79"/>
  <c r="BC172" s="1"/>
  <c r="AE79"/>
  <c r="BG172" s="1"/>
  <c r="AC79"/>
  <c r="BE172" s="1"/>
  <c r="V79"/>
  <c r="AX172" s="1"/>
  <c r="AB79"/>
  <c r="BD172" s="1"/>
  <c r="W79"/>
  <c r="AY172" s="1"/>
  <c r="X79"/>
  <c r="AZ172" s="1"/>
  <c r="Z79"/>
  <c r="BB172" s="1"/>
  <c r="Y79"/>
  <c r="BA172" s="1"/>
  <c r="U79"/>
  <c r="AW172" s="1"/>
  <c r="AD79"/>
  <c r="BF172" s="1"/>
  <c r="N486" i="23"/>
  <c r="C8" i="36"/>
  <c r="C137" i="38"/>
  <c r="P87"/>
  <c r="F43" i="22"/>
  <c r="C44"/>
  <c r="C157" i="39"/>
  <c r="AF27" i="22"/>
  <c r="G42"/>
  <c r="Q42" s="1"/>
  <c r="T80"/>
  <c r="P42"/>
  <c r="P136" i="36"/>
  <c r="AF10"/>
  <c r="K48" i="1"/>
  <c r="N488" i="23"/>
  <c r="B528"/>
  <c r="Q88" s="1"/>
  <c r="C10" i="36"/>
  <c r="AE28" i="22"/>
  <c r="X28"/>
  <c r="AD28"/>
  <c r="AB28"/>
  <c r="Y28"/>
  <c r="AC28"/>
  <c r="W28"/>
  <c r="U28"/>
  <c r="V28"/>
  <c r="Z28"/>
  <c r="T28"/>
  <c r="AH28" s="1"/>
  <c r="AA28"/>
  <c r="C155" i="39"/>
  <c r="P99"/>
  <c r="P155" s="1"/>
  <c r="C89" i="23" l="1"/>
  <c r="AG609" s="1"/>
  <c r="C609" s="1"/>
  <c r="C129" s="1"/>
  <c r="C49" s="1"/>
  <c r="R89"/>
  <c r="C139" i="38"/>
  <c r="P134" i="36"/>
  <c r="C86"/>
  <c r="C90" i="38" s="1"/>
  <c r="AI28" i="22"/>
  <c r="C490" i="23" s="1"/>
  <c r="C530" s="1"/>
  <c r="AK28" i="22"/>
  <c r="E490" i="23" s="1"/>
  <c r="AR28" i="22"/>
  <c r="L490" i="23" s="1"/>
  <c r="AO28" i="22"/>
  <c r="I490" i="23" s="1"/>
  <c r="AP28" i="22"/>
  <c r="J490" i="23" s="1"/>
  <c r="AN28" i="22"/>
  <c r="H490" i="23" s="1"/>
  <c r="AQ28" i="22"/>
  <c r="K490" i="23" s="1"/>
  <c r="AL28" i="22"/>
  <c r="F490" i="23" s="1"/>
  <c r="AJ28" i="22"/>
  <c r="D490" i="23" s="1"/>
  <c r="AM28" i="22"/>
  <c r="G490" i="23" s="1"/>
  <c r="AS28" i="22"/>
  <c r="M490" i="23" s="1"/>
  <c r="AG9" i="38"/>
  <c r="P137"/>
  <c r="P139"/>
  <c r="AG11"/>
  <c r="AD80" i="22"/>
  <c r="BF173" s="1"/>
  <c r="Z80"/>
  <c r="BB173" s="1"/>
  <c r="X80"/>
  <c r="AZ173" s="1"/>
  <c r="Y80"/>
  <c r="BA173" s="1"/>
  <c r="U80"/>
  <c r="AW173" s="1"/>
  <c r="AC80"/>
  <c r="BE173" s="1"/>
  <c r="AB80"/>
  <c r="BD173" s="1"/>
  <c r="AE80"/>
  <c r="BG173" s="1"/>
  <c r="V80"/>
  <c r="AX173" s="1"/>
  <c r="W80"/>
  <c r="AY173" s="1"/>
  <c r="AA80"/>
  <c r="BC173" s="1"/>
  <c r="AV173"/>
  <c r="AT27"/>
  <c r="B489" i="23"/>
  <c r="C45" i="22"/>
  <c r="F44"/>
  <c r="B88" i="23"/>
  <c r="AF28" i="22"/>
  <c r="AE29"/>
  <c r="AD29"/>
  <c r="Z29"/>
  <c r="U29"/>
  <c r="V29"/>
  <c r="AC29"/>
  <c r="X29"/>
  <c r="W29"/>
  <c r="Y29"/>
  <c r="AB29"/>
  <c r="AA29"/>
  <c r="T29"/>
  <c r="AH29" s="1"/>
  <c r="C58" i="36"/>
  <c r="D10"/>
  <c r="P10"/>
  <c r="C14" i="39"/>
  <c r="C70" s="1"/>
  <c r="C11" i="38"/>
  <c r="C61" s="1"/>
  <c r="T81" i="22"/>
  <c r="G43"/>
  <c r="Q43" s="1"/>
  <c r="P43"/>
  <c r="C56" i="36"/>
  <c r="C12" i="39"/>
  <c r="C68" s="1"/>
  <c r="C9" i="38"/>
  <c r="C59" s="1"/>
  <c r="P8" i="36"/>
  <c r="C90" i="23" l="1"/>
  <c r="C410" s="1"/>
  <c r="R90"/>
  <c r="C137" i="36"/>
  <c r="C409" i="23"/>
  <c r="C9"/>
  <c r="P86" i="36"/>
  <c r="P137" s="1"/>
  <c r="C102" i="39"/>
  <c r="C87" i="36"/>
  <c r="C138" s="1"/>
  <c r="AO29" i="22"/>
  <c r="I491" i="23" s="1"/>
  <c r="AL29" i="22"/>
  <c r="F491" i="23" s="1"/>
  <c r="AN29" i="22"/>
  <c r="H491" i="23" s="1"/>
  <c r="AP29" i="22"/>
  <c r="J491" i="23" s="1"/>
  <c r="AQ29" i="22"/>
  <c r="K491" i="23" s="1"/>
  <c r="AR29" i="22"/>
  <c r="L491" i="23" s="1"/>
  <c r="AM29" i="22"/>
  <c r="G491" i="23" s="1"/>
  <c r="AJ29" i="22"/>
  <c r="D491" i="23" s="1"/>
  <c r="AS29" i="22"/>
  <c r="M491" i="23" s="1"/>
  <c r="AK29" i="22"/>
  <c r="E491" i="23" s="1"/>
  <c r="AI29" i="22"/>
  <c r="C491" i="23" s="1"/>
  <c r="C531" s="1"/>
  <c r="AE30" i="22"/>
  <c r="Z30"/>
  <c r="AC30"/>
  <c r="U30"/>
  <c r="Y30"/>
  <c r="W30"/>
  <c r="AB30"/>
  <c r="X30"/>
  <c r="V30"/>
  <c r="AD30"/>
  <c r="AA30"/>
  <c r="T30"/>
  <c r="AH30" s="1"/>
  <c r="AF608" i="23"/>
  <c r="B8"/>
  <c r="B408"/>
  <c r="P56" i="36"/>
  <c r="P9" i="38"/>
  <c r="P12" i="39"/>
  <c r="P68" s="1"/>
  <c r="P58" i="36"/>
  <c r="P11" i="38"/>
  <c r="P14" i="39"/>
  <c r="P70" s="1"/>
  <c r="AF29" i="22"/>
  <c r="F45"/>
  <c r="C46"/>
  <c r="C140" i="38"/>
  <c r="P90"/>
  <c r="D58" i="36"/>
  <c r="F10"/>
  <c r="D14" i="39"/>
  <c r="D70" s="1"/>
  <c r="D11" i="38"/>
  <c r="D61" s="1"/>
  <c r="N489" i="23"/>
  <c r="K49" i="1"/>
  <c r="B529" i="23"/>
  <c r="Q89" s="1"/>
  <c r="C11" i="36"/>
  <c r="AT28" i="22"/>
  <c r="B490" i="23"/>
  <c r="X81" i="22"/>
  <c r="AZ174" s="1"/>
  <c r="Y81"/>
  <c r="BA174" s="1"/>
  <c r="AV174"/>
  <c r="Z81"/>
  <c r="BB174" s="1"/>
  <c r="U81"/>
  <c r="AW174" s="1"/>
  <c r="V81"/>
  <c r="AX174" s="1"/>
  <c r="AB81"/>
  <c r="BD174" s="1"/>
  <c r="AD81"/>
  <c r="BF174" s="1"/>
  <c r="W81"/>
  <c r="AY174" s="1"/>
  <c r="AA81"/>
  <c r="BC174" s="1"/>
  <c r="AE81"/>
  <c r="BG174" s="1"/>
  <c r="AC81"/>
  <c r="BE174" s="1"/>
  <c r="T82"/>
  <c r="G44"/>
  <c r="Q44" s="1"/>
  <c r="P44"/>
  <c r="D1824" i="23"/>
  <c r="D1811"/>
  <c r="AG610" l="1"/>
  <c r="C610" s="1"/>
  <c r="C130" s="1"/>
  <c r="C50" s="1"/>
  <c r="C10"/>
  <c r="C91"/>
  <c r="AG611" s="1"/>
  <c r="C611" s="1"/>
  <c r="C131" s="1"/>
  <c r="C51" s="1"/>
  <c r="R91"/>
  <c r="AF11" i="36"/>
  <c r="P87"/>
  <c r="AF12" s="1"/>
  <c r="C158" i="39"/>
  <c r="P102"/>
  <c r="P158" s="1"/>
  <c r="C91" i="38"/>
  <c r="C141" s="1"/>
  <c r="AL30" i="22"/>
  <c r="F492" i="23" s="1"/>
  <c r="AI30" i="22"/>
  <c r="C492" i="23" s="1"/>
  <c r="C532" s="1"/>
  <c r="AO30" i="22"/>
  <c r="I492" i="23" s="1"/>
  <c r="AQ30" i="22"/>
  <c r="K492" i="23" s="1"/>
  <c r="AR30" i="22"/>
  <c r="L492" i="23" s="1"/>
  <c r="AK30" i="22"/>
  <c r="E492" i="23" s="1"/>
  <c r="AN30" i="22"/>
  <c r="H492" i="23" s="1"/>
  <c r="C88" i="36"/>
  <c r="P88" s="1"/>
  <c r="AP30" i="22"/>
  <c r="J492" i="23" s="1"/>
  <c r="C103" i="39"/>
  <c r="P103" s="1"/>
  <c r="P159" s="1"/>
  <c r="AJ30" i="22"/>
  <c r="D492" i="23" s="1"/>
  <c r="AM30" i="22"/>
  <c r="G492" i="23" s="1"/>
  <c r="AS30" i="22"/>
  <c r="M492" i="23" s="1"/>
  <c r="B89"/>
  <c r="B7" i="27"/>
  <c r="K50" i="1"/>
  <c r="N490" i="23"/>
  <c r="B530"/>
  <c r="Q90" s="1"/>
  <c r="C12" i="36"/>
  <c r="F58"/>
  <c r="O10"/>
  <c r="F11" i="38"/>
  <c r="F61" s="1"/>
  <c r="F14" i="39"/>
  <c r="F70" s="1"/>
  <c r="C47" i="22"/>
  <c r="F46"/>
  <c r="P59" i="38"/>
  <c r="B608" i="23"/>
  <c r="AE31" i="22"/>
  <c r="W31"/>
  <c r="V31"/>
  <c r="AB31"/>
  <c r="U31"/>
  <c r="Y31"/>
  <c r="AD31"/>
  <c r="AC31"/>
  <c r="Z31"/>
  <c r="X31"/>
  <c r="T31"/>
  <c r="AH31" s="1"/>
  <c r="AA31"/>
  <c r="P45"/>
  <c r="G45"/>
  <c r="Q45" s="1"/>
  <c r="T83"/>
  <c r="AV175"/>
  <c r="AD82"/>
  <c r="BF175" s="1"/>
  <c r="AE82"/>
  <c r="BG175" s="1"/>
  <c r="Y82"/>
  <c r="BA175" s="1"/>
  <c r="Z82"/>
  <c r="BB175" s="1"/>
  <c r="W82"/>
  <c r="AY175" s="1"/>
  <c r="U82"/>
  <c r="AW175" s="1"/>
  <c r="V82"/>
  <c r="AX175" s="1"/>
  <c r="AC82"/>
  <c r="BE175" s="1"/>
  <c r="X82"/>
  <c r="AZ175" s="1"/>
  <c r="AB82"/>
  <c r="BD175" s="1"/>
  <c r="AA82"/>
  <c r="BC175" s="1"/>
  <c r="P140" i="38"/>
  <c r="AG12"/>
  <c r="AF30" i="22"/>
  <c r="P61" i="38"/>
  <c r="C59" i="36"/>
  <c r="D11"/>
  <c r="C12" i="38"/>
  <c r="C62" s="1"/>
  <c r="C15" i="39"/>
  <c r="C71" s="1"/>
  <c r="P11" i="36"/>
  <c r="AT29" i="22"/>
  <c r="B491" i="23"/>
  <c r="D1836"/>
  <c r="C11" l="1"/>
  <c r="C411"/>
  <c r="C92"/>
  <c r="AG612" s="1"/>
  <c r="C612" s="1"/>
  <c r="C132" s="1"/>
  <c r="C52" s="1"/>
  <c r="R92"/>
  <c r="P138" i="36"/>
  <c r="C139"/>
  <c r="C104" i="39"/>
  <c r="C160" s="1"/>
  <c r="C92" i="38"/>
  <c r="C142" s="1"/>
  <c r="P91"/>
  <c r="AG13" s="1"/>
  <c r="AN31" i="22"/>
  <c r="H493" i="23" s="1"/>
  <c r="AS31" i="22"/>
  <c r="M493" i="23" s="1"/>
  <c r="C159" i="39"/>
  <c r="AO31" i="22"/>
  <c r="I493" i="23" s="1"/>
  <c r="AP31" i="22"/>
  <c r="J493" i="23" s="1"/>
  <c r="C89" i="36"/>
  <c r="C105" i="39" s="1"/>
  <c r="AR31" i="22"/>
  <c r="L493" i="23" s="1"/>
  <c r="AJ31" i="22"/>
  <c r="D493" i="23" s="1"/>
  <c r="AI31" i="22"/>
  <c r="C493" i="23" s="1"/>
  <c r="C533" s="1"/>
  <c r="AQ31" i="22"/>
  <c r="K493" i="23" s="1"/>
  <c r="AL31" i="22"/>
  <c r="F493" i="23" s="1"/>
  <c r="AM31" i="22"/>
  <c r="G493" i="23" s="1"/>
  <c r="AK31" i="22"/>
  <c r="E493" i="23" s="1"/>
  <c r="C48" i="22"/>
  <c r="F47"/>
  <c r="AF609" i="23"/>
  <c r="B9"/>
  <c r="B409"/>
  <c r="C60" i="36"/>
  <c r="D12"/>
  <c r="C13" i="38"/>
  <c r="C63" s="1"/>
  <c r="C16" i="39"/>
  <c r="C72" s="1"/>
  <c r="P12" i="36"/>
  <c r="K51" i="1"/>
  <c r="N491" i="23"/>
  <c r="B531"/>
  <c r="Q91" s="1"/>
  <c r="C13" i="36"/>
  <c r="P15" i="39"/>
  <c r="P71" s="1"/>
  <c r="P59" i="36"/>
  <c r="P12" i="38"/>
  <c r="AE32" i="22"/>
  <c r="Z32"/>
  <c r="X32"/>
  <c r="V32"/>
  <c r="U32"/>
  <c r="W32"/>
  <c r="AB32"/>
  <c r="Y32"/>
  <c r="AD32"/>
  <c r="AC32"/>
  <c r="T32"/>
  <c r="AH32" s="1"/>
  <c r="AA32"/>
  <c r="AF31"/>
  <c r="P139" i="36"/>
  <c r="AF13"/>
  <c r="Q10"/>
  <c r="R48" i="1"/>
  <c r="B128" i="23"/>
  <c r="T84" i="22"/>
  <c r="G46"/>
  <c r="Q46" s="1"/>
  <c r="P46"/>
  <c r="AT30"/>
  <c r="B492" i="23"/>
  <c r="AV176" i="22"/>
  <c r="AB83"/>
  <c r="BD176" s="1"/>
  <c r="W83"/>
  <c r="AY176" s="1"/>
  <c r="X83"/>
  <c r="AZ176" s="1"/>
  <c r="Z83"/>
  <c r="BB176" s="1"/>
  <c r="AA83"/>
  <c r="BC176" s="1"/>
  <c r="AC83"/>
  <c r="BE176" s="1"/>
  <c r="U83"/>
  <c r="AW176" s="1"/>
  <c r="AD83"/>
  <c r="BF176" s="1"/>
  <c r="AE83"/>
  <c r="BG176" s="1"/>
  <c r="V83"/>
  <c r="AX176" s="1"/>
  <c r="Y83"/>
  <c r="BA176" s="1"/>
  <c r="E7" i="27"/>
  <c r="L8"/>
  <c r="D59" i="36"/>
  <c r="F11"/>
  <c r="D15" i="39"/>
  <c r="D71" s="1"/>
  <c r="D12" i="38"/>
  <c r="D62" s="1"/>
  <c r="O14" i="39"/>
  <c r="O58" i="36"/>
  <c r="O11" i="38"/>
  <c r="B90" i="23"/>
  <c r="D1848"/>
  <c r="D1823"/>
  <c r="P104" i="39" l="1"/>
  <c r="P160" s="1"/>
  <c r="C12" i="23"/>
  <c r="R10" i="36"/>
  <c r="C412" i="23"/>
  <c r="C93"/>
  <c r="C413" s="1"/>
  <c r="R93"/>
  <c r="C140" i="36"/>
  <c r="P92" i="38"/>
  <c r="P142" s="1"/>
  <c r="C90" i="36"/>
  <c r="P90" s="1"/>
  <c r="P141" i="38"/>
  <c r="AP32" i="22"/>
  <c r="J494" i="23" s="1"/>
  <c r="AQ32" i="22"/>
  <c r="K494" i="23" s="1"/>
  <c r="AN32" i="22"/>
  <c r="H494" i="23" s="1"/>
  <c r="P89" i="36"/>
  <c r="P140" s="1"/>
  <c r="AR32" i="22"/>
  <c r="L494" i="23" s="1"/>
  <c r="AI32" i="22"/>
  <c r="C494" i="23" s="1"/>
  <c r="C534" s="1"/>
  <c r="AS32" i="22"/>
  <c r="M494" i="23" s="1"/>
  <c r="C93" i="38"/>
  <c r="C143" s="1"/>
  <c r="AL32" i="22"/>
  <c r="F494" i="23" s="1"/>
  <c r="AK32" i="22"/>
  <c r="E494" i="23" s="1"/>
  <c r="AO32" i="22"/>
  <c r="I494" i="23" s="1"/>
  <c r="AM32" i="22"/>
  <c r="G494" i="23" s="1"/>
  <c r="AJ32" i="22"/>
  <c r="D494" i="23" s="1"/>
  <c r="F59" i="36"/>
  <c r="O11"/>
  <c r="F12" i="38"/>
  <c r="F62" s="1"/>
  <c r="F15" i="39"/>
  <c r="F71" s="1"/>
  <c r="Q58" i="36"/>
  <c r="Q11" i="38"/>
  <c r="Q14" i="39"/>
  <c r="Q70" s="1"/>
  <c r="AD10" i="36"/>
  <c r="B61" i="41"/>
  <c r="C49" i="22"/>
  <c r="F48"/>
  <c r="O70" i="39"/>
  <c r="E8" i="27"/>
  <c r="E9"/>
  <c r="K9" s="1"/>
  <c r="L9" s="1"/>
  <c r="S6" s="1"/>
  <c r="R6" s="1"/>
  <c r="N492" i="23"/>
  <c r="K52" i="1"/>
  <c r="B532" i="23"/>
  <c r="Q92" s="1"/>
  <c r="C14" i="36"/>
  <c r="AE33" i="22"/>
  <c r="AC33"/>
  <c r="AD33"/>
  <c r="Z33"/>
  <c r="Y33"/>
  <c r="U33"/>
  <c r="X33"/>
  <c r="V33"/>
  <c r="AB33"/>
  <c r="W33"/>
  <c r="AA33"/>
  <c r="T33"/>
  <c r="AH33" s="1"/>
  <c r="P62" i="38"/>
  <c r="B91" i="23"/>
  <c r="D60" i="36"/>
  <c r="F12"/>
  <c r="D16" i="39"/>
  <c r="D72" s="1"/>
  <c r="D13" i="38"/>
  <c r="D63" s="1"/>
  <c r="B609" i="23"/>
  <c r="G47" i="22"/>
  <c r="Q47" s="1"/>
  <c r="P47"/>
  <c r="T85"/>
  <c r="C161" i="39"/>
  <c r="P105"/>
  <c r="P161" s="1"/>
  <c r="P13" i="38"/>
  <c r="P16" i="39"/>
  <c r="P72" s="1"/>
  <c r="P60" i="36"/>
  <c r="O61" i="38"/>
  <c r="AE84" i="22"/>
  <c r="BG177" s="1"/>
  <c r="W84"/>
  <c r="AY177" s="1"/>
  <c r="Z84"/>
  <c r="BB177" s="1"/>
  <c r="Y84"/>
  <c r="BA177" s="1"/>
  <c r="AA84"/>
  <c r="BC177" s="1"/>
  <c r="V84"/>
  <c r="AX177" s="1"/>
  <c r="U84"/>
  <c r="AW177" s="1"/>
  <c r="AV177"/>
  <c r="AD84"/>
  <c r="BF177" s="1"/>
  <c r="AC84"/>
  <c r="BE177" s="1"/>
  <c r="X84"/>
  <c r="AZ177" s="1"/>
  <c r="AB84"/>
  <c r="BD177" s="1"/>
  <c r="AF32"/>
  <c r="B11" i="27"/>
  <c r="AF610" i="23"/>
  <c r="B10"/>
  <c r="B410"/>
  <c r="B48"/>
  <c r="AT31" i="22"/>
  <c r="B493" i="23"/>
  <c r="D13" i="36"/>
  <c r="C61"/>
  <c r="C17" i="39"/>
  <c r="C73" s="1"/>
  <c r="P13" i="36"/>
  <c r="C14" i="38"/>
  <c r="C64" s="1"/>
  <c r="D1835" i="23"/>
  <c r="D1860"/>
  <c r="AG613" l="1"/>
  <c r="C613" s="1"/>
  <c r="C133" s="1"/>
  <c r="C53" s="1"/>
  <c r="C13"/>
  <c r="V10" i="36"/>
  <c r="U10"/>
  <c r="AH10"/>
  <c r="AJ10" s="1"/>
  <c r="R58"/>
  <c r="R11" i="38"/>
  <c r="V11" s="1"/>
  <c r="R14" i="39"/>
  <c r="U14" s="1"/>
  <c r="AG14" i="38"/>
  <c r="C94" i="23"/>
  <c r="C414" s="1"/>
  <c r="R94"/>
  <c r="P93" i="38"/>
  <c r="P143" s="1"/>
  <c r="AF14" i="36"/>
  <c r="C91"/>
  <c r="P91" s="1"/>
  <c r="C141"/>
  <c r="C94" i="38"/>
  <c r="C144" s="1"/>
  <c r="C106" i="39"/>
  <c r="P106" s="1"/>
  <c r="P162" s="1"/>
  <c r="AO33" i="22"/>
  <c r="I495" i="23" s="1"/>
  <c r="AK33" i="22"/>
  <c r="E495" i="23" s="1"/>
  <c r="AI33" i="22"/>
  <c r="C495" i="23" s="1"/>
  <c r="C535" s="1"/>
  <c r="AQ33" i="22"/>
  <c r="K495" i="23" s="1"/>
  <c r="AP33" i="22"/>
  <c r="J495" i="23" s="1"/>
  <c r="AM33" i="22"/>
  <c r="G495" i="23" s="1"/>
  <c r="AS33" i="22"/>
  <c r="M495" i="23" s="1"/>
  <c r="AL33" i="22"/>
  <c r="F495" i="23" s="1"/>
  <c r="AR33" i="22"/>
  <c r="L495" i="23" s="1"/>
  <c r="AJ33" i="22"/>
  <c r="D495" i="23" s="1"/>
  <c r="AN33" i="22"/>
  <c r="H495" i="23" s="1"/>
  <c r="D61" i="36"/>
  <c r="F13"/>
  <c r="D17" i="39"/>
  <c r="D73" s="1"/>
  <c r="D14" i="38"/>
  <c r="D64" s="1"/>
  <c r="N493" i="23"/>
  <c r="K53" i="1"/>
  <c r="B533" i="23"/>
  <c r="Q93" s="1"/>
  <c r="C15" i="36"/>
  <c r="G48" i="22"/>
  <c r="Q48" s="1"/>
  <c r="P48"/>
  <c r="T86"/>
  <c r="P63" i="38"/>
  <c r="V85" i="22"/>
  <c r="AX178" s="1"/>
  <c r="AV178"/>
  <c r="AB85"/>
  <c r="BD178" s="1"/>
  <c r="W85"/>
  <c r="AY178" s="1"/>
  <c r="AE85"/>
  <c r="BG178" s="1"/>
  <c r="AA85"/>
  <c r="BC178" s="1"/>
  <c r="Z85"/>
  <c r="BB178" s="1"/>
  <c r="X85"/>
  <c r="AZ178" s="1"/>
  <c r="AC85"/>
  <c r="BE178" s="1"/>
  <c r="Y85"/>
  <c r="BA178" s="1"/>
  <c r="U85"/>
  <c r="AW178" s="1"/>
  <c r="AD85"/>
  <c r="BF178" s="1"/>
  <c r="Q11" i="36"/>
  <c r="R49" i="1"/>
  <c r="B129" i="23"/>
  <c r="C62" i="36"/>
  <c r="D14"/>
  <c r="C15" i="38"/>
  <c r="C65" s="1"/>
  <c r="C18" i="39"/>
  <c r="C74" s="1"/>
  <c r="P14" i="36"/>
  <c r="B15" i="27"/>
  <c r="B494" i="23"/>
  <c r="AT32" i="22"/>
  <c r="Y34"/>
  <c r="AD34"/>
  <c r="X34"/>
  <c r="W34"/>
  <c r="Z34"/>
  <c r="AB34"/>
  <c r="AE34"/>
  <c r="U34"/>
  <c r="AC34"/>
  <c r="V34"/>
  <c r="AA34"/>
  <c r="T34"/>
  <c r="AH34" s="1"/>
  <c r="B92" i="23"/>
  <c r="B610"/>
  <c r="L12" i="27"/>
  <c r="E11"/>
  <c r="AF33" i="22"/>
  <c r="D61" i="41"/>
  <c r="E61"/>
  <c r="Q61" i="38"/>
  <c r="R61" s="1"/>
  <c r="AE11"/>
  <c r="P17" i="39"/>
  <c r="P73" s="1"/>
  <c r="P14" i="38"/>
  <c r="P61" i="36"/>
  <c r="O12"/>
  <c r="F60"/>
  <c r="F16" i="39"/>
  <c r="F72" s="1"/>
  <c r="F13" i="38"/>
  <c r="F63" s="1"/>
  <c r="AF611" i="23"/>
  <c r="B11"/>
  <c r="B411"/>
  <c r="AF15" i="36"/>
  <c r="P141"/>
  <c r="R70" i="39"/>
  <c r="C50" i="22"/>
  <c r="F49"/>
  <c r="O12" i="38"/>
  <c r="O15" i="39"/>
  <c r="O59" i="36"/>
  <c r="D1872" i="23"/>
  <c r="D1847"/>
  <c r="AI11" i="38" l="1"/>
  <c r="AK11" s="1"/>
  <c r="B9" i="41"/>
  <c r="D9" s="1"/>
  <c r="P94" i="38"/>
  <c r="P144" s="1"/>
  <c r="C142" i="36"/>
  <c r="C162" i="39"/>
  <c r="C95" i="23"/>
  <c r="C415" s="1"/>
  <c r="R95"/>
  <c r="AG614"/>
  <c r="C614" s="1"/>
  <c r="C134" s="1"/>
  <c r="C54" s="1"/>
  <c r="C14"/>
  <c r="R11" i="36"/>
  <c r="AG15" i="38"/>
  <c r="C107" i="39"/>
  <c r="P107" s="1"/>
  <c r="P163" s="1"/>
  <c r="C95" i="38"/>
  <c r="P95" s="1"/>
  <c r="C92" i="36"/>
  <c r="P92" s="1"/>
  <c r="AI34" i="22"/>
  <c r="C496" i="23" s="1"/>
  <c r="C536" s="1"/>
  <c r="AO34" i="22"/>
  <c r="I496" i="23" s="1"/>
  <c r="AL34" i="22"/>
  <c r="F496" i="23" s="1"/>
  <c r="AJ34" i="22"/>
  <c r="D496" i="23" s="1"/>
  <c r="AP34" i="22"/>
  <c r="J496" i="23" s="1"/>
  <c r="AR34" i="22"/>
  <c r="L496" i="23" s="1"/>
  <c r="AK34" i="22"/>
  <c r="E496" i="23" s="1"/>
  <c r="AS34" i="22"/>
  <c r="M496" i="23" s="1"/>
  <c r="AQ34" i="22"/>
  <c r="K496" i="23" s="1"/>
  <c r="AN34" i="22"/>
  <c r="H496" i="23" s="1"/>
  <c r="AM34" i="22"/>
  <c r="G496" i="23" s="1"/>
  <c r="O62" i="38"/>
  <c r="G49" i="22"/>
  <c r="Q49" s="1"/>
  <c r="P49"/>
  <c r="T87"/>
  <c r="B49" i="23"/>
  <c r="B19" i="27"/>
  <c r="AF612" i="23"/>
  <c r="B12"/>
  <c r="B412"/>
  <c r="P142" i="36"/>
  <c r="AF16"/>
  <c r="N494" i="23"/>
  <c r="B534"/>
  <c r="Q94" s="1"/>
  <c r="C16" i="36"/>
  <c r="P62"/>
  <c r="P18" i="39"/>
  <c r="P74" s="1"/>
  <c r="P15" i="38"/>
  <c r="Q59" i="36"/>
  <c r="Q15" i="39"/>
  <c r="Q71" s="1"/>
  <c r="Q12" i="38"/>
  <c r="AD11" i="36"/>
  <c r="B62" i="41"/>
  <c r="Y86" i="22"/>
  <c r="BA179" s="1"/>
  <c r="AD86"/>
  <c r="BF179" s="1"/>
  <c r="X86"/>
  <c r="AZ179" s="1"/>
  <c r="AV179"/>
  <c r="U86"/>
  <c r="AW179" s="1"/>
  <c r="AA86"/>
  <c r="BC179" s="1"/>
  <c r="AB86"/>
  <c r="BD179" s="1"/>
  <c r="W86"/>
  <c r="AY179" s="1"/>
  <c r="V86"/>
  <c r="AX179" s="1"/>
  <c r="AE86"/>
  <c r="BG179" s="1"/>
  <c r="AC86"/>
  <c r="BE179" s="1"/>
  <c r="Z86"/>
  <c r="BB179" s="1"/>
  <c r="C63" i="36"/>
  <c r="D15"/>
  <c r="C19" i="39"/>
  <c r="C75" s="1"/>
  <c r="P15" i="36"/>
  <c r="C16" i="38"/>
  <c r="C66" s="1"/>
  <c r="F61" i="36"/>
  <c r="O13"/>
  <c r="F17" i="39"/>
  <c r="F73" s="1"/>
  <c r="F14" i="38"/>
  <c r="F64" s="1"/>
  <c r="F50" i="22"/>
  <c r="C51"/>
  <c r="O60" i="36"/>
  <c r="O16" i="39"/>
  <c r="O13" i="38"/>
  <c r="E12" i="27"/>
  <c r="E13"/>
  <c r="K13" s="1"/>
  <c r="L13" s="1"/>
  <c r="S7" s="1"/>
  <c r="R7" s="1"/>
  <c r="AF34" i="22"/>
  <c r="D62" i="36"/>
  <c r="F14"/>
  <c r="D15" i="38"/>
  <c r="D65" s="1"/>
  <c r="D18" i="39"/>
  <c r="D74" s="1"/>
  <c r="O71"/>
  <c r="B611" i="23"/>
  <c r="P64" i="38"/>
  <c r="AT33" i="22"/>
  <c r="B495" i="23"/>
  <c r="Q12" i="36"/>
  <c r="R50" i="1"/>
  <c r="B130" i="23"/>
  <c r="L16" i="27"/>
  <c r="E15"/>
  <c r="AE35" i="22"/>
  <c r="Y35"/>
  <c r="AB35"/>
  <c r="U35"/>
  <c r="X35"/>
  <c r="AD35"/>
  <c r="V35"/>
  <c r="AC35"/>
  <c r="Z35"/>
  <c r="W35"/>
  <c r="T35"/>
  <c r="AH35" s="1"/>
  <c r="AA35"/>
  <c r="B93" i="23"/>
  <c r="D1859"/>
  <c r="D1884"/>
  <c r="E9" i="41" l="1"/>
  <c r="AG16" i="38"/>
  <c r="AH11" i="36"/>
  <c r="AJ11" s="1"/>
  <c r="C145" i="38"/>
  <c r="R15" i="39"/>
  <c r="B10" i="41" s="1"/>
  <c r="V11" i="36"/>
  <c r="R12" i="38"/>
  <c r="AI12" s="1"/>
  <c r="AK12" s="1"/>
  <c r="R59" i="36"/>
  <c r="U11"/>
  <c r="C163" i="39"/>
  <c r="C15" i="23"/>
  <c r="AG615"/>
  <c r="C615" s="1"/>
  <c r="C135" s="1"/>
  <c r="C55" s="1"/>
  <c r="C96"/>
  <c r="C16" s="1"/>
  <c r="R96"/>
  <c r="C96" i="38"/>
  <c r="P96" s="1"/>
  <c r="C143" i="36"/>
  <c r="C108" i="39"/>
  <c r="P108" s="1"/>
  <c r="P164" s="1"/>
  <c r="C93" i="36"/>
  <c r="P93" s="1"/>
  <c r="AJ35" i="22"/>
  <c r="D497" i="23" s="1"/>
  <c r="AR35" i="22"/>
  <c r="L497" i="23" s="1"/>
  <c r="AN35" i="22"/>
  <c r="H497" i="23" s="1"/>
  <c r="AL35" i="22"/>
  <c r="F497" i="23" s="1"/>
  <c r="AS35" i="22"/>
  <c r="M497" i="23" s="1"/>
  <c r="AP35" i="22"/>
  <c r="J497" i="23" s="1"/>
  <c r="AK35" i="22"/>
  <c r="E497" i="23" s="1"/>
  <c r="AM35" i="22"/>
  <c r="G497" i="23" s="1"/>
  <c r="AO35" i="22"/>
  <c r="I497" i="23" s="1"/>
  <c r="AQ35" i="22"/>
  <c r="K497" i="23" s="1"/>
  <c r="AI35" i="22"/>
  <c r="C497" i="23" s="1"/>
  <c r="C537" s="1"/>
  <c r="R71" i="39"/>
  <c r="P143" i="36"/>
  <c r="AF17"/>
  <c r="F51" i="22"/>
  <c r="C52"/>
  <c r="E62" i="41"/>
  <c r="D62"/>
  <c r="C144" i="36"/>
  <c r="AF613" i="23"/>
  <c r="B13"/>
  <c r="B413"/>
  <c r="E16" i="27"/>
  <c r="E17"/>
  <c r="K17" s="1"/>
  <c r="L17" s="1"/>
  <c r="S8" s="1"/>
  <c r="R8" s="1"/>
  <c r="Q16" i="39"/>
  <c r="Q72" s="1"/>
  <c r="Q13" i="38"/>
  <c r="Q60" i="36"/>
  <c r="AD12"/>
  <c r="B63" i="41"/>
  <c r="P145" i="38"/>
  <c r="AG17"/>
  <c r="AT34" i="22"/>
  <c r="B496" i="23"/>
  <c r="G50" i="22"/>
  <c r="Q50" s="1"/>
  <c r="P50"/>
  <c r="T88"/>
  <c r="AF35"/>
  <c r="Q13" i="36"/>
  <c r="R51" i="1"/>
  <c r="B131" i="23"/>
  <c r="O63" i="38"/>
  <c r="R12" i="36"/>
  <c r="O61"/>
  <c r="O14" i="38"/>
  <c r="O17" i="39"/>
  <c r="Q62" i="38"/>
  <c r="R62" s="1"/>
  <c r="AE12"/>
  <c r="B94" i="23"/>
  <c r="B23" i="27"/>
  <c r="V87" i="22"/>
  <c r="AX180" s="1"/>
  <c r="AC87"/>
  <c r="BE180" s="1"/>
  <c r="Y87"/>
  <c r="BA180" s="1"/>
  <c r="AV180"/>
  <c r="AD87"/>
  <c r="BF180" s="1"/>
  <c r="AB87"/>
  <c r="BD180" s="1"/>
  <c r="AA87"/>
  <c r="BC180" s="1"/>
  <c r="X87"/>
  <c r="AZ180" s="1"/>
  <c r="AE87"/>
  <c r="BG180" s="1"/>
  <c r="Z87"/>
  <c r="BB180" s="1"/>
  <c r="U87"/>
  <c r="AW180" s="1"/>
  <c r="W87"/>
  <c r="AY180" s="1"/>
  <c r="N495" i="23"/>
  <c r="B535"/>
  <c r="Q95" s="1"/>
  <c r="C17" i="36"/>
  <c r="B612" i="23"/>
  <c r="L20" i="27"/>
  <c r="E19"/>
  <c r="F62" i="36"/>
  <c r="O14"/>
  <c r="F15" i="38"/>
  <c r="F65" s="1"/>
  <c r="F18" i="39"/>
  <c r="F74" s="1"/>
  <c r="C146" i="38"/>
  <c r="F15" i="36"/>
  <c r="D63"/>
  <c r="D19" i="39"/>
  <c r="D75" s="1"/>
  <c r="D16" i="38"/>
  <c r="D66" s="1"/>
  <c r="P65"/>
  <c r="D16" i="36"/>
  <c r="C64"/>
  <c r="P16"/>
  <c r="C17" i="38"/>
  <c r="C67" s="1"/>
  <c r="C20" i="39"/>
  <c r="C76" s="1"/>
  <c r="B50" i="23"/>
  <c r="O72" i="39"/>
  <c r="P16" i="38"/>
  <c r="P63" i="36"/>
  <c r="P19" i="39"/>
  <c r="P75" s="1"/>
  <c r="AE36" i="22"/>
  <c r="U36"/>
  <c r="AB36"/>
  <c r="W36"/>
  <c r="AD36"/>
  <c r="Z36"/>
  <c r="V36"/>
  <c r="Y36"/>
  <c r="AC36"/>
  <c r="X36"/>
  <c r="T36"/>
  <c r="AH36" s="1"/>
  <c r="AA36"/>
  <c r="D1871" i="23"/>
  <c r="D1896"/>
  <c r="D1908"/>
  <c r="C416" l="1"/>
  <c r="C164" i="39"/>
  <c r="AG616" i="23"/>
  <c r="C616" s="1"/>
  <c r="C136" s="1"/>
  <c r="C56" s="1"/>
  <c r="V12" i="38"/>
  <c r="U15" i="39"/>
  <c r="C97" i="23"/>
  <c r="C417" s="1"/>
  <c r="R97"/>
  <c r="R13" i="36"/>
  <c r="R17" i="39" s="1"/>
  <c r="C109"/>
  <c r="P109" s="1"/>
  <c r="P165" s="1"/>
  <c r="C97" i="38"/>
  <c r="C94" i="36"/>
  <c r="C110" i="39" s="1"/>
  <c r="AJ36" i="22"/>
  <c r="D498" i="23" s="1"/>
  <c r="AN36" i="22"/>
  <c r="H498" i="23" s="1"/>
  <c r="AQ36" i="22"/>
  <c r="K498" i="23" s="1"/>
  <c r="AR36" i="22"/>
  <c r="L498" i="23" s="1"/>
  <c r="AS36" i="22"/>
  <c r="M498" i="23" s="1"/>
  <c r="AP36" i="22"/>
  <c r="J498" i="23" s="1"/>
  <c r="AL36" i="22"/>
  <c r="F498" i="23" s="1"/>
  <c r="AI36" i="22"/>
  <c r="C498" i="23" s="1"/>
  <c r="C538" s="1"/>
  <c r="AO36" i="22"/>
  <c r="I498" i="23" s="1"/>
  <c r="AM36" i="22"/>
  <c r="G498" i="23" s="1"/>
  <c r="AK36" i="22"/>
  <c r="E498" i="23" s="1"/>
  <c r="R72" i="39"/>
  <c r="P17" i="38"/>
  <c r="P20" i="39"/>
  <c r="P76" s="1"/>
  <c r="P64" i="36"/>
  <c r="F63"/>
  <c r="O15"/>
  <c r="F16" i="38"/>
  <c r="F66" s="1"/>
  <c r="F19" i="39"/>
  <c r="F75" s="1"/>
  <c r="B536" i="23"/>
  <c r="Q96" s="1"/>
  <c r="N496"/>
  <c r="C18" i="36"/>
  <c r="Q63" i="38"/>
  <c r="R63" s="1"/>
  <c r="AE13"/>
  <c r="C65" i="36"/>
  <c r="D17"/>
  <c r="C21" i="39"/>
  <c r="C77" s="1"/>
  <c r="P17" i="36"/>
  <c r="C18" i="38"/>
  <c r="C68" s="1"/>
  <c r="B51" i="23"/>
  <c r="AD88" i="22"/>
  <c r="BF181" s="1"/>
  <c r="X88"/>
  <c r="AZ181" s="1"/>
  <c r="V88"/>
  <c r="AX181" s="1"/>
  <c r="AE88"/>
  <c r="BG181" s="1"/>
  <c r="U88"/>
  <c r="AW181" s="1"/>
  <c r="AC88"/>
  <c r="BE181" s="1"/>
  <c r="Y88"/>
  <c r="BA181" s="1"/>
  <c r="AA88"/>
  <c r="BC181" s="1"/>
  <c r="AV181"/>
  <c r="AB88"/>
  <c r="BD181" s="1"/>
  <c r="W88"/>
  <c r="AY181" s="1"/>
  <c r="Z88"/>
  <c r="BB181" s="1"/>
  <c r="AF36"/>
  <c r="F16" i="36"/>
  <c r="D64"/>
  <c r="D17" i="38"/>
  <c r="D67" s="1"/>
  <c r="D20" i="39"/>
  <c r="D76" s="1"/>
  <c r="B95" i="23"/>
  <c r="AE37" i="22"/>
  <c r="V37"/>
  <c r="U37"/>
  <c r="W37"/>
  <c r="AB37"/>
  <c r="Y37"/>
  <c r="AC37"/>
  <c r="X37"/>
  <c r="AD37"/>
  <c r="Z37"/>
  <c r="AA37"/>
  <c r="T37"/>
  <c r="AH37" s="1"/>
  <c r="AF18" i="36"/>
  <c r="P144"/>
  <c r="O15" i="38"/>
  <c r="O18" i="39"/>
  <c r="O62" i="36"/>
  <c r="AF614" i="23"/>
  <c r="B14"/>
  <c r="B414"/>
  <c r="O64" i="38"/>
  <c r="B613" i="23"/>
  <c r="G51" i="22"/>
  <c r="Q51" s="1"/>
  <c r="P51"/>
  <c r="T89"/>
  <c r="E20" i="27"/>
  <c r="E21"/>
  <c r="K21" s="1"/>
  <c r="L21" s="1"/>
  <c r="S9" s="1"/>
  <c r="R9" s="1"/>
  <c r="L24"/>
  <c r="E23"/>
  <c r="V12" i="36"/>
  <c r="R60"/>
  <c r="R16" i="39"/>
  <c r="AH12" i="36"/>
  <c r="AJ12" s="1"/>
  <c r="U12"/>
  <c r="R13" i="38"/>
  <c r="E63" i="41"/>
  <c r="D63"/>
  <c r="D10"/>
  <c r="E10"/>
  <c r="P66" i="38"/>
  <c r="AG18"/>
  <c r="P146"/>
  <c r="Q14" i="36"/>
  <c r="R52" i="1"/>
  <c r="B132" i="23"/>
  <c r="O73" i="39"/>
  <c r="Q61" i="36"/>
  <c r="Q14" i="38"/>
  <c r="Q17" i="39"/>
  <c r="Q73" s="1"/>
  <c r="AD13" i="36"/>
  <c r="B64" i="41"/>
  <c r="AT35" i="22"/>
  <c r="B497" i="23"/>
  <c r="B27" i="27"/>
  <c r="F52" i="22"/>
  <c r="C53"/>
  <c r="D1883" i="23"/>
  <c r="R14" i="38" l="1"/>
  <c r="V14" s="1"/>
  <c r="R61" i="36"/>
  <c r="V13"/>
  <c r="U13"/>
  <c r="C145"/>
  <c r="AH13"/>
  <c r="AJ13" s="1"/>
  <c r="C17" i="23"/>
  <c r="AG617"/>
  <c r="C617" s="1"/>
  <c r="C137" s="1"/>
  <c r="C57" s="1"/>
  <c r="R14" i="36"/>
  <c r="C98" i="23"/>
  <c r="AG618" s="1"/>
  <c r="C618" s="1"/>
  <c r="C138" s="1"/>
  <c r="C58" s="1"/>
  <c r="R98"/>
  <c r="C165" i="39"/>
  <c r="P97" i="38"/>
  <c r="P147" s="1"/>
  <c r="C147"/>
  <c r="C95" i="36"/>
  <c r="C99" i="38" s="1"/>
  <c r="AR37" i="22"/>
  <c r="L499" i="23" s="1"/>
  <c r="AP37" i="22"/>
  <c r="J499" i="23" s="1"/>
  <c r="AL37" i="22"/>
  <c r="F499" i="23" s="1"/>
  <c r="P94" i="36"/>
  <c r="P145" s="1"/>
  <c r="AO37" i="22"/>
  <c r="I499" i="23" s="1"/>
  <c r="C96" i="36" s="1"/>
  <c r="AQ37" i="22"/>
  <c r="K499" i="23" s="1"/>
  <c r="AI37" i="22"/>
  <c r="C499" i="23" s="1"/>
  <c r="C539" s="1"/>
  <c r="AS37" i="22"/>
  <c r="M499" i="23" s="1"/>
  <c r="C98" i="38"/>
  <c r="C148" s="1"/>
  <c r="AK37" i="22"/>
  <c r="E499" i="23" s="1"/>
  <c r="AN37" i="22"/>
  <c r="H499" i="23" s="1"/>
  <c r="AM37" i="22"/>
  <c r="G499" i="23" s="1"/>
  <c r="AJ37" i="22"/>
  <c r="D499" i="23" s="1"/>
  <c r="R73" i="39"/>
  <c r="P52" i="22"/>
  <c r="G52"/>
  <c r="Q52" s="1"/>
  <c r="T90"/>
  <c r="AV182"/>
  <c r="Y89"/>
  <c r="BA182" s="1"/>
  <c r="U89"/>
  <c r="AW182" s="1"/>
  <c r="AB89"/>
  <c r="BD182" s="1"/>
  <c r="W89"/>
  <c r="AY182" s="1"/>
  <c r="X89"/>
  <c r="AZ182" s="1"/>
  <c r="AE89"/>
  <c r="BG182" s="1"/>
  <c r="Z89"/>
  <c r="BB182" s="1"/>
  <c r="V89"/>
  <c r="AX182" s="1"/>
  <c r="AA89"/>
  <c r="BC182" s="1"/>
  <c r="AC89"/>
  <c r="BE182" s="1"/>
  <c r="AD89"/>
  <c r="BF182" s="1"/>
  <c r="Q15" i="36"/>
  <c r="R53" i="1"/>
  <c r="B133" i="23"/>
  <c r="B52"/>
  <c r="AI13" i="38"/>
  <c r="AK13" s="1"/>
  <c r="V13"/>
  <c r="B11" i="41"/>
  <c r="U16" i="39"/>
  <c r="AE38" i="22"/>
  <c r="Z38"/>
  <c r="AB38"/>
  <c r="Y38"/>
  <c r="V38"/>
  <c r="AC38"/>
  <c r="U38"/>
  <c r="X38"/>
  <c r="AD38"/>
  <c r="W38"/>
  <c r="T38"/>
  <c r="AH38" s="1"/>
  <c r="AA38"/>
  <c r="AF615" i="23"/>
  <c r="B15"/>
  <c r="B415"/>
  <c r="AT36" i="22"/>
  <c r="B498" i="23"/>
  <c r="P18" i="38"/>
  <c r="P21" i="39"/>
  <c r="P77" s="1"/>
  <c r="P65" i="36"/>
  <c r="P67" i="38"/>
  <c r="O74" i="39"/>
  <c r="O19"/>
  <c r="O16" i="38"/>
  <c r="O63" i="36"/>
  <c r="E24" i="27"/>
  <c r="E25"/>
  <c r="K25" s="1"/>
  <c r="L25" s="1"/>
  <c r="S10" s="1"/>
  <c r="R10" s="1"/>
  <c r="B614" i="23"/>
  <c r="B537"/>
  <c r="Q97" s="1"/>
  <c r="N497"/>
  <c r="C19" i="36"/>
  <c r="C166" i="39"/>
  <c r="P110"/>
  <c r="P166" s="1"/>
  <c r="F64" i="36"/>
  <c r="O16"/>
  <c r="F20" i="39"/>
  <c r="F76" s="1"/>
  <c r="F17" i="38"/>
  <c r="F67" s="1"/>
  <c r="U17" i="39"/>
  <c r="B12" i="41"/>
  <c r="D18" i="36"/>
  <c r="C66"/>
  <c r="C19" i="38"/>
  <c r="C69" s="1"/>
  <c r="P18" i="36"/>
  <c r="C22" i="39"/>
  <c r="C78" s="1"/>
  <c r="F53" i="22"/>
  <c r="C54"/>
  <c r="L28" i="27"/>
  <c r="E27"/>
  <c r="D64" i="41"/>
  <c r="E64"/>
  <c r="Q64" i="38"/>
  <c r="R64" s="1"/>
  <c r="AE14"/>
  <c r="Q15"/>
  <c r="Q62" i="36"/>
  <c r="Q18" i="39"/>
  <c r="Q74" s="1"/>
  <c r="AD14" i="36"/>
  <c r="B65" i="41"/>
  <c r="B31" i="27"/>
  <c r="O65" i="38"/>
  <c r="AF37" i="22"/>
  <c r="D65" i="36"/>
  <c r="F17"/>
  <c r="D18" i="38"/>
  <c r="D68" s="1"/>
  <c r="D21" i="39"/>
  <c r="D77" s="1"/>
  <c r="B96" i="23"/>
  <c r="D1895"/>
  <c r="D1920"/>
  <c r="AI14" i="38" l="1"/>
  <c r="AK14" s="1"/>
  <c r="C418" i="23"/>
  <c r="C18"/>
  <c r="U14" i="36"/>
  <c r="R18" i="39"/>
  <c r="B13" i="41" s="1"/>
  <c r="V14" i="36"/>
  <c r="R15" i="38"/>
  <c r="V15" s="1"/>
  <c r="AH14" i="36"/>
  <c r="AJ14" s="1"/>
  <c r="R62"/>
  <c r="R15"/>
  <c r="C99" i="23"/>
  <c r="AG619" s="1"/>
  <c r="C619" s="1"/>
  <c r="C139" s="1"/>
  <c r="C59" s="1"/>
  <c r="R99"/>
  <c r="P98" i="38"/>
  <c r="P148" s="1"/>
  <c r="P95" i="36"/>
  <c r="AF20" s="1"/>
  <c r="AG19" i="38"/>
  <c r="AQ38" i="22"/>
  <c r="K500" i="23" s="1"/>
  <c r="AR38" i="22"/>
  <c r="L500" i="23" s="1"/>
  <c r="AJ38" i="22"/>
  <c r="D500" i="23" s="1"/>
  <c r="AS38" i="22"/>
  <c r="M500" i="23" s="1"/>
  <c r="C146" i="36"/>
  <c r="AF19"/>
  <c r="AO38" i="22"/>
  <c r="I500" i="23" s="1"/>
  <c r="C97" i="36" s="1"/>
  <c r="AL38" i="22"/>
  <c r="F500" i="23" s="1"/>
  <c r="AM38" i="22"/>
  <c r="G500" i="23" s="1"/>
  <c r="AK38" i="22"/>
  <c r="E500" i="23" s="1"/>
  <c r="AN38" i="22"/>
  <c r="H500" i="23" s="1"/>
  <c r="C111" i="39"/>
  <c r="AI38" i="22"/>
  <c r="C500" i="23" s="1"/>
  <c r="C540" s="1"/>
  <c r="AP38" i="22"/>
  <c r="J500" i="23" s="1"/>
  <c r="R74" i="39"/>
  <c r="L32" i="27"/>
  <c r="E31"/>
  <c r="Q65" i="38"/>
  <c r="R65" s="1"/>
  <c r="AE15"/>
  <c r="F18" i="36"/>
  <c r="D66"/>
  <c r="D22" i="39"/>
  <c r="D78" s="1"/>
  <c r="D19" i="38"/>
  <c r="D69" s="1"/>
  <c r="AF38" i="22"/>
  <c r="O20" i="39"/>
  <c r="O64" i="36"/>
  <c r="O17" i="38"/>
  <c r="D11" i="41"/>
  <c r="E11"/>
  <c r="AT37" i="22"/>
  <c r="B499" i="23"/>
  <c r="D12" i="41"/>
  <c r="E12"/>
  <c r="B97" i="23"/>
  <c r="Q63" i="36"/>
  <c r="Q19" i="39"/>
  <c r="Q75" s="1"/>
  <c r="Q16" i="38"/>
  <c r="AD15" i="36"/>
  <c r="B66" i="41"/>
  <c r="AF616" i="23"/>
  <c r="B16"/>
  <c r="B416"/>
  <c r="G53" i="22"/>
  <c r="Q53" s="1"/>
  <c r="T91"/>
  <c r="P53"/>
  <c r="D19" i="36"/>
  <c r="C67"/>
  <c r="C20" i="38"/>
  <c r="C70" s="1"/>
  <c r="P19" i="36"/>
  <c r="C23" i="39"/>
  <c r="C79" s="1"/>
  <c r="O66" i="38"/>
  <c r="O75" i="39"/>
  <c r="B538" i="23"/>
  <c r="Q98" s="1"/>
  <c r="N498"/>
  <c r="C20" i="36"/>
  <c r="E28" i="27"/>
  <c r="E29"/>
  <c r="K29" s="1"/>
  <c r="L29" s="1"/>
  <c r="S11" s="1"/>
  <c r="R11" s="1"/>
  <c r="P19" i="38"/>
  <c r="P66" i="36"/>
  <c r="P22" i="39"/>
  <c r="P78" s="1"/>
  <c r="B615" i="23"/>
  <c r="C147" i="36"/>
  <c r="C112" i="39"/>
  <c r="P96" i="36"/>
  <c r="C100" i="38"/>
  <c r="AV183" i="22"/>
  <c r="X90"/>
  <c r="AZ183" s="1"/>
  <c r="U90"/>
  <c r="AW183" s="1"/>
  <c r="Y90"/>
  <c r="BA183" s="1"/>
  <c r="AC90"/>
  <c r="BE183" s="1"/>
  <c r="Z90"/>
  <c r="BB183" s="1"/>
  <c r="V90"/>
  <c r="AX183" s="1"/>
  <c r="AD90"/>
  <c r="BF183" s="1"/>
  <c r="AE90"/>
  <c r="BG183" s="1"/>
  <c r="W90"/>
  <c r="AY183" s="1"/>
  <c r="AB90"/>
  <c r="BD183" s="1"/>
  <c r="AA90"/>
  <c r="BC183" s="1"/>
  <c r="C149" i="38"/>
  <c r="P99"/>
  <c r="F65" i="36"/>
  <c r="O17"/>
  <c r="F21" i="39"/>
  <c r="F77" s="1"/>
  <c r="F18" i="38"/>
  <c r="F68" s="1"/>
  <c r="E65" i="41"/>
  <c r="D65"/>
  <c r="C55" i="22"/>
  <c r="F54"/>
  <c r="Q16" i="36"/>
  <c r="B134" i="23"/>
  <c r="P68" i="38"/>
  <c r="B35" i="27"/>
  <c r="B53" i="23"/>
  <c r="AE39" i="22"/>
  <c r="V39"/>
  <c r="AB39"/>
  <c r="AC39"/>
  <c r="Z39"/>
  <c r="U39"/>
  <c r="W39"/>
  <c r="AD39"/>
  <c r="Y39"/>
  <c r="X39"/>
  <c r="AA39"/>
  <c r="T39"/>
  <c r="AH39" s="1"/>
  <c r="D1932" i="23"/>
  <c r="D1907"/>
  <c r="C19" l="1"/>
  <c r="C419"/>
  <c r="U18" i="39"/>
  <c r="AI15" i="38"/>
  <c r="AI28" s="1"/>
  <c r="AG20"/>
  <c r="R63" i="36"/>
  <c r="R16" i="38"/>
  <c r="AI16" s="1"/>
  <c r="AK16" s="1"/>
  <c r="R19" i="39"/>
  <c r="U19" s="1"/>
  <c r="C100" i="23"/>
  <c r="C420" s="1"/>
  <c r="R100"/>
  <c r="V15" i="36"/>
  <c r="U15"/>
  <c r="AH15"/>
  <c r="AJ15" s="1"/>
  <c r="P146"/>
  <c r="AO39" i="22"/>
  <c r="I501" i="23" s="1"/>
  <c r="AI39" i="22"/>
  <c r="C501" i="23" s="1"/>
  <c r="C541" s="1"/>
  <c r="AM39" i="22"/>
  <c r="G501" i="23" s="1"/>
  <c r="AN39" i="22"/>
  <c r="H501" i="23" s="1"/>
  <c r="AS39" i="22"/>
  <c r="M501" i="23" s="1"/>
  <c r="C167" i="39"/>
  <c r="AK39" i="22"/>
  <c r="E501" i="23" s="1"/>
  <c r="AP39" i="22"/>
  <c r="J501" i="23" s="1"/>
  <c r="AL39" i="22"/>
  <c r="F501" i="23" s="1"/>
  <c r="AJ39" i="22"/>
  <c r="D501" i="23" s="1"/>
  <c r="P111" i="39"/>
  <c r="P167" s="1"/>
  <c r="AR39" i="22"/>
  <c r="L501" i="23" s="1"/>
  <c r="AQ39" i="22"/>
  <c r="K501" i="23" s="1"/>
  <c r="AF39" i="22"/>
  <c r="B54" i="23"/>
  <c r="G54" i="22"/>
  <c r="Q54" s="1"/>
  <c r="P54"/>
  <c r="T92"/>
  <c r="B616" i="23"/>
  <c r="AT38" i="22"/>
  <c r="B500" i="23"/>
  <c r="Q17" i="38"/>
  <c r="Q64" i="36"/>
  <c r="Q20" i="39"/>
  <c r="Q76" s="1"/>
  <c r="AD16" i="36"/>
  <c r="B67" i="41"/>
  <c r="F55" i="22"/>
  <c r="C56"/>
  <c r="C150" i="38"/>
  <c r="P100"/>
  <c r="F19" i="36"/>
  <c r="D67"/>
  <c r="D20" i="38"/>
  <c r="D70" s="1"/>
  <c r="D23" i="39"/>
  <c r="D79" s="1"/>
  <c r="B39" i="27"/>
  <c r="C168" i="39"/>
  <c r="P112"/>
  <c r="P168" s="1"/>
  <c r="P69" i="38"/>
  <c r="C68" i="36"/>
  <c r="D20"/>
  <c r="C21" i="38"/>
  <c r="C71" s="1"/>
  <c r="P20" i="36"/>
  <c r="C24" i="39"/>
  <c r="C80" s="1"/>
  <c r="AD91" i="22"/>
  <c r="BF184" s="1"/>
  <c r="W91"/>
  <c r="AY184" s="1"/>
  <c r="AV184"/>
  <c r="AC91"/>
  <c r="BE184" s="1"/>
  <c r="AE91"/>
  <c r="BG184" s="1"/>
  <c r="X91"/>
  <c r="AZ184" s="1"/>
  <c r="AB91"/>
  <c r="BD184" s="1"/>
  <c r="Z91"/>
  <c r="BB184" s="1"/>
  <c r="Y91"/>
  <c r="BA184" s="1"/>
  <c r="V91"/>
  <c r="AX184" s="1"/>
  <c r="AA91"/>
  <c r="BC184" s="1"/>
  <c r="U91"/>
  <c r="AW184" s="1"/>
  <c r="E32" i="27"/>
  <c r="E33"/>
  <c r="K33" s="1"/>
  <c r="L33" s="1"/>
  <c r="S12" s="1"/>
  <c r="R12" s="1"/>
  <c r="L36"/>
  <c r="E35"/>
  <c r="Q66" i="38"/>
  <c r="R66" s="1"/>
  <c r="AE16"/>
  <c r="B539" i="23"/>
  <c r="Q99" s="1"/>
  <c r="N499"/>
  <c r="C21" i="36"/>
  <c r="F66"/>
  <c r="O18"/>
  <c r="F22" i="39"/>
  <c r="F78" s="1"/>
  <c r="F19" i="38"/>
  <c r="F69" s="1"/>
  <c r="D13" i="41"/>
  <c r="E13"/>
  <c r="B98" i="23"/>
  <c r="D66" i="41"/>
  <c r="E66"/>
  <c r="AF617" i="23"/>
  <c r="B17"/>
  <c r="B417"/>
  <c r="R16" i="36"/>
  <c r="O76" i="39"/>
  <c r="C148" i="36"/>
  <c r="C101" i="38"/>
  <c r="P97" i="36"/>
  <c r="C113" i="39"/>
  <c r="O65" i="36"/>
  <c r="O21" i="39"/>
  <c r="O18" i="38"/>
  <c r="P149"/>
  <c r="AG21"/>
  <c r="P147" i="36"/>
  <c r="AF21"/>
  <c r="Q17"/>
  <c r="B135" i="23"/>
  <c r="R75" i="39"/>
  <c r="P20" i="38"/>
  <c r="P67" i="36"/>
  <c r="P23" i="39"/>
  <c r="P79" s="1"/>
  <c r="AE40" i="22"/>
  <c r="V40"/>
  <c r="AC40"/>
  <c r="X40"/>
  <c r="AD40"/>
  <c r="Y40"/>
  <c r="AB40"/>
  <c r="W40"/>
  <c r="Z40"/>
  <c r="U40"/>
  <c r="T40"/>
  <c r="AH40" s="1"/>
  <c r="AA40"/>
  <c r="O67" i="38"/>
  <c r="D1944" i="23"/>
  <c r="D1919"/>
  <c r="C20" l="1"/>
  <c r="AG620"/>
  <c r="C620" s="1"/>
  <c r="C140" s="1"/>
  <c r="C60" s="1"/>
  <c r="AK15" i="38"/>
  <c r="AK28" s="1"/>
  <c r="B14" i="41"/>
  <c r="E14" s="1"/>
  <c r="V16" i="38"/>
  <c r="R17" i="36"/>
  <c r="C101" i="23"/>
  <c r="C421" s="1"/>
  <c r="R101"/>
  <c r="AQ40" i="22"/>
  <c r="K502" i="23" s="1"/>
  <c r="AM40" i="22"/>
  <c r="G502" i="23" s="1"/>
  <c r="AN40" i="22"/>
  <c r="H502" i="23" s="1"/>
  <c r="AR40" i="22"/>
  <c r="L502" i="23" s="1"/>
  <c r="AS40" i="22"/>
  <c r="M502" i="23" s="1"/>
  <c r="C98" i="36"/>
  <c r="C149" s="1"/>
  <c r="AP40" i="22"/>
  <c r="J502" i="23" s="1"/>
  <c r="AI40" i="22"/>
  <c r="C502" i="23" s="1"/>
  <c r="C542" s="1"/>
  <c r="AJ40" i="22"/>
  <c r="D502" i="23" s="1"/>
  <c r="AO40" i="22"/>
  <c r="I502" i="23" s="1"/>
  <c r="AK40" i="22"/>
  <c r="E502" i="23" s="1"/>
  <c r="AL40" i="22"/>
  <c r="F502" i="23" s="1"/>
  <c r="R76" i="39"/>
  <c r="AF40" i="22"/>
  <c r="P148" i="36"/>
  <c r="AF22"/>
  <c r="E36" i="27"/>
  <c r="E37"/>
  <c r="K37" s="1"/>
  <c r="L37" s="1"/>
  <c r="S13" s="1"/>
  <c r="R13" s="1"/>
  <c r="L40"/>
  <c r="E39"/>
  <c r="Q67" i="38"/>
  <c r="R67" s="1"/>
  <c r="AE17"/>
  <c r="AE41" i="22"/>
  <c r="AD41"/>
  <c r="U41"/>
  <c r="AB41"/>
  <c r="Z41"/>
  <c r="X41"/>
  <c r="AC41"/>
  <c r="W41"/>
  <c r="Y41"/>
  <c r="V41"/>
  <c r="AA41"/>
  <c r="T41"/>
  <c r="AH41" s="1"/>
  <c r="B617" i="23"/>
  <c r="F20" i="36"/>
  <c r="D68"/>
  <c r="D21" i="38"/>
  <c r="D71" s="1"/>
  <c r="D24" i="39"/>
  <c r="D80" s="1"/>
  <c r="F56" i="22"/>
  <c r="C57"/>
  <c r="AT39"/>
  <c r="B501" i="23"/>
  <c r="P70" i="38"/>
  <c r="B55" i="23"/>
  <c r="O77" i="39"/>
  <c r="P55" i="22"/>
  <c r="T93"/>
  <c r="AV186" s="1"/>
  <c r="G55"/>
  <c r="Q55" s="1"/>
  <c r="Q65" i="36"/>
  <c r="Q21" i="39"/>
  <c r="Q77" s="1"/>
  <c r="Q18" i="38"/>
  <c r="AD17" i="36"/>
  <c r="B68" i="41"/>
  <c r="O68" i="38"/>
  <c r="C169" i="39"/>
  <c r="P113"/>
  <c r="P169" s="1"/>
  <c r="U16" i="36"/>
  <c r="R17" i="38"/>
  <c r="R20" i="39"/>
  <c r="R64" i="36"/>
  <c r="AH16"/>
  <c r="AJ16" s="1"/>
  <c r="V16"/>
  <c r="AF618" i="23"/>
  <c r="B18"/>
  <c r="B418"/>
  <c r="O19" i="38"/>
  <c r="O66" i="36"/>
  <c r="O22" i="39"/>
  <c r="C69" i="36"/>
  <c r="D21"/>
  <c r="C25" i="39"/>
  <c r="C81" s="1"/>
  <c r="P21" i="36"/>
  <c r="C22" i="38"/>
  <c r="C72" s="1"/>
  <c r="P21"/>
  <c r="P68" i="36"/>
  <c r="P24" i="39"/>
  <c r="P80" s="1"/>
  <c r="P150" i="38"/>
  <c r="AG22"/>
  <c r="E67" i="41"/>
  <c r="D67"/>
  <c r="Z92" i="22"/>
  <c r="BB185" s="1"/>
  <c r="V92"/>
  <c r="AX185" s="1"/>
  <c r="AD92"/>
  <c r="BF185" s="1"/>
  <c r="AV185"/>
  <c r="AE92"/>
  <c r="BG185" s="1"/>
  <c r="X92"/>
  <c r="AZ185" s="1"/>
  <c r="W92"/>
  <c r="AY185" s="1"/>
  <c r="AA92"/>
  <c r="BC185" s="1"/>
  <c r="AB92"/>
  <c r="BD185" s="1"/>
  <c r="U92"/>
  <c r="AW185" s="1"/>
  <c r="AC92"/>
  <c r="BE185" s="1"/>
  <c r="Y92"/>
  <c r="BA185" s="1"/>
  <c r="B43" i="27"/>
  <c r="F67" i="36"/>
  <c r="O19"/>
  <c r="F23" i="39"/>
  <c r="F79" s="1"/>
  <c r="F20" i="38"/>
  <c r="F70" s="1"/>
  <c r="C151"/>
  <c r="P101"/>
  <c r="B99" i="23"/>
  <c r="B540"/>
  <c r="Q100" s="1"/>
  <c r="N500"/>
  <c r="C22" i="36"/>
  <c r="Q18"/>
  <c r="B136" i="23"/>
  <c r="D1931"/>
  <c r="D1956"/>
  <c r="AG621" l="1"/>
  <c r="C621" s="1"/>
  <c r="C141" s="1"/>
  <c r="C61" s="1"/>
  <c r="C21"/>
  <c r="D14" i="41"/>
  <c r="U17" i="36"/>
  <c r="R65"/>
  <c r="AH17"/>
  <c r="AJ17" s="1"/>
  <c r="R18" i="38"/>
  <c r="V18" s="1"/>
  <c r="R21" i="39"/>
  <c r="B16" i="41" s="1"/>
  <c r="V17" i="36"/>
  <c r="R18"/>
  <c r="C102" i="23"/>
  <c r="AG622" s="1"/>
  <c r="C622" s="1"/>
  <c r="C142" s="1"/>
  <c r="C62" s="1"/>
  <c r="R102"/>
  <c r="P98" i="36"/>
  <c r="P149" s="1"/>
  <c r="C99"/>
  <c r="P99" s="1"/>
  <c r="C102" i="38"/>
  <c r="C152" s="1"/>
  <c r="C114" i="39"/>
  <c r="P114" s="1"/>
  <c r="P170" s="1"/>
  <c r="AN41" i="22"/>
  <c r="H503" i="23" s="1"/>
  <c r="AP41" i="22"/>
  <c r="J503" i="23" s="1"/>
  <c r="AO41" i="22"/>
  <c r="I503" i="23" s="1"/>
  <c r="C100" i="36" s="1"/>
  <c r="AQ41" i="22"/>
  <c r="K503" i="23" s="1"/>
  <c r="AI41" i="22"/>
  <c r="C503" i="23" s="1"/>
  <c r="C543" s="1"/>
  <c r="AM41" i="22"/>
  <c r="G503" i="23" s="1"/>
  <c r="AS41" i="22"/>
  <c r="M503" i="23" s="1"/>
  <c r="AK41" i="22"/>
  <c r="E503" i="23" s="1"/>
  <c r="AJ41" i="22"/>
  <c r="D503" i="23" s="1"/>
  <c r="AL41" i="22"/>
  <c r="F503" i="23" s="1"/>
  <c r="AR41" i="22"/>
  <c r="L503" i="23" s="1"/>
  <c r="R77" i="39"/>
  <c r="C70" i="36"/>
  <c r="D22"/>
  <c r="P22"/>
  <c r="C26" i="39"/>
  <c r="C82" s="1"/>
  <c r="C23" i="38"/>
  <c r="C73" s="1"/>
  <c r="B47" i="27"/>
  <c r="AI17" i="38"/>
  <c r="AK17" s="1"/>
  <c r="V17"/>
  <c r="AC42" i="22"/>
  <c r="Z42"/>
  <c r="AB42"/>
  <c r="AD42"/>
  <c r="Y42"/>
  <c r="AA42"/>
  <c r="X42"/>
  <c r="AE42"/>
  <c r="W42"/>
  <c r="V42"/>
  <c r="U42"/>
  <c r="T42"/>
  <c r="AH42" s="1"/>
  <c r="Q19" i="36"/>
  <c r="B137" i="23"/>
  <c r="P71" i="38"/>
  <c r="B502" i="23"/>
  <c r="AT40" i="22"/>
  <c r="Q22" i="39"/>
  <c r="Q78" s="1"/>
  <c r="Q66" i="36"/>
  <c r="Q19" i="38"/>
  <c r="AD18" i="36"/>
  <c r="B69" i="41"/>
  <c r="P22" i="38"/>
  <c r="P69" i="36"/>
  <c r="P25" i="39"/>
  <c r="P81" s="1"/>
  <c r="O78"/>
  <c r="O69" i="38"/>
  <c r="B15" i="41"/>
  <c r="U20" i="39"/>
  <c r="E68" i="41"/>
  <c r="D68"/>
  <c r="Y93" i="22"/>
  <c r="BA186" s="1"/>
  <c r="U93"/>
  <c r="AW186" s="1"/>
  <c r="AA93"/>
  <c r="BC186" s="1"/>
  <c r="X93"/>
  <c r="AZ186" s="1"/>
  <c r="Z93"/>
  <c r="BB186" s="1"/>
  <c r="AD93"/>
  <c r="BF186" s="1"/>
  <c r="W93"/>
  <c r="AY186" s="1"/>
  <c r="V93"/>
  <c r="AX186" s="1"/>
  <c r="AB93"/>
  <c r="BD186" s="1"/>
  <c r="AC93"/>
  <c r="BE186" s="1"/>
  <c r="AE93"/>
  <c r="BG186" s="1"/>
  <c r="B541" i="23"/>
  <c r="Q101" s="1"/>
  <c r="N501"/>
  <c r="C23" i="36"/>
  <c r="AF619" i="23"/>
  <c r="B19"/>
  <c r="B419"/>
  <c r="F68" i="36"/>
  <c r="O20"/>
  <c r="F21" i="38"/>
  <c r="F71" s="1"/>
  <c r="F24" i="39"/>
  <c r="F80" s="1"/>
  <c r="B56" i="23"/>
  <c r="AG23" i="38"/>
  <c r="P151"/>
  <c r="D69" i="36"/>
  <c r="F21"/>
  <c r="D25" i="39"/>
  <c r="D81" s="1"/>
  <c r="D22" i="38"/>
  <c r="D72" s="1"/>
  <c r="B618" i="23"/>
  <c r="C58" i="22"/>
  <c r="F57"/>
  <c r="B100" i="23"/>
  <c r="O67" i="36"/>
  <c r="O23" i="39"/>
  <c r="O20" i="38"/>
  <c r="L44" i="27"/>
  <c r="E43"/>
  <c r="Q68" i="38"/>
  <c r="R68" s="1"/>
  <c r="AE18"/>
  <c r="T94" i="22"/>
  <c r="AV187" s="1"/>
  <c r="G56"/>
  <c r="Q56" s="1"/>
  <c r="P56"/>
  <c r="AF41"/>
  <c r="E40" i="27"/>
  <c r="E41"/>
  <c r="K41" s="1"/>
  <c r="L41" s="1"/>
  <c r="S14" s="1"/>
  <c r="R14" s="1"/>
  <c r="D1968" i="23"/>
  <c r="D1943"/>
  <c r="C422" l="1"/>
  <c r="C22"/>
  <c r="AF23" i="36"/>
  <c r="U21" i="39"/>
  <c r="AI18" i="38"/>
  <c r="AK18" s="1"/>
  <c r="C115" i="39"/>
  <c r="C171" s="1"/>
  <c r="C103" i="38"/>
  <c r="C153" s="1"/>
  <c r="C150" i="36"/>
  <c r="C103" i="23"/>
  <c r="C423" s="1"/>
  <c r="R103"/>
  <c r="R22" i="39"/>
  <c r="U22" s="1"/>
  <c r="U18" i="36"/>
  <c r="AH18"/>
  <c r="AJ18" s="1"/>
  <c r="R19" i="38"/>
  <c r="V19" s="1"/>
  <c r="R19" i="36"/>
  <c r="R66"/>
  <c r="V18"/>
  <c r="P102" i="38"/>
  <c r="AG24" s="1"/>
  <c r="C170" i="39"/>
  <c r="AN42" i="22"/>
  <c r="H504" i="23" s="1"/>
  <c r="AK42" i="22"/>
  <c r="E504" i="23" s="1"/>
  <c r="AQ42" i="22"/>
  <c r="K504" i="23" s="1"/>
  <c r="AS42" i="22"/>
  <c r="M504" i="23" s="1"/>
  <c r="AR42" i="22"/>
  <c r="L504" i="23" s="1"/>
  <c r="AJ42" i="22"/>
  <c r="D504" i="23" s="1"/>
  <c r="AO42" i="22"/>
  <c r="I504" i="23" s="1"/>
  <c r="AM42" i="22"/>
  <c r="G504" i="23" s="1"/>
  <c r="AI42" i="22"/>
  <c r="C504" i="23" s="1"/>
  <c r="C544" s="1"/>
  <c r="AL42" i="22"/>
  <c r="F504" i="23" s="1"/>
  <c r="AP42" i="22"/>
  <c r="J504" i="23" s="1"/>
  <c r="E44" i="27"/>
  <c r="E45"/>
  <c r="K45" s="1"/>
  <c r="L45" s="1"/>
  <c r="S15" s="1"/>
  <c r="R15" s="1"/>
  <c r="AF24" i="36"/>
  <c r="P150"/>
  <c r="O79" i="39"/>
  <c r="Z94" i="22"/>
  <c r="BB187" s="1"/>
  <c r="AD94"/>
  <c r="BF187" s="1"/>
  <c r="Y94"/>
  <c r="BA187" s="1"/>
  <c r="AA94"/>
  <c r="BC187" s="1"/>
  <c r="U94"/>
  <c r="AW187" s="1"/>
  <c r="X94"/>
  <c r="AZ187" s="1"/>
  <c r="AC94"/>
  <c r="BE187" s="1"/>
  <c r="V94"/>
  <c r="AX187" s="1"/>
  <c r="AE94"/>
  <c r="BG187" s="1"/>
  <c r="AB94"/>
  <c r="BD187" s="1"/>
  <c r="W94"/>
  <c r="AY187" s="1"/>
  <c r="AF620" i="23"/>
  <c r="B20"/>
  <c r="B420"/>
  <c r="F69" i="36"/>
  <c r="O21"/>
  <c r="F25" i="39"/>
  <c r="F81" s="1"/>
  <c r="F22" i="38"/>
  <c r="F72" s="1"/>
  <c r="D15" i="41"/>
  <c r="E15"/>
  <c r="Q69" i="38"/>
  <c r="R69" s="1"/>
  <c r="AE19"/>
  <c r="N502" i="23"/>
  <c r="B542"/>
  <c r="Q102" s="1"/>
  <c r="C24" i="36"/>
  <c r="AF42" i="22"/>
  <c r="AT41"/>
  <c r="B503" i="23"/>
  <c r="Q20" i="36"/>
  <c r="B138" i="23"/>
  <c r="D23" i="36"/>
  <c r="C71"/>
  <c r="C24" i="38"/>
  <c r="C74" s="1"/>
  <c r="P23" i="36"/>
  <c r="C27" i="39"/>
  <c r="C83" s="1"/>
  <c r="B57" i="23"/>
  <c r="P70" i="36"/>
  <c r="P23" i="38"/>
  <c r="P26" i="39"/>
  <c r="P82" s="1"/>
  <c r="AD43" i="22"/>
  <c r="U43"/>
  <c r="AA43"/>
  <c r="V43"/>
  <c r="W43"/>
  <c r="AB43"/>
  <c r="Z43"/>
  <c r="Y43"/>
  <c r="X43"/>
  <c r="AE43"/>
  <c r="AC43"/>
  <c r="T43"/>
  <c r="AH43" s="1"/>
  <c r="O70" i="38"/>
  <c r="T95" i="22"/>
  <c r="AV188" s="1"/>
  <c r="G57"/>
  <c r="Q57" s="1"/>
  <c r="P57"/>
  <c r="B619" i="23"/>
  <c r="E16" i="41"/>
  <c r="D16"/>
  <c r="E69"/>
  <c r="D69"/>
  <c r="L48" i="27"/>
  <c r="E47"/>
  <c r="F22" i="36"/>
  <c r="D70"/>
  <c r="D23" i="38"/>
  <c r="D73" s="1"/>
  <c r="D26" i="39"/>
  <c r="D82" s="1"/>
  <c r="F58" i="22"/>
  <c r="C59"/>
  <c r="O24" i="39"/>
  <c r="O21" i="38"/>
  <c r="O68" i="36"/>
  <c r="B51" i="27"/>
  <c r="C151" i="36"/>
  <c r="C104" i="38"/>
  <c r="P100" i="36"/>
  <c r="C116" i="39"/>
  <c r="B101" i="23"/>
  <c r="R78" i="39"/>
  <c r="P72" i="38"/>
  <c r="Q67" i="36"/>
  <c r="Q20" i="38"/>
  <c r="Q23" i="39"/>
  <c r="Q79" s="1"/>
  <c r="AD19" i="36"/>
  <c r="B70" i="41"/>
  <c r="D1955" i="23"/>
  <c r="D1980"/>
  <c r="R20" i="38" l="1"/>
  <c r="V20" s="1"/>
  <c r="P115" i="39"/>
  <c r="P171" s="1"/>
  <c r="R67" i="36"/>
  <c r="AI19" i="38"/>
  <c r="AK19" s="1"/>
  <c r="P103"/>
  <c r="AG25" s="1"/>
  <c r="V19" i="36"/>
  <c r="U19"/>
  <c r="P152" i="38"/>
  <c r="R23" i="39"/>
  <c r="U23" s="1"/>
  <c r="B17" i="41"/>
  <c r="D17" s="1"/>
  <c r="AH19" i="36"/>
  <c r="AJ19" s="1"/>
  <c r="C23" i="23"/>
  <c r="R20" i="36"/>
  <c r="C104" i="23"/>
  <c r="AG624" s="1"/>
  <c r="C624" s="1"/>
  <c r="C144" s="1"/>
  <c r="C64" s="1"/>
  <c r="R104"/>
  <c r="AG623"/>
  <c r="C623" s="1"/>
  <c r="C143" s="1"/>
  <c r="C63" s="1"/>
  <c r="AP43" i="22"/>
  <c r="J505" i="23" s="1"/>
  <c r="AL43" i="22"/>
  <c r="F505" i="23" s="1"/>
  <c r="AK43" i="22"/>
  <c r="E505" i="23" s="1"/>
  <c r="AM43" i="22"/>
  <c r="G505" i="23" s="1"/>
  <c r="AJ43" i="22"/>
  <c r="D505" i="23" s="1"/>
  <c r="AS43" i="22"/>
  <c r="M505" i="23" s="1"/>
  <c r="AI43" i="22"/>
  <c r="C505" i="23" s="1"/>
  <c r="C545" s="1"/>
  <c r="AR43" i="22"/>
  <c r="L505" i="23" s="1"/>
  <c r="AQ43" i="22"/>
  <c r="K505" i="23" s="1"/>
  <c r="AN43" i="22"/>
  <c r="H505" i="23" s="1"/>
  <c r="AO43" i="22"/>
  <c r="I505" i="23" s="1"/>
  <c r="P151" i="36"/>
  <c r="AF25"/>
  <c r="O80" i="39"/>
  <c r="C60" i="22"/>
  <c r="F59"/>
  <c r="AC44"/>
  <c r="X44"/>
  <c r="Z44"/>
  <c r="AD44"/>
  <c r="AE44"/>
  <c r="U44"/>
  <c r="V44"/>
  <c r="AA44"/>
  <c r="Y44"/>
  <c r="AB44"/>
  <c r="W44"/>
  <c r="T44"/>
  <c r="AH44" s="1"/>
  <c r="B58" i="23"/>
  <c r="AF621"/>
  <c r="B21"/>
  <c r="B421"/>
  <c r="C154" i="38"/>
  <c r="P104"/>
  <c r="Q68" i="36"/>
  <c r="Q21" i="38"/>
  <c r="Q24" i="39"/>
  <c r="Q80" s="1"/>
  <c r="AD20" i="36"/>
  <c r="B71" i="41"/>
  <c r="B543" i="23"/>
  <c r="Q103" s="1"/>
  <c r="N503"/>
  <c r="C25" i="36"/>
  <c r="B55" i="27"/>
  <c r="D70" i="41"/>
  <c r="E70"/>
  <c r="Q70" i="38"/>
  <c r="R70" s="1"/>
  <c r="AE20"/>
  <c r="C172" i="39"/>
  <c r="P116"/>
  <c r="P172" s="1"/>
  <c r="O71" i="38"/>
  <c r="E48" i="27"/>
  <c r="E49"/>
  <c r="K49" s="1"/>
  <c r="L49" s="1"/>
  <c r="S16" s="1"/>
  <c r="R16" s="1"/>
  <c r="Q21" i="36"/>
  <c r="B139" i="23"/>
  <c r="F23" i="36"/>
  <c r="D71"/>
  <c r="D24" i="38"/>
  <c r="D74" s="1"/>
  <c r="D27" i="39"/>
  <c r="D83" s="1"/>
  <c r="B102" i="23"/>
  <c r="O25" i="39"/>
  <c r="O22" i="38"/>
  <c r="O69" i="36"/>
  <c r="L52" i="27"/>
  <c r="E51"/>
  <c r="F70" i="36"/>
  <c r="O22"/>
  <c r="F26" i="39"/>
  <c r="F82" s="1"/>
  <c r="F23" i="38"/>
  <c r="F73" s="1"/>
  <c r="P73"/>
  <c r="P71" i="36"/>
  <c r="P24" i="38"/>
  <c r="P27" i="39"/>
  <c r="P83" s="1"/>
  <c r="T96" i="22"/>
  <c r="AV189" s="1"/>
  <c r="P58"/>
  <c r="G58"/>
  <c r="Q58" s="1"/>
  <c r="U95"/>
  <c r="AW188" s="1"/>
  <c r="AA95"/>
  <c r="BC188" s="1"/>
  <c r="Z95"/>
  <c r="BB188" s="1"/>
  <c r="AD95"/>
  <c r="BF188" s="1"/>
  <c r="V95"/>
  <c r="AX188" s="1"/>
  <c r="Y95"/>
  <c r="BA188" s="1"/>
  <c r="X95"/>
  <c r="AZ188" s="1"/>
  <c r="AE95"/>
  <c r="BG188" s="1"/>
  <c r="AB95"/>
  <c r="BD188" s="1"/>
  <c r="W95"/>
  <c r="AY188" s="1"/>
  <c r="AC95"/>
  <c r="BE188" s="1"/>
  <c r="AF43"/>
  <c r="AT42"/>
  <c r="B504" i="23"/>
  <c r="C72" i="36"/>
  <c r="D24"/>
  <c r="P24"/>
  <c r="C25" i="38"/>
  <c r="C75" s="1"/>
  <c r="C28" i="39"/>
  <c r="C84" s="1"/>
  <c r="B620" i="23"/>
  <c r="R79" i="39"/>
  <c r="D1967" i="23"/>
  <c r="D1992"/>
  <c r="P153" i="38" l="1"/>
  <c r="AI20"/>
  <c r="AK20" s="1"/>
  <c r="C424" i="23"/>
  <c r="C24"/>
  <c r="U20" i="36"/>
  <c r="B18" i="41"/>
  <c r="D18" s="1"/>
  <c r="E17"/>
  <c r="R68" i="36"/>
  <c r="R21" i="38"/>
  <c r="AI21" s="1"/>
  <c r="AK21" s="1"/>
  <c r="AH20" i="36"/>
  <c r="AJ20" s="1"/>
  <c r="R21"/>
  <c r="R24" i="39"/>
  <c r="U24" s="1"/>
  <c r="V20" i="36"/>
  <c r="C105" i="23"/>
  <c r="C25" s="1"/>
  <c r="R105"/>
  <c r="AM44" i="22"/>
  <c r="G506" i="23" s="1"/>
  <c r="AQ44" i="22"/>
  <c r="K506" i="23" s="1"/>
  <c r="AR44" i="22"/>
  <c r="L506" i="23" s="1"/>
  <c r="AK44" i="22"/>
  <c r="E506" i="23" s="1"/>
  <c r="AJ44" i="22"/>
  <c r="D506" i="23" s="1"/>
  <c r="AN44" i="22"/>
  <c r="H506" i="23" s="1"/>
  <c r="AS44" i="22"/>
  <c r="M506" i="23" s="1"/>
  <c r="AO44" i="22"/>
  <c r="I506" i="23" s="1"/>
  <c r="AP44" i="22"/>
  <c r="J506" i="23" s="1"/>
  <c r="AI44" i="22"/>
  <c r="C506" i="23" s="1"/>
  <c r="C546" s="1"/>
  <c r="AL44" i="22"/>
  <c r="F506" i="23" s="1"/>
  <c r="L56" i="27"/>
  <c r="E55"/>
  <c r="AF622" i="23"/>
  <c r="B22"/>
  <c r="B422"/>
  <c r="F71" i="36"/>
  <c r="O23"/>
  <c r="F24" i="38"/>
  <c r="F74" s="1"/>
  <c r="F27" i="39"/>
  <c r="F83" s="1"/>
  <c r="B59" i="23"/>
  <c r="B59" i="27"/>
  <c r="Q22" i="36"/>
  <c r="B140" i="23"/>
  <c r="P28" i="39"/>
  <c r="P84" s="1"/>
  <c r="P72" i="36"/>
  <c r="P25" i="38"/>
  <c r="B505" i="23"/>
  <c r="AT43" i="22"/>
  <c r="U96"/>
  <c r="AW189" s="1"/>
  <c r="W96"/>
  <c r="AY189" s="1"/>
  <c r="Z96"/>
  <c r="BB189" s="1"/>
  <c r="Y96"/>
  <c r="BA189" s="1"/>
  <c r="AA96"/>
  <c r="BC189" s="1"/>
  <c r="AC96"/>
  <c r="BE189" s="1"/>
  <c r="X96"/>
  <c r="AZ189" s="1"/>
  <c r="AD96"/>
  <c r="BF189" s="1"/>
  <c r="AB96"/>
  <c r="BD189" s="1"/>
  <c r="V96"/>
  <c r="AX189" s="1"/>
  <c r="AE96"/>
  <c r="BG189" s="1"/>
  <c r="V21" i="38"/>
  <c r="R80" i="39"/>
  <c r="D72" i="36"/>
  <c r="F24"/>
  <c r="D25" i="38"/>
  <c r="D75" s="1"/>
  <c r="D28" i="39"/>
  <c r="D84" s="1"/>
  <c r="P74" i="38"/>
  <c r="O72"/>
  <c r="B103" i="23"/>
  <c r="P154" i="38"/>
  <c r="AG26"/>
  <c r="O81" i="39"/>
  <c r="Q71" i="38"/>
  <c r="R71" s="1"/>
  <c r="AE21"/>
  <c r="T97" i="22"/>
  <c r="AV190" s="1"/>
  <c r="P59"/>
  <c r="G59"/>
  <c r="Q59" s="1"/>
  <c r="B544" i="23"/>
  <c r="Q104" s="1"/>
  <c r="N504"/>
  <c r="W45" i="22"/>
  <c r="X45"/>
  <c r="Z45"/>
  <c r="AE45"/>
  <c r="V45"/>
  <c r="Y45"/>
  <c r="AB45"/>
  <c r="AC45"/>
  <c r="U45"/>
  <c r="AA45"/>
  <c r="AD45"/>
  <c r="T45"/>
  <c r="AH45" s="1"/>
  <c r="O70" i="36"/>
  <c r="O23" i="38"/>
  <c r="O26" i="39"/>
  <c r="O82" s="1"/>
  <c r="E52" i="27"/>
  <c r="E53"/>
  <c r="K53" s="1"/>
  <c r="L53" s="1"/>
  <c r="S17" s="1"/>
  <c r="R17" s="1"/>
  <c r="Q25" i="39"/>
  <c r="Q81" s="1"/>
  <c r="Q69" i="36"/>
  <c r="Q22" i="38"/>
  <c r="AD21" i="36"/>
  <c r="B72" i="41"/>
  <c r="C73" i="36"/>
  <c r="D25"/>
  <c r="C26" i="38"/>
  <c r="C76" s="1"/>
  <c r="C29" i="39"/>
  <c r="C85" s="1"/>
  <c r="P25" i="36"/>
  <c r="E71" i="41"/>
  <c r="D71"/>
  <c r="B621" i="23"/>
  <c r="AF44" i="22"/>
  <c r="F60"/>
  <c r="C61"/>
  <c r="D1979" i="23"/>
  <c r="D2004"/>
  <c r="D2016"/>
  <c r="B19" i="41" l="1"/>
  <c r="D19" s="1"/>
  <c r="E18"/>
  <c r="R22" i="38"/>
  <c r="AI22" s="1"/>
  <c r="AK22" s="1"/>
  <c r="V21" i="36"/>
  <c r="R69"/>
  <c r="R25" i="39"/>
  <c r="B20" i="41" s="1"/>
  <c r="C425" i="23"/>
  <c r="AG625"/>
  <c r="C625" s="1"/>
  <c r="C145" s="1"/>
  <c r="C65" s="1"/>
  <c r="AH21" i="36"/>
  <c r="AJ21" s="1"/>
  <c r="U21"/>
  <c r="C106" i="23"/>
  <c r="AG626" s="1"/>
  <c r="C626" s="1"/>
  <c r="C146" s="1"/>
  <c r="C66" s="1"/>
  <c r="R106"/>
  <c r="AI45" i="22"/>
  <c r="C507" i="23" s="1"/>
  <c r="C547" s="1"/>
  <c r="AR45" i="22"/>
  <c r="L507" i="23" s="1"/>
  <c r="AP45" i="22"/>
  <c r="J507" i="23" s="1"/>
  <c r="AN45" i="22"/>
  <c r="H507" i="23" s="1"/>
  <c r="AJ45" i="22"/>
  <c r="D507" i="23" s="1"/>
  <c r="AK45" i="22"/>
  <c r="E507" i="23" s="1"/>
  <c r="AQ45" i="22"/>
  <c r="K507" i="23" s="1"/>
  <c r="AS45" i="22"/>
  <c r="M507" i="23" s="1"/>
  <c r="AO45" i="22"/>
  <c r="I507" i="23" s="1"/>
  <c r="AM45" i="22"/>
  <c r="G507" i="23" s="1"/>
  <c r="AL45" i="22"/>
  <c r="F507" i="23" s="1"/>
  <c r="Q23" i="36"/>
  <c r="B141" i="23"/>
  <c r="D73" i="36"/>
  <c r="F25"/>
  <c r="D29" i="39"/>
  <c r="D85" s="1"/>
  <c r="D26" i="38"/>
  <c r="D76" s="1"/>
  <c r="B104" i="23"/>
  <c r="B60"/>
  <c r="F61" i="22"/>
  <c r="C62"/>
  <c r="AT44"/>
  <c r="B506" i="23"/>
  <c r="P26" i="38"/>
  <c r="P73" i="36"/>
  <c r="P29" i="39"/>
  <c r="P85" s="1"/>
  <c r="B545" i="23"/>
  <c r="Q105" s="1"/>
  <c r="N505"/>
  <c r="L60" i="27"/>
  <c r="E59"/>
  <c r="B63"/>
  <c r="P60" i="22"/>
  <c r="T98"/>
  <c r="AV191" s="1"/>
  <c r="G60"/>
  <c r="Q60" s="1"/>
  <c r="E72" i="41"/>
  <c r="D72"/>
  <c r="O73" i="38"/>
  <c r="AA46" i="22"/>
  <c r="W46"/>
  <c r="V46"/>
  <c r="X46"/>
  <c r="Z46"/>
  <c r="AE46"/>
  <c r="AB46"/>
  <c r="AD46"/>
  <c r="U46"/>
  <c r="AC46"/>
  <c r="Y46"/>
  <c r="T46"/>
  <c r="AH46" s="1"/>
  <c r="O24" i="36"/>
  <c r="F72"/>
  <c r="F28" i="39"/>
  <c r="F84" s="1"/>
  <c r="F25" i="38"/>
  <c r="F75" s="1"/>
  <c r="B622" i="23"/>
  <c r="Q72" i="38"/>
  <c r="R72" s="1"/>
  <c r="AE22"/>
  <c r="E56" i="27"/>
  <c r="E57"/>
  <c r="K57" s="1"/>
  <c r="L57" s="1"/>
  <c r="S18" s="1"/>
  <c r="R18" s="1"/>
  <c r="P75" i="38"/>
  <c r="Q70" i="36"/>
  <c r="Q26" i="39"/>
  <c r="Q82" s="1"/>
  <c r="R82" s="1"/>
  <c r="Q23" i="38"/>
  <c r="AD22" i="36"/>
  <c r="B73" i="41"/>
  <c r="R22" i="36"/>
  <c r="AF45" i="22"/>
  <c r="AD97"/>
  <c r="BF190" s="1"/>
  <c r="W97"/>
  <c r="AY190" s="1"/>
  <c r="Z97"/>
  <c r="BB190" s="1"/>
  <c r="Y97"/>
  <c r="BA190" s="1"/>
  <c r="AA97"/>
  <c r="BC190" s="1"/>
  <c r="AE97"/>
  <c r="BG190" s="1"/>
  <c r="AB97"/>
  <c r="BD190" s="1"/>
  <c r="V97"/>
  <c r="AX190" s="1"/>
  <c r="AC97"/>
  <c r="BE190" s="1"/>
  <c r="X97"/>
  <c r="AZ190" s="1"/>
  <c r="U97"/>
  <c r="AW190" s="1"/>
  <c r="R81" i="39"/>
  <c r="AF623" i="23"/>
  <c r="B23"/>
  <c r="B423"/>
  <c r="O71" i="36"/>
  <c r="O27" i="39"/>
  <c r="O83" s="1"/>
  <c r="O24" i="38"/>
  <c r="D1991" i="23"/>
  <c r="E19" i="41" l="1"/>
  <c r="C426" i="23"/>
  <c r="V22" i="38"/>
  <c r="U25" i="39"/>
  <c r="C107" i="23"/>
  <c r="C427" s="1"/>
  <c r="R107"/>
  <c r="C26"/>
  <c r="AM46" i="22"/>
  <c r="G508" i="23" s="1"/>
  <c r="AJ46" i="22"/>
  <c r="D508" i="23" s="1"/>
  <c r="AS46" i="22"/>
  <c r="M508" i="23" s="1"/>
  <c r="AI46" i="22"/>
  <c r="C508" i="23" s="1"/>
  <c r="C548" s="1"/>
  <c r="AN46" i="22"/>
  <c r="H508" i="23" s="1"/>
  <c r="AO46" i="22"/>
  <c r="I508" i="23" s="1"/>
  <c r="AP46" i="22"/>
  <c r="J508" i="23" s="1"/>
  <c r="AQ46" i="22"/>
  <c r="K508" i="23" s="1"/>
  <c r="AK46" i="22"/>
  <c r="E508" i="23" s="1"/>
  <c r="AR46" i="22"/>
  <c r="L508" i="23" s="1"/>
  <c r="AL46" i="22"/>
  <c r="F508" i="23" s="1"/>
  <c r="L64" i="27"/>
  <c r="E63"/>
  <c r="C63" i="22"/>
  <c r="F62"/>
  <c r="AF46"/>
  <c r="B105" i="23"/>
  <c r="P76" i="38"/>
  <c r="U98" i="22"/>
  <c r="AW191" s="1"/>
  <c r="AD98"/>
  <c r="BF191" s="1"/>
  <c r="X98"/>
  <c r="AZ191" s="1"/>
  <c r="AA98"/>
  <c r="BC191" s="1"/>
  <c r="V98"/>
  <c r="AX191" s="1"/>
  <c r="W98"/>
  <c r="AY191" s="1"/>
  <c r="AB98"/>
  <c r="BD191" s="1"/>
  <c r="AC98"/>
  <c r="BE191" s="1"/>
  <c r="AE98"/>
  <c r="BG191" s="1"/>
  <c r="Y98"/>
  <c r="BA191" s="1"/>
  <c r="Z98"/>
  <c r="BB191" s="1"/>
  <c r="E60" i="27"/>
  <c r="E61"/>
  <c r="K61" s="1"/>
  <c r="L61" s="1"/>
  <c r="S19" s="1"/>
  <c r="R19" s="1"/>
  <c r="B546" i="23"/>
  <c r="Q106" s="1"/>
  <c r="N506"/>
  <c r="AF624"/>
  <c r="B24"/>
  <c r="B424"/>
  <c r="E20" i="41"/>
  <c r="D20"/>
  <c r="F73" i="36"/>
  <c r="O25"/>
  <c r="F26" i="38"/>
  <c r="F76" s="1"/>
  <c r="F29" i="39"/>
  <c r="F85" s="1"/>
  <c r="O74" i="38"/>
  <c r="O25"/>
  <c r="O72" i="36"/>
  <c r="O28" i="39"/>
  <c r="O84" s="1"/>
  <c r="B61" i="23"/>
  <c r="B623"/>
  <c r="B507"/>
  <c r="AT45" i="22"/>
  <c r="E73" i="41"/>
  <c r="D73"/>
  <c r="Q24" i="36"/>
  <c r="B142" i="23"/>
  <c r="G61" i="22"/>
  <c r="Q61" s="1"/>
  <c r="P61"/>
  <c r="T99"/>
  <c r="AV192" s="1"/>
  <c r="Q71" i="36"/>
  <c r="Q24" i="38"/>
  <c r="Q27" i="39"/>
  <c r="Q83" s="1"/>
  <c r="R83" s="1"/>
  <c r="AD23" i="36"/>
  <c r="B74" i="41"/>
  <c r="R23" i="36"/>
  <c r="B67" i="27"/>
  <c r="V22" i="36"/>
  <c r="U22"/>
  <c r="R26" i="39"/>
  <c r="AH22" i="36"/>
  <c r="AJ22" s="1"/>
  <c r="R70"/>
  <c r="R23" i="38"/>
  <c r="Q73"/>
  <c r="R73" s="1"/>
  <c r="AE23"/>
  <c r="AD47" i="22"/>
  <c r="W47"/>
  <c r="U47"/>
  <c r="AE47"/>
  <c r="Y47"/>
  <c r="AC47"/>
  <c r="Z47"/>
  <c r="V47"/>
  <c r="X47"/>
  <c r="AB47"/>
  <c r="AA47"/>
  <c r="T47"/>
  <c r="AH47" s="1"/>
  <c r="D2028" i="23"/>
  <c r="D2003"/>
  <c r="AG627" l="1"/>
  <c r="C627" s="1"/>
  <c r="C147" s="1"/>
  <c r="C67" s="1"/>
  <c r="C108"/>
  <c r="AG628" s="1"/>
  <c r="C628" s="1"/>
  <c r="C148" s="1"/>
  <c r="C68" s="1"/>
  <c r="R108"/>
  <c r="C27"/>
  <c r="AP47" i="22"/>
  <c r="J509" i="23" s="1"/>
  <c r="AM47" i="22"/>
  <c r="G509" i="23" s="1"/>
  <c r="AJ47" i="22"/>
  <c r="D509" i="23" s="1"/>
  <c r="AS47" i="22"/>
  <c r="M509" i="23" s="1"/>
  <c r="AQ47" i="22"/>
  <c r="K509" i="23" s="1"/>
  <c r="AK47" i="22"/>
  <c r="E509" i="23" s="1"/>
  <c r="AL47" i="22"/>
  <c r="F509" i="23" s="1"/>
  <c r="AR47" i="22"/>
  <c r="L509" i="23" s="1"/>
  <c r="AO47" i="22"/>
  <c r="I509" i="23" s="1"/>
  <c r="AN47" i="22"/>
  <c r="H509" i="23" s="1"/>
  <c r="AI47" i="22"/>
  <c r="C509" i="23" s="1"/>
  <c r="C549" s="1"/>
  <c r="L68" i="27"/>
  <c r="E67"/>
  <c r="B624" i="23"/>
  <c r="T100" i="22"/>
  <c r="AV193" s="1"/>
  <c r="G62"/>
  <c r="Q62" s="1"/>
  <c r="P62"/>
  <c r="U99"/>
  <c r="AW192" s="1"/>
  <c r="AA99"/>
  <c r="BC192" s="1"/>
  <c r="W99"/>
  <c r="AY192" s="1"/>
  <c r="AC99"/>
  <c r="BE192" s="1"/>
  <c r="Y99"/>
  <c r="BA192" s="1"/>
  <c r="Z99"/>
  <c r="BB192" s="1"/>
  <c r="X99"/>
  <c r="AZ192" s="1"/>
  <c r="V99"/>
  <c r="AX192" s="1"/>
  <c r="AB99"/>
  <c r="BD192" s="1"/>
  <c r="AD99"/>
  <c r="BF192" s="1"/>
  <c r="AE99"/>
  <c r="BG192" s="1"/>
  <c r="B62" i="23"/>
  <c r="AF625"/>
  <c r="B25"/>
  <c r="B425"/>
  <c r="V23" i="36"/>
  <c r="R71"/>
  <c r="U23"/>
  <c r="AH23"/>
  <c r="AJ23" s="1"/>
  <c r="R27" i="39"/>
  <c r="R24" i="38"/>
  <c r="X48" i="22"/>
  <c r="AB48"/>
  <c r="V48"/>
  <c r="AE48"/>
  <c r="Y48"/>
  <c r="AA48"/>
  <c r="AD48"/>
  <c r="Z48"/>
  <c r="W48"/>
  <c r="U48"/>
  <c r="AC48"/>
  <c r="T48"/>
  <c r="AH48" s="1"/>
  <c r="Q25" i="38"/>
  <c r="Q72" i="36"/>
  <c r="Q28" i="39"/>
  <c r="Q84" s="1"/>
  <c r="R84" s="1"/>
  <c r="AD24" i="36"/>
  <c r="B75" i="41"/>
  <c r="R24" i="36"/>
  <c r="O29" i="39"/>
  <c r="O85" s="1"/>
  <c r="O73" i="36"/>
  <c r="O26" i="38"/>
  <c r="B71" i="27"/>
  <c r="B508" i="23"/>
  <c r="AT46" i="22"/>
  <c r="E64" i="27"/>
  <c r="E65"/>
  <c r="K65" s="1"/>
  <c r="L65" s="1"/>
  <c r="S20" s="1"/>
  <c r="R20" s="1"/>
  <c r="E74" i="41"/>
  <c r="D74"/>
  <c r="Q25" i="36"/>
  <c r="B143" i="23"/>
  <c r="AI23" i="38"/>
  <c r="AK23" s="1"/>
  <c r="B21" i="41"/>
  <c r="O75" i="38"/>
  <c r="F63" i="22"/>
  <c r="C64"/>
  <c r="F64" s="1"/>
  <c r="AF47"/>
  <c r="Q74" i="38"/>
  <c r="R74" s="1"/>
  <c r="AE24"/>
  <c r="B547" i="23"/>
  <c r="Q107" s="1"/>
  <c r="N507"/>
  <c r="B106"/>
  <c r="D2015"/>
  <c r="D2040"/>
  <c r="C428" l="1"/>
  <c r="C109"/>
  <c r="C429" s="1"/>
  <c r="R109"/>
  <c r="C28"/>
  <c r="AN48" i="22"/>
  <c r="H510" i="23" s="1"/>
  <c r="AQ48" i="22"/>
  <c r="K510" i="23" s="1"/>
  <c r="AJ48" i="22"/>
  <c r="D510" i="23" s="1"/>
  <c r="AI48" i="22"/>
  <c r="C510" i="23" s="1"/>
  <c r="C550" s="1"/>
  <c r="AO48" i="22"/>
  <c r="I510" i="23" s="1"/>
  <c r="AP48" i="22"/>
  <c r="J510" i="23" s="1"/>
  <c r="AS48" i="22"/>
  <c r="M510" i="23" s="1"/>
  <c r="AR48" i="22"/>
  <c r="L510" i="23" s="1"/>
  <c r="AK48" i="22"/>
  <c r="E510" i="23" s="1"/>
  <c r="AM48" i="22"/>
  <c r="G510" i="23" s="1"/>
  <c r="AL48" i="22"/>
  <c r="F510" i="23" s="1"/>
  <c r="AF626"/>
  <c r="B26"/>
  <c r="B426"/>
  <c r="B625"/>
  <c r="E68" i="27"/>
  <c r="E69"/>
  <c r="K69" s="1"/>
  <c r="L69" s="1"/>
  <c r="S21" s="1"/>
  <c r="R21" s="1"/>
  <c r="AT47" i="22"/>
  <c r="B509" i="23"/>
  <c r="AC100" i="22"/>
  <c r="BE193" s="1"/>
  <c r="AB100"/>
  <c r="BD193" s="1"/>
  <c r="AE100"/>
  <c r="BG193" s="1"/>
  <c r="U100"/>
  <c r="AW193" s="1"/>
  <c r="AD100"/>
  <c r="BF193" s="1"/>
  <c r="V100"/>
  <c r="AX193" s="1"/>
  <c r="W100"/>
  <c r="AY193" s="1"/>
  <c r="Y100"/>
  <c r="BA193" s="1"/>
  <c r="Z100"/>
  <c r="BB193" s="1"/>
  <c r="X100"/>
  <c r="AZ193" s="1"/>
  <c r="AA100"/>
  <c r="BC193" s="1"/>
  <c r="G64"/>
  <c r="Q64" s="1"/>
  <c r="T102"/>
  <c r="AV195" s="1"/>
  <c r="P64"/>
  <c r="G63"/>
  <c r="Q63" s="1"/>
  <c r="T101"/>
  <c r="AV194" s="1"/>
  <c r="P63"/>
  <c r="D21" i="41"/>
  <c r="E21"/>
  <c r="B63" i="23"/>
  <c r="B548"/>
  <c r="Q108" s="1"/>
  <c r="N508"/>
  <c r="O76" i="38"/>
  <c r="AF48" i="22"/>
  <c r="AI24" i="38"/>
  <c r="AK24" s="1"/>
  <c r="Z49" i="22"/>
  <c r="AA49"/>
  <c r="X49"/>
  <c r="Y49"/>
  <c r="W49"/>
  <c r="U49"/>
  <c r="AB49"/>
  <c r="V49"/>
  <c r="AE49"/>
  <c r="AD49"/>
  <c r="AC49"/>
  <c r="T49"/>
  <c r="AH49" s="1"/>
  <c r="B144" i="23"/>
  <c r="Q73" i="36"/>
  <c r="Q29" i="39"/>
  <c r="Q85" s="1"/>
  <c r="R85" s="1"/>
  <c r="Q26" i="38"/>
  <c r="AD25" i="36"/>
  <c r="B76" i="41"/>
  <c r="L72" i="27"/>
  <c r="E71"/>
  <c r="U24" i="36"/>
  <c r="R28" i="39"/>
  <c r="V24" i="36"/>
  <c r="R25" i="38"/>
  <c r="R72" i="36"/>
  <c r="AH24"/>
  <c r="AJ24" s="1"/>
  <c r="B22" i="41"/>
  <c r="B107" i="23"/>
  <c r="D75" i="41"/>
  <c r="E75"/>
  <c r="B75" i="27"/>
  <c r="R25" i="36"/>
  <c r="Q75" i="38"/>
  <c r="R75" s="1"/>
  <c r="AE25"/>
  <c r="D2052" i="23"/>
  <c r="D2027"/>
  <c r="AG629" l="1"/>
  <c r="C629" s="1"/>
  <c r="C149" s="1"/>
  <c r="C69" s="1"/>
  <c r="C110"/>
  <c r="C30" s="1"/>
  <c r="R110"/>
  <c r="C29"/>
  <c r="AK49" i="22"/>
  <c r="E511" i="23" s="1"/>
  <c r="AN49" i="22"/>
  <c r="H511" i="23" s="1"/>
  <c r="AJ49" i="22"/>
  <c r="D511" i="23" s="1"/>
  <c r="AM49" i="22"/>
  <c r="G511" i="23" s="1"/>
  <c r="AQ49" i="22"/>
  <c r="K511" i="23" s="1"/>
  <c r="AP49" i="22"/>
  <c r="J511" i="23" s="1"/>
  <c r="AL49" i="22"/>
  <c r="F511" i="23" s="1"/>
  <c r="AS49" i="22"/>
  <c r="M511" i="23" s="1"/>
  <c r="AR49" i="22"/>
  <c r="L511" i="23" s="1"/>
  <c r="AI49" i="22"/>
  <c r="C511" i="23" s="1"/>
  <c r="C551" s="1"/>
  <c r="AO49" i="22"/>
  <c r="I511" i="23" s="1"/>
  <c r="AI25" i="38"/>
  <c r="AK25" s="1"/>
  <c r="E76" i="41"/>
  <c r="D76"/>
  <c r="B64" i="23"/>
  <c r="AF627"/>
  <c r="B27"/>
  <c r="B427"/>
  <c r="AE101" i="22"/>
  <c r="BG194" s="1"/>
  <c r="Y101"/>
  <c r="BA194" s="1"/>
  <c r="AD101"/>
  <c r="BF194" s="1"/>
  <c r="AC101"/>
  <c r="BE194" s="1"/>
  <c r="Z101"/>
  <c r="BB194" s="1"/>
  <c r="U101"/>
  <c r="AW194" s="1"/>
  <c r="X101"/>
  <c r="AZ194" s="1"/>
  <c r="AA101"/>
  <c r="BC194" s="1"/>
  <c r="W101"/>
  <c r="AY194" s="1"/>
  <c r="V101"/>
  <c r="AX194" s="1"/>
  <c r="AB101"/>
  <c r="BD194" s="1"/>
  <c r="D22" i="41"/>
  <c r="E22"/>
  <c r="B23"/>
  <c r="AT48" i="22"/>
  <c r="B510" i="23"/>
  <c r="Y51" i="22"/>
  <c r="V51"/>
  <c r="AE51"/>
  <c r="Z51"/>
  <c r="AA51"/>
  <c r="AB51"/>
  <c r="X51"/>
  <c r="AD51"/>
  <c r="W51"/>
  <c r="AC51"/>
  <c r="U51"/>
  <c r="T51"/>
  <c r="AH51" s="1"/>
  <c r="B79" i="27"/>
  <c r="L76"/>
  <c r="E75"/>
  <c r="B108" i="23"/>
  <c r="U50" i="22"/>
  <c r="Y50"/>
  <c r="AE50"/>
  <c r="AD50"/>
  <c r="AA50"/>
  <c r="AB50"/>
  <c r="Z50"/>
  <c r="AC50"/>
  <c r="W50"/>
  <c r="X50"/>
  <c r="V50"/>
  <c r="T50"/>
  <c r="AH50" s="1"/>
  <c r="U102"/>
  <c r="AW195" s="1"/>
  <c r="AD102"/>
  <c r="BF195" s="1"/>
  <c r="W102"/>
  <c r="AY195" s="1"/>
  <c r="AA102"/>
  <c r="BC195" s="1"/>
  <c r="V102"/>
  <c r="AX195" s="1"/>
  <c r="AB102"/>
  <c r="BD195" s="1"/>
  <c r="AC102"/>
  <c r="BE195" s="1"/>
  <c r="X102"/>
  <c r="AZ195" s="1"/>
  <c r="AE102"/>
  <c r="BG195" s="1"/>
  <c r="Y102"/>
  <c r="BA195" s="1"/>
  <c r="Z102"/>
  <c r="BB195" s="1"/>
  <c r="U25" i="36"/>
  <c r="R29" i="39"/>
  <c r="R73" i="36"/>
  <c r="V25"/>
  <c r="R26" i="38"/>
  <c r="AH25" i="36"/>
  <c r="AJ25" s="1"/>
  <c r="E72" i="27"/>
  <c r="E73"/>
  <c r="K73" s="1"/>
  <c r="L73" s="1"/>
  <c r="S22" s="1"/>
  <c r="R22" s="1"/>
  <c r="N509" i="23"/>
  <c r="B549"/>
  <c r="Q109" s="1"/>
  <c r="B145"/>
  <c r="Q76" i="38"/>
  <c r="R76" s="1"/>
  <c r="AE26"/>
  <c r="AF49" i="22"/>
  <c r="B626" i="23"/>
  <c r="D2064"/>
  <c r="D2076"/>
  <c r="D2039"/>
  <c r="AG630" l="1"/>
  <c r="C630" s="1"/>
  <c r="C150" s="1"/>
  <c r="C70" s="1"/>
  <c r="C430"/>
  <c r="C111"/>
  <c r="C431" s="1"/>
  <c r="R111"/>
  <c r="AO50" i="22"/>
  <c r="I512" i="23" s="1"/>
  <c r="AN51" i="22"/>
  <c r="H513" i="23" s="1"/>
  <c r="AQ50" i="22"/>
  <c r="K512" i="23" s="1"/>
  <c r="AR50" i="22"/>
  <c r="L512" i="23" s="1"/>
  <c r="AI51" i="22"/>
  <c r="C513" i="23" s="1"/>
  <c r="C553" s="1"/>
  <c r="AJ50" i="22"/>
  <c r="D512" i="23" s="1"/>
  <c r="AN50" i="22"/>
  <c r="H512" i="23" s="1"/>
  <c r="AS50" i="22"/>
  <c r="M512" i="23" s="1"/>
  <c r="AQ51" i="22"/>
  <c r="K513" i="23" s="1"/>
  <c r="AP51" i="22"/>
  <c r="J513" i="23" s="1"/>
  <c r="AJ51" i="22"/>
  <c r="D513" i="23" s="1"/>
  <c r="AK50" i="22"/>
  <c r="E512" i="23" s="1"/>
  <c r="AI50" i="22"/>
  <c r="C512" i="23" s="1"/>
  <c r="C552" s="1"/>
  <c r="AR51" i="22"/>
  <c r="L513" i="23" s="1"/>
  <c r="AL51" i="22"/>
  <c r="F513" i="23" s="1"/>
  <c r="AS51" i="22"/>
  <c r="M513" i="23" s="1"/>
  <c r="AL50" i="22"/>
  <c r="F512" i="23" s="1"/>
  <c r="AP50" i="22"/>
  <c r="J512" i="23" s="1"/>
  <c r="AM50" i="22"/>
  <c r="G512" i="23" s="1"/>
  <c r="AK51" i="22"/>
  <c r="E513" i="23" s="1"/>
  <c r="AO51" i="22"/>
  <c r="I513" i="23" s="1"/>
  <c r="AM51" i="22"/>
  <c r="G513" i="23" s="1"/>
  <c r="B511"/>
  <c r="AT49" i="22"/>
  <c r="E79" i="27"/>
  <c r="L80"/>
  <c r="B109" i="23"/>
  <c r="D23" i="41"/>
  <c r="E23"/>
  <c r="B65" i="23"/>
  <c r="B627"/>
  <c r="AI26" i="38"/>
  <c r="AK26" s="1"/>
  <c r="B24" i="41"/>
  <c r="B146" i="23"/>
  <c r="AF50" i="22"/>
  <c r="AF628" i="23"/>
  <c r="B28"/>
  <c r="B428"/>
  <c r="E76" i="27"/>
  <c r="E77"/>
  <c r="K77" s="1"/>
  <c r="L77" s="1"/>
  <c r="S23" s="1"/>
  <c r="R23" s="1"/>
  <c r="AF51" i="22"/>
  <c r="B550" i="23"/>
  <c r="Q110" s="1"/>
  <c r="N510"/>
  <c r="B83" i="27"/>
  <c r="D2051" i="23"/>
  <c r="C31" l="1"/>
  <c r="AG631"/>
  <c r="C631" s="1"/>
  <c r="C151" s="1"/>
  <c r="C71" s="1"/>
  <c r="C113"/>
  <c r="C33" s="1"/>
  <c r="R113"/>
  <c r="C112"/>
  <c r="C432" s="1"/>
  <c r="R112"/>
  <c r="L84" i="27"/>
  <c r="E83"/>
  <c r="B66" i="23"/>
  <c r="E24" i="41"/>
  <c r="D24"/>
  <c r="B147" i="23"/>
  <c r="B29"/>
  <c r="AF629"/>
  <c r="B429"/>
  <c r="B87" i="27"/>
  <c r="B628" i="23"/>
  <c r="E80" i="27"/>
  <c r="E81"/>
  <c r="K81" s="1"/>
  <c r="L81" s="1"/>
  <c r="S24" s="1"/>
  <c r="R24" s="1"/>
  <c r="B110" i="23"/>
  <c r="B513"/>
  <c r="AT51" i="22"/>
  <c r="AT50"/>
  <c r="B512" i="23"/>
  <c r="N511"/>
  <c r="B551"/>
  <c r="Q111" s="1"/>
  <c r="D2112"/>
  <c r="D2063"/>
  <c r="D2088"/>
  <c r="AG633" l="1"/>
  <c r="C633" s="1"/>
  <c r="C153" s="1"/>
  <c r="C73" s="1"/>
  <c r="C433"/>
  <c r="AG632"/>
  <c r="C632" s="1"/>
  <c r="C152" s="1"/>
  <c r="C72" s="1"/>
  <c r="C32"/>
  <c r="B91" i="27"/>
  <c r="AF630" i="23"/>
  <c r="B30"/>
  <c r="B430"/>
  <c r="B148"/>
  <c r="E84" i="27"/>
  <c r="E85"/>
  <c r="K85" s="1"/>
  <c r="L85" s="1"/>
  <c r="S25" s="1"/>
  <c r="R25" s="1"/>
  <c r="B111" i="23"/>
  <c r="L88" i="27"/>
  <c r="E87"/>
  <c r="B629" i="23"/>
  <c r="B67"/>
  <c r="N513"/>
  <c r="B553"/>
  <c r="Q113" s="1"/>
  <c r="N512"/>
  <c r="B552"/>
  <c r="Q112" s="1"/>
  <c r="D2075"/>
  <c r="D2100"/>
  <c r="B112" l="1"/>
  <c r="E88" i="27"/>
  <c r="E89"/>
  <c r="K89" s="1"/>
  <c r="L89" s="1"/>
  <c r="S26" s="1"/>
  <c r="R26" s="1"/>
  <c r="B113" i="23"/>
  <c r="B149"/>
  <c r="B68"/>
  <c r="B95" i="27"/>
  <c r="E91"/>
  <c r="L92"/>
  <c r="AF631" i="23"/>
  <c r="B31"/>
  <c r="B431"/>
  <c r="B630"/>
  <c r="D2087"/>
  <c r="L96" i="27" l="1"/>
  <c r="E95"/>
  <c r="B69" i="23"/>
  <c r="B150"/>
  <c r="AF633"/>
  <c r="B33"/>
  <c r="B433"/>
  <c r="AF632"/>
  <c r="B32"/>
  <c r="B432"/>
  <c r="B631"/>
  <c r="E92" i="27"/>
  <c r="E93"/>
  <c r="K93" s="1"/>
  <c r="L93" s="1"/>
  <c r="S27" s="1"/>
  <c r="R27" s="1"/>
  <c r="D2111" i="23"/>
  <c r="D2099"/>
  <c r="B151" l="1"/>
  <c r="B632"/>
  <c r="B70"/>
  <c r="E97" i="27"/>
  <c r="K97" s="1"/>
  <c r="L97" s="1"/>
  <c r="S28" s="1"/>
  <c r="R28" s="1"/>
  <c r="E96"/>
  <c r="B633" i="23"/>
  <c r="B152" l="1"/>
  <c r="B71"/>
  <c r="B153"/>
  <c r="B73" l="1"/>
  <c r="B72"/>
  <c r="J38" i="22"/>
  <c r="Q38" s="1"/>
  <c r="T122"/>
  <c r="U122" s="1"/>
  <c r="V122" s="1"/>
  <c r="W122" s="1"/>
  <c r="X122" s="1"/>
  <c r="Y122" s="1"/>
  <c r="Z122" s="1"/>
  <c r="AA122" s="1"/>
  <c r="AB122" s="1"/>
  <c r="AC122" s="1"/>
  <c r="AD122" s="1"/>
  <c r="AE122" s="1"/>
  <c r="L38"/>
  <c r="M38" s="1"/>
  <c r="P38" l="1"/>
  <c r="Y25" l="1"/>
  <c r="AE25"/>
  <c r="AB25"/>
  <c r="AC25"/>
  <c r="X25"/>
  <c r="V25"/>
  <c r="W25"/>
  <c r="U25"/>
  <c r="Z25"/>
  <c r="AD25"/>
  <c r="T25"/>
  <c r="AH25" s="1"/>
  <c r="AA25"/>
  <c r="AI25" l="1"/>
  <c r="C487" i="23" s="1"/>
  <c r="C527" s="1"/>
  <c r="AQ25" i="22"/>
  <c r="K487" i="23" s="1"/>
  <c r="AK25" i="22"/>
  <c r="E487" i="23" s="1"/>
  <c r="AP25" i="22"/>
  <c r="J487" i="23" s="1"/>
  <c r="AO25" i="22"/>
  <c r="I487" i="23" s="1"/>
  <c r="AR25" i="22"/>
  <c r="L487" i="23" s="1"/>
  <c r="AJ25" i="22"/>
  <c r="D487" i="23" s="1"/>
  <c r="AS25" i="22"/>
  <c r="M487" i="23" s="1"/>
  <c r="AN25" i="22"/>
  <c r="H487" i="23" s="1"/>
  <c r="AL25" i="22"/>
  <c r="F487" i="23" s="1"/>
  <c r="AM25" i="22"/>
  <c r="G487" i="23" s="1"/>
  <c r="AF25" i="22"/>
  <c r="C87" i="23" l="1"/>
  <c r="AG607" s="1"/>
  <c r="C607" s="1"/>
  <c r="C127" s="1"/>
  <c r="C47" s="1"/>
  <c r="R87"/>
  <c r="C84" i="36"/>
  <c r="P84" s="1"/>
  <c r="AT25" i="22"/>
  <c r="B487" i="23"/>
  <c r="C407" l="1"/>
  <c r="C7"/>
  <c r="C100" i="39"/>
  <c r="P100" s="1"/>
  <c r="P156" s="1"/>
  <c r="C135" i="36"/>
  <c r="C88" i="38"/>
  <c r="C138" s="1"/>
  <c r="N487" i="23"/>
  <c r="K47" i="1"/>
  <c r="C9" i="36"/>
  <c r="B527" i="23"/>
  <c r="Q87" s="1"/>
  <c r="AF9" i="36"/>
  <c r="P135"/>
  <c r="D1800" i="23"/>
  <c r="C156" i="39" l="1"/>
  <c r="P88" i="38"/>
  <c r="P138" s="1"/>
  <c r="C57" i="36"/>
  <c r="C10" i="38"/>
  <c r="C60" s="1"/>
  <c r="C13" i="39"/>
  <c r="C69" s="1"/>
  <c r="P9" i="36"/>
  <c r="D9"/>
  <c r="B87" i="23"/>
  <c r="AG10" i="38" l="1"/>
  <c r="D57" i="36"/>
  <c r="D13" i="39"/>
  <c r="D69" s="1"/>
  <c r="D10" i="38"/>
  <c r="D60" s="1"/>
  <c r="F9" i="36"/>
  <c r="P57"/>
  <c r="P13" i="39"/>
  <c r="P69" s="1"/>
  <c r="P10" i="38"/>
  <c r="B407" i="23"/>
  <c r="B7"/>
  <c r="D1799"/>
  <c r="P60" i="38" l="1"/>
  <c r="F13" i="39"/>
  <c r="F69" s="1"/>
  <c r="O9" i="36"/>
  <c r="F10" i="38"/>
  <c r="F60" s="1"/>
  <c r="F57" i="36"/>
  <c r="B607" i="23"/>
  <c r="Q9" i="36" l="1"/>
  <c r="R9" s="1"/>
  <c r="R47" i="1"/>
  <c r="B127" i="23"/>
  <c r="O57" i="36"/>
  <c r="O13" i="39"/>
  <c r="O10" i="38"/>
  <c r="V9" i="36" l="1"/>
  <c r="R57"/>
  <c r="R10" i="38"/>
  <c r="U9" i="36"/>
  <c r="R13" i="39"/>
  <c r="AH9" i="36"/>
  <c r="AJ9" s="1"/>
  <c r="O60" i="38"/>
  <c r="O69" i="39"/>
  <c r="Q10" i="38"/>
  <c r="Q13" i="39"/>
  <c r="Q69" s="1"/>
  <c r="Q57" i="36"/>
  <c r="AD9"/>
  <c r="B60" i="41"/>
  <c r="B47" i="23"/>
  <c r="R69" i="39" l="1"/>
  <c r="U13"/>
  <c r="B8" i="41"/>
  <c r="D60"/>
  <c r="E60"/>
  <c r="Q60" i="38"/>
  <c r="R60" s="1"/>
  <c r="AE10"/>
  <c r="V10"/>
  <c r="AI10"/>
  <c r="AK10" s="1"/>
  <c r="E8" i="41" l="1"/>
  <c r="D8"/>
  <c r="L46" i="18" l="1"/>
  <c r="AP46" i="30" l="1"/>
  <c r="AP45"/>
  <c r="AP101" i="28" l="1"/>
  <c r="AP100"/>
  <c r="AP46"/>
  <c r="AP45"/>
  <c r="T23" i="6" l="1"/>
  <c r="T25"/>
  <c r="T27"/>
  <c r="T28"/>
  <c r="T29"/>
  <c r="T30"/>
  <c r="T31"/>
  <c r="T32"/>
  <c r="T38"/>
  <c r="T26" l="1"/>
  <c r="T33"/>
  <c r="T34"/>
  <c r="T37"/>
  <c r="T24"/>
  <c r="T36"/>
  <c r="T35"/>
  <c r="T39" l="1"/>
  <c r="T40" l="1"/>
  <c r="T41" l="1"/>
  <c r="T42" l="1"/>
  <c r="T44" l="1"/>
  <c r="H46" i="30" l="1"/>
  <c r="G46" l="1"/>
  <c r="J46" s="1"/>
  <c r="O46" s="1"/>
  <c r="G46" i="1"/>
  <c r="H46" i="19"/>
  <c r="H46" i="28"/>
  <c r="H46" i="29"/>
  <c r="Q45" i="6"/>
  <c r="M46" i="30" l="1"/>
  <c r="P46" i="1"/>
  <c r="N46" i="18"/>
  <c r="G46" i="28"/>
  <c r="J46" s="1"/>
  <c r="O46" s="1"/>
  <c r="G46" i="19"/>
  <c r="J46" s="1"/>
  <c r="O46" s="1"/>
  <c r="G46" i="29"/>
  <c r="J46" s="1"/>
  <c r="O46" s="1"/>
  <c r="G46" i="18"/>
  <c r="E46" i="1"/>
  <c r="H46" i="18"/>
  <c r="D46" i="1"/>
  <c r="H45" i="28"/>
  <c r="H45" i="29"/>
  <c r="G45"/>
  <c r="J45" s="1"/>
  <c r="O45" s="1"/>
  <c r="H45" i="30"/>
  <c r="H45" i="31"/>
  <c r="F45" i="6"/>
  <c r="G45"/>
  <c r="I45"/>
  <c r="H45" i="32"/>
  <c r="H45" i="33"/>
  <c r="H45" i="34"/>
  <c r="H45" i="35"/>
  <c r="G45" i="19"/>
  <c r="J45" s="1"/>
  <c r="O45" s="1"/>
  <c r="H45"/>
  <c r="G45" i="18"/>
  <c r="H45"/>
  <c r="G45" i="1"/>
  <c r="E45"/>
  <c r="D45"/>
  <c r="I45" l="1"/>
  <c r="J46" i="18"/>
  <c r="O46" s="1"/>
  <c r="AE46" i="30"/>
  <c r="J45" i="34"/>
  <c r="O45" s="1"/>
  <c r="G45" i="35"/>
  <c r="J45" s="1"/>
  <c r="O45" s="1"/>
  <c r="G45" i="34"/>
  <c r="G45" i="33"/>
  <c r="J45" s="1"/>
  <c r="O45" s="1"/>
  <c r="G45" i="32"/>
  <c r="J45" s="1"/>
  <c r="O45" s="1"/>
  <c r="M45" i="19"/>
  <c r="AE45" i="29"/>
  <c r="F445" i="23" s="1"/>
  <c r="F525" s="1"/>
  <c r="F85" s="1"/>
  <c r="M45" i="29"/>
  <c r="N45" i="1"/>
  <c r="O45" s="1"/>
  <c r="K45"/>
  <c r="AC46" i="18"/>
  <c r="C446" i="23" s="1"/>
  <c r="C526" s="1"/>
  <c r="C86" s="1"/>
  <c r="M46" i="18"/>
  <c r="M45" i="6"/>
  <c r="R45" s="1"/>
  <c r="K45"/>
  <c r="G45" i="30"/>
  <c r="J45" s="1"/>
  <c r="O45" s="1"/>
  <c r="G45" i="28"/>
  <c r="J45" s="1"/>
  <c r="O45" s="1"/>
  <c r="M46" i="19"/>
  <c r="E446" i="23"/>
  <c r="E526" s="1"/>
  <c r="E86" s="1"/>
  <c r="M46" i="28"/>
  <c r="J45" i="18"/>
  <c r="O45" s="1"/>
  <c r="G45" i="31"/>
  <c r="J45" s="1"/>
  <c r="O45" s="1"/>
  <c r="I46" i="1"/>
  <c r="AE46" i="29"/>
  <c r="M46"/>
  <c r="N45" i="18"/>
  <c r="F446" i="23" l="1"/>
  <c r="F526" s="1"/>
  <c r="F86" s="1"/>
  <c r="F406" s="1"/>
  <c r="AD90" i="19"/>
  <c r="D446" i="23"/>
  <c r="E406"/>
  <c r="E6"/>
  <c r="E126"/>
  <c r="E46" s="1"/>
  <c r="AI606"/>
  <c r="C6"/>
  <c r="C406"/>
  <c r="AG606"/>
  <c r="C606" s="1"/>
  <c r="C126" s="1"/>
  <c r="C46" s="1"/>
  <c r="G446"/>
  <c r="G526" s="1"/>
  <c r="G86" s="1"/>
  <c r="BD46" i="30"/>
  <c r="M45" i="35"/>
  <c r="M45" i="32"/>
  <c r="AE45"/>
  <c r="M45" i="33"/>
  <c r="AE45"/>
  <c r="M45" i="30"/>
  <c r="M45" i="34"/>
  <c r="L445" i="23"/>
  <c r="F5"/>
  <c r="AJ605"/>
  <c r="F405"/>
  <c r="F125"/>
  <c r="F45" s="1"/>
  <c r="AE45" i="31"/>
  <c r="M45"/>
  <c r="AP46" i="29"/>
  <c r="BD46"/>
  <c r="E445" i="23"/>
  <c r="E525" s="1"/>
  <c r="E85" s="1"/>
  <c r="M45" i="28"/>
  <c r="N46" i="1"/>
  <c r="O46" s="1"/>
  <c r="Q46" s="1"/>
  <c r="K46"/>
  <c r="AE46" i="28"/>
  <c r="AE101"/>
  <c r="BC46" i="18"/>
  <c r="BD46" s="1"/>
  <c r="AK46"/>
  <c r="BD45" i="29"/>
  <c r="AP45"/>
  <c r="AC45" i="18"/>
  <c r="M45"/>
  <c r="T45" i="6"/>
  <c r="P45"/>
  <c r="AD45" i="19"/>
  <c r="D445" i="23"/>
  <c r="D525" s="1"/>
  <c r="D85" s="1"/>
  <c r="P45" i="1"/>
  <c r="R45" s="1"/>
  <c r="AH45" s="1"/>
  <c r="D1779" i="23"/>
  <c r="D1790"/>
  <c r="D1788"/>
  <c r="F126" l="1"/>
  <c r="F46" s="1"/>
  <c r="H445"/>
  <c r="H525" s="1"/>
  <c r="H85" s="1"/>
  <c r="AL605" s="1"/>
  <c r="AP45" i="31"/>
  <c r="F6" i="23"/>
  <c r="AJ606"/>
  <c r="Q45" i="1"/>
  <c r="R46"/>
  <c r="AH46" s="1"/>
  <c r="BE90" i="19"/>
  <c r="AJ45" i="6"/>
  <c r="BI45" s="1"/>
  <c r="G6" i="23"/>
  <c r="AK606"/>
  <c r="G406"/>
  <c r="G126"/>
  <c r="G46" s="1"/>
  <c r="AE45" i="30"/>
  <c r="H405" i="23"/>
  <c r="BE45" i="33"/>
  <c r="K445" i="23"/>
  <c r="M445"/>
  <c r="AE102" i="35"/>
  <c r="J445" i="23"/>
  <c r="BE45" i="32"/>
  <c r="E5" i="23"/>
  <c r="AI605"/>
  <c r="E405"/>
  <c r="E125"/>
  <c r="E45" s="1"/>
  <c r="B445"/>
  <c r="BK45" i="1"/>
  <c r="BL45" s="1"/>
  <c r="AP45"/>
  <c r="BD45" i="31"/>
  <c r="D5" i="23"/>
  <c r="AH605"/>
  <c r="D605" s="1"/>
  <c r="D125" s="1"/>
  <c r="D45" s="1"/>
  <c r="D405"/>
  <c r="C445"/>
  <c r="C525" s="1"/>
  <c r="C85" s="1"/>
  <c r="AP45" i="18"/>
  <c r="AK45"/>
  <c r="BC45"/>
  <c r="BD45" s="1"/>
  <c r="AP46"/>
  <c r="AE100" i="28"/>
  <c r="AE45"/>
  <c r="AP45" i="19"/>
  <c r="AP46"/>
  <c r="BE101" i="28"/>
  <c r="P44" i="1"/>
  <c r="Q43" i="6"/>
  <c r="N43" i="18"/>
  <c r="G44" i="1"/>
  <c r="G43" i="34"/>
  <c r="H43"/>
  <c r="G43" i="33"/>
  <c r="J43" s="1"/>
  <c r="O43" s="1"/>
  <c r="H43"/>
  <c r="G43" i="32"/>
  <c r="H43"/>
  <c r="I43" i="6"/>
  <c r="G43" i="30"/>
  <c r="H43"/>
  <c r="G43" i="29"/>
  <c r="H43"/>
  <c r="G43" i="28"/>
  <c r="H43"/>
  <c r="G43" i="19"/>
  <c r="H43"/>
  <c r="G43" i="18"/>
  <c r="H43"/>
  <c r="G43" i="1"/>
  <c r="E43"/>
  <c r="D1777" i="23"/>
  <c r="D1791"/>
  <c r="D1792"/>
  <c r="D1778"/>
  <c r="H125" l="1"/>
  <c r="H45" s="1"/>
  <c r="H5"/>
  <c r="BE102" i="35"/>
  <c r="J43" i="18"/>
  <c r="O43" s="1"/>
  <c r="AC43" s="1"/>
  <c r="BK46" i="1"/>
  <c r="BL46" s="1"/>
  <c r="AP46"/>
  <c r="J43" i="28"/>
  <c r="O43" s="1"/>
  <c r="J43" i="30"/>
  <c r="J43" i="29"/>
  <c r="O43" s="1"/>
  <c r="AE43" s="1"/>
  <c r="AR13" s="1" a="1"/>
  <c r="J43" i="19"/>
  <c r="O43" s="1"/>
  <c r="J43" i="32"/>
  <c r="O43" s="1"/>
  <c r="J43" i="34"/>
  <c r="M43" i="33"/>
  <c r="I445" i="23"/>
  <c r="G445"/>
  <c r="G525" s="1"/>
  <c r="G85" s="1"/>
  <c r="BD45" i="30"/>
  <c r="M43" i="28"/>
  <c r="H43" i="35"/>
  <c r="D44" i="1"/>
  <c r="BE100" i="28"/>
  <c r="M43" i="19"/>
  <c r="G43" i="6"/>
  <c r="G43" i="31"/>
  <c r="H43"/>
  <c r="F43" i="6"/>
  <c r="E44" i="1"/>
  <c r="G43" i="35"/>
  <c r="J43" s="1"/>
  <c r="O43" s="1"/>
  <c r="B526" i="23"/>
  <c r="B8" i="36"/>
  <c r="AG605" i="23"/>
  <c r="C605" s="1"/>
  <c r="C125" s="1"/>
  <c r="C45" s="1"/>
  <c r="C405"/>
  <c r="C5"/>
  <c r="B525"/>
  <c r="D1781"/>
  <c r="D1776"/>
  <c r="M43" i="29" l="1"/>
  <c r="M43" i="32"/>
  <c r="M43" i="34"/>
  <c r="O43"/>
  <c r="M43" i="30"/>
  <c r="O43"/>
  <c r="M43" i="18"/>
  <c r="AR13" i="29"/>
  <c r="AT18"/>
  <c r="AS15"/>
  <c r="AT17"/>
  <c r="AS14"/>
  <c r="AS17"/>
  <c r="AR14"/>
  <c r="AR17"/>
  <c r="AV13"/>
  <c r="AU17"/>
  <c r="AT14"/>
  <c r="AU16"/>
  <c r="AT13"/>
  <c r="AT16"/>
  <c r="AS13"/>
  <c r="AS16"/>
  <c r="AV16"/>
  <c r="AU13"/>
  <c r="AV15"/>
  <c r="AV18"/>
  <c r="AU15"/>
  <c r="AU18"/>
  <c r="AT15"/>
  <c r="AR16"/>
  <c r="AS18"/>
  <c r="AR15"/>
  <c r="AR18"/>
  <c r="AV14"/>
  <c r="AV17"/>
  <c r="AU14"/>
  <c r="AE43" i="30"/>
  <c r="J43" i="31"/>
  <c r="O43" s="1"/>
  <c r="AE43" i="32"/>
  <c r="BE43" s="1"/>
  <c r="I44" i="1"/>
  <c r="K44" s="1"/>
  <c r="BD43" i="30"/>
  <c r="I525" i="23"/>
  <c r="I85" s="1"/>
  <c r="M43" i="35"/>
  <c r="M443" i="23"/>
  <c r="M523" s="1"/>
  <c r="M83" s="1"/>
  <c r="AE43" i="33"/>
  <c r="AR13" s="1" a="1"/>
  <c r="G405" i="23"/>
  <c r="G5"/>
  <c r="AK605"/>
  <c r="G125"/>
  <c r="G45" s="1"/>
  <c r="B11" i="39"/>
  <c r="B67" s="1"/>
  <c r="AE43" i="31"/>
  <c r="AR13" s="1" a="1"/>
  <c r="B9" i="38"/>
  <c r="B59" s="1"/>
  <c r="D8" i="36"/>
  <c r="B56"/>
  <c r="B12" i="39"/>
  <c r="B68" s="1"/>
  <c r="K43" i="6"/>
  <c r="M43"/>
  <c r="R43" s="1"/>
  <c r="BD43" i="29"/>
  <c r="AP44"/>
  <c r="AP43"/>
  <c r="F443" i="23"/>
  <c r="F523" s="1"/>
  <c r="F83" s="1"/>
  <c r="AD89" i="19"/>
  <c r="D443" i="23"/>
  <c r="D523" s="1"/>
  <c r="D83" s="1"/>
  <c r="AD43" i="19"/>
  <c r="N44" i="1"/>
  <c r="O44" s="1"/>
  <c r="Q44" s="1"/>
  <c r="E443" i="23"/>
  <c r="E523" s="1"/>
  <c r="E83" s="1"/>
  <c r="AE98" i="28"/>
  <c r="AS75" s="1" a="1"/>
  <c r="AE43"/>
  <c r="B85" i="23"/>
  <c r="B86"/>
  <c r="AP44" i="18"/>
  <c r="C443" i="23"/>
  <c r="C523" s="1"/>
  <c r="C83" s="1"/>
  <c r="BC43" i="18"/>
  <c r="BD43" s="1"/>
  <c r="AP43"/>
  <c r="AK43"/>
  <c r="D1780" i="23"/>
  <c r="M43" i="31" l="1"/>
  <c r="G443" i="23"/>
  <c r="G523" s="1"/>
  <c r="G83" s="1"/>
  <c r="AR13" i="30" a="1"/>
  <c r="AP90" i="19"/>
  <c r="AS71" a="1"/>
  <c r="AR13" i="31"/>
  <c r="AT17"/>
  <c r="AS16"/>
  <c r="AR15"/>
  <c r="AU13"/>
  <c r="AS18"/>
  <c r="AR17"/>
  <c r="AU15"/>
  <c r="AT14"/>
  <c r="AS13"/>
  <c r="AU17"/>
  <c r="AT16"/>
  <c r="AS15"/>
  <c r="AR14"/>
  <c r="AT18"/>
  <c r="AS17"/>
  <c r="AR16"/>
  <c r="AU14"/>
  <c r="AT13"/>
  <c r="AR18"/>
  <c r="AU16"/>
  <c r="AT15"/>
  <c r="AS14"/>
  <c r="AU18"/>
  <c r="AP44" i="30"/>
  <c r="AP44" i="32"/>
  <c r="AR13" a="1"/>
  <c r="AP43" i="30"/>
  <c r="AT13" i="33"/>
  <c r="AT16"/>
  <c r="AS13"/>
  <c r="AS16"/>
  <c r="AR13"/>
  <c r="AR16"/>
  <c r="AS18"/>
  <c r="AR15"/>
  <c r="AR14"/>
  <c r="AV18"/>
  <c r="AU15"/>
  <c r="AU18"/>
  <c r="AT15"/>
  <c r="AT18"/>
  <c r="AS15"/>
  <c r="AT17"/>
  <c r="AS14"/>
  <c r="AR18"/>
  <c r="AV14"/>
  <c r="AV17"/>
  <c r="AU14"/>
  <c r="AU17"/>
  <c r="AT14"/>
  <c r="AU16"/>
  <c r="AS17"/>
  <c r="AR17"/>
  <c r="AV13"/>
  <c r="AV16"/>
  <c r="AU13"/>
  <c r="AV15"/>
  <c r="J443" i="23"/>
  <c r="J523" s="1"/>
  <c r="J83" s="1"/>
  <c r="AN603" s="1"/>
  <c r="AP43" i="32"/>
  <c r="L443" i="23"/>
  <c r="L523" s="1"/>
  <c r="L83" s="1"/>
  <c r="AE33" i="34"/>
  <c r="R44" i="1"/>
  <c r="AH44" s="1"/>
  <c r="AE41" i="35"/>
  <c r="AQ41" s="1"/>
  <c r="AE101"/>
  <c r="AQ101" s="1"/>
  <c r="AT77" i="28"/>
  <c r="AU79"/>
  <c r="AV78"/>
  <c r="AS78"/>
  <c r="AU77"/>
  <c r="AV79"/>
  <c r="AS76"/>
  <c r="AS79"/>
  <c r="AV76"/>
  <c r="AV75"/>
  <c r="AS75"/>
  <c r="AS81" s="1"/>
  <c r="AT80"/>
  <c r="AT78"/>
  <c r="AW80"/>
  <c r="AU76"/>
  <c r="AU80"/>
  <c r="AW79"/>
  <c r="AW78"/>
  <c r="AT75"/>
  <c r="AV80"/>
  <c r="AW76"/>
  <c r="AW75"/>
  <c r="AV77"/>
  <c r="AS77"/>
  <c r="AT79"/>
  <c r="AU78"/>
  <c r="AW77"/>
  <c r="AS80"/>
  <c r="AT76"/>
  <c r="AU75"/>
  <c r="B98" i="39"/>
  <c r="BE43" i="33"/>
  <c r="K443" i="23"/>
  <c r="K523" s="1"/>
  <c r="K83" s="1"/>
  <c r="I125"/>
  <c r="I45" s="1"/>
  <c r="I5"/>
  <c r="AM605"/>
  <c r="I405"/>
  <c r="AG603"/>
  <c r="C603" s="1"/>
  <c r="C123" s="1"/>
  <c r="C43" s="1"/>
  <c r="C3"/>
  <c r="B405"/>
  <c r="AF605"/>
  <c r="B5"/>
  <c r="AP89" i="19"/>
  <c r="BE89"/>
  <c r="AP43" i="31"/>
  <c r="H443" i="23"/>
  <c r="H523" s="1"/>
  <c r="H83" s="1"/>
  <c r="AP44" i="31"/>
  <c r="BD43"/>
  <c r="D11" i="39"/>
  <c r="D67" s="1"/>
  <c r="AR19" i="28" a="1"/>
  <c r="AP43"/>
  <c r="AP44"/>
  <c r="B6" i="23"/>
  <c r="AF606"/>
  <c r="B606" s="1"/>
  <c r="B126" s="1"/>
  <c r="B406"/>
  <c r="BE98" i="28"/>
  <c r="AP98"/>
  <c r="AP99"/>
  <c r="AP43" i="19"/>
  <c r="AP44"/>
  <c r="BB43"/>
  <c r="BC43" s="1"/>
  <c r="BF43" s="1"/>
  <c r="AK43"/>
  <c r="AQ603" i="23"/>
  <c r="M603" s="1"/>
  <c r="M123" s="1"/>
  <c r="M43" s="1"/>
  <c r="M3"/>
  <c r="AI603"/>
  <c r="E3"/>
  <c r="E123"/>
  <c r="E43" s="1"/>
  <c r="D3"/>
  <c r="AH603"/>
  <c r="D603" s="1"/>
  <c r="D123" s="1"/>
  <c r="D43" s="1"/>
  <c r="AJ603"/>
  <c r="F3"/>
  <c r="F123"/>
  <c r="F43" s="1"/>
  <c r="AJ43" i="6"/>
  <c r="AX13" s="1" a="1"/>
  <c r="P43"/>
  <c r="D56" i="36"/>
  <c r="D12" i="39"/>
  <c r="D68" s="1"/>
  <c r="F8" i="36"/>
  <c r="D9" i="38"/>
  <c r="D59" s="1"/>
  <c r="BE41" i="35"/>
  <c r="D1782" i="23"/>
  <c r="D1787"/>
  <c r="D1775"/>
  <c r="AS13" i="35" l="1" a="1"/>
  <c r="AU14" s="1"/>
  <c r="AU81" i="28"/>
  <c r="J3" i="23"/>
  <c r="J123"/>
  <c r="J43" s="1"/>
  <c r="AW81" i="28"/>
  <c r="AV81"/>
  <c r="AR13" i="32"/>
  <c r="AV16"/>
  <c r="AU13"/>
  <c r="AV15"/>
  <c r="AV18"/>
  <c r="AU15"/>
  <c r="AU18"/>
  <c r="AT15"/>
  <c r="AR16"/>
  <c r="AS18"/>
  <c r="AR15"/>
  <c r="AR18"/>
  <c r="AV14"/>
  <c r="AV17"/>
  <c r="AU14"/>
  <c r="AT18"/>
  <c r="AS15"/>
  <c r="AT17"/>
  <c r="AS14"/>
  <c r="AS17"/>
  <c r="AR14"/>
  <c r="AR17"/>
  <c r="AV13"/>
  <c r="AU17"/>
  <c r="AT14"/>
  <c r="AU16"/>
  <c r="AT13"/>
  <c r="AT16"/>
  <c r="AS13"/>
  <c r="AS16"/>
  <c r="AU71" i="19"/>
  <c r="AU74"/>
  <c r="AT71"/>
  <c r="AT74"/>
  <c r="AS71"/>
  <c r="AS74"/>
  <c r="AT76"/>
  <c r="AS73"/>
  <c r="AW76"/>
  <c r="AV73"/>
  <c r="AV76"/>
  <c r="AU73"/>
  <c r="AU76"/>
  <c r="AT73"/>
  <c r="AU75"/>
  <c r="AT72"/>
  <c r="AS76"/>
  <c r="AW72"/>
  <c r="AW75"/>
  <c r="AV72"/>
  <c r="AV75"/>
  <c r="AU72"/>
  <c r="AV74"/>
  <c r="AT75"/>
  <c r="AS72"/>
  <c r="AS75"/>
  <c r="AW71"/>
  <c r="AW77" s="1"/>
  <c r="AW74"/>
  <c r="AV71"/>
  <c r="AV77" s="1"/>
  <c r="AW73"/>
  <c r="AR13" i="30"/>
  <c r="AU17"/>
  <c r="AT14"/>
  <c r="AV15"/>
  <c r="AS17"/>
  <c r="AR14"/>
  <c r="AS16"/>
  <c r="AV16"/>
  <c r="AU13"/>
  <c r="AR15"/>
  <c r="AT16"/>
  <c r="AS13"/>
  <c r="AT15"/>
  <c r="AR16"/>
  <c r="AT17"/>
  <c r="AS14"/>
  <c r="AU15"/>
  <c r="AV17"/>
  <c r="AU14"/>
  <c r="AS15"/>
  <c r="AU16"/>
  <c r="AT13"/>
  <c r="AV14"/>
  <c r="AR17"/>
  <c r="AV13"/>
  <c r="BE101" i="35"/>
  <c r="AS80" a="1"/>
  <c r="AT81" i="28"/>
  <c r="AK603" i="23"/>
  <c r="G3"/>
  <c r="G123"/>
  <c r="G43" s="1"/>
  <c r="AQ42" i="35"/>
  <c r="AQ102"/>
  <c r="B444" i="23"/>
  <c r="N444" s="1"/>
  <c r="BK44" i="1"/>
  <c r="BL44" s="1"/>
  <c r="AP44"/>
  <c r="AR13" i="34" a="1"/>
  <c r="BE33"/>
  <c r="AP34"/>
  <c r="AP33"/>
  <c r="L3" i="23"/>
  <c r="AP603"/>
  <c r="L603" s="1"/>
  <c r="L123" s="1"/>
  <c r="L43" s="1"/>
  <c r="AO603"/>
  <c r="K123"/>
  <c r="K43" s="1"/>
  <c r="K3"/>
  <c r="BA13" i="6"/>
  <c r="AY18"/>
  <c r="AX15"/>
  <c r="AX18"/>
  <c r="BB14"/>
  <c r="BB17"/>
  <c r="BA14"/>
  <c r="BA17"/>
  <c r="AZ14"/>
  <c r="BA15"/>
  <c r="AZ17"/>
  <c r="AY14"/>
  <c r="AY17"/>
  <c r="AX14"/>
  <c r="AX17"/>
  <c r="BB13"/>
  <c r="BB16"/>
  <c r="BB18"/>
  <c r="BA16"/>
  <c r="AZ13"/>
  <c r="AZ16"/>
  <c r="AY13"/>
  <c r="AY16"/>
  <c r="AX13"/>
  <c r="AX16"/>
  <c r="BB15"/>
  <c r="BA18"/>
  <c r="AZ15"/>
  <c r="AZ18"/>
  <c r="AY15"/>
  <c r="D98" i="39"/>
  <c r="B154"/>
  <c r="B46" i="23"/>
  <c r="AL603"/>
  <c r="H123"/>
  <c r="H43" s="1"/>
  <c r="H3"/>
  <c r="AU19" i="31"/>
  <c r="BC45" i="29"/>
  <c r="BE45" s="1"/>
  <c r="AJ46"/>
  <c r="AJ21"/>
  <c r="AJ27"/>
  <c r="AJ13"/>
  <c r="AJ34"/>
  <c r="AM60"/>
  <c r="AJ28"/>
  <c r="AJ36"/>
  <c r="AJ43"/>
  <c r="AM65"/>
  <c r="BC29"/>
  <c r="BE29" s="1"/>
  <c r="AJ19"/>
  <c r="AM49"/>
  <c r="AJ40"/>
  <c r="BC16"/>
  <c r="BE16" s="1"/>
  <c r="AJ44"/>
  <c r="BC27"/>
  <c r="BE27" s="1"/>
  <c r="AM70"/>
  <c r="AJ23"/>
  <c r="AJ16"/>
  <c r="AJ14"/>
  <c r="BC43"/>
  <c r="BE43" s="1"/>
  <c r="AM63"/>
  <c r="BC46"/>
  <c r="BE46" s="1"/>
  <c r="AJ26"/>
  <c r="BC21"/>
  <c r="BE21" s="1"/>
  <c r="BC19"/>
  <c r="BE19" s="1"/>
  <c r="AJ24"/>
  <c r="AM47"/>
  <c r="AM64"/>
  <c r="BC30"/>
  <c r="BE30" s="1"/>
  <c r="AJ33"/>
  <c r="BC41"/>
  <c r="BE41" s="1"/>
  <c r="AM73"/>
  <c r="BC24"/>
  <c r="BE24" s="1"/>
  <c r="BC20"/>
  <c r="BE20" s="1"/>
  <c r="AM58"/>
  <c r="BC26"/>
  <c r="BE26" s="1"/>
  <c r="AM48"/>
  <c r="AJ41"/>
  <c r="BC40"/>
  <c r="BE40" s="1"/>
  <c r="BC23"/>
  <c r="BE23" s="1"/>
  <c r="AJ32"/>
  <c r="BC25"/>
  <c r="BE25" s="1"/>
  <c r="AJ30"/>
  <c r="AM51"/>
  <c r="AM67"/>
  <c r="AM50"/>
  <c r="AJ15"/>
  <c r="BC31"/>
  <c r="BE31" s="1"/>
  <c r="AM68"/>
  <c r="BC17"/>
  <c r="BE17" s="1"/>
  <c r="AJ39"/>
  <c r="AJ38"/>
  <c r="AJ18"/>
  <c r="BC36"/>
  <c r="BE36" s="1"/>
  <c r="BC13"/>
  <c r="BE13" s="1"/>
  <c r="BC18"/>
  <c r="BE18" s="1"/>
  <c r="AM55"/>
  <c r="BC33"/>
  <c r="BE33" s="1"/>
  <c r="BC15"/>
  <c r="BE15" s="1"/>
  <c r="AJ35"/>
  <c r="AM54"/>
  <c r="AM66"/>
  <c r="AM53"/>
  <c r="AM71"/>
  <c r="BC14"/>
  <c r="BE14" s="1"/>
  <c r="BC37"/>
  <c r="BE37" s="1"/>
  <c r="BC44"/>
  <c r="AJ45"/>
  <c r="BC42"/>
  <c r="BE42" s="1"/>
  <c r="BC28"/>
  <c r="BE28" s="1"/>
  <c r="AM72"/>
  <c r="BC38"/>
  <c r="BE38" s="1"/>
  <c r="BC35"/>
  <c r="BE35" s="1"/>
  <c r="AJ42"/>
  <c r="AJ22"/>
  <c r="AJ17"/>
  <c r="BC34"/>
  <c r="BE34" s="1"/>
  <c r="AJ20"/>
  <c r="AM59"/>
  <c r="AM52"/>
  <c r="AJ29"/>
  <c r="AM57"/>
  <c r="BC32"/>
  <c r="BE32" s="1"/>
  <c r="AJ31"/>
  <c r="BC22"/>
  <c r="BE22" s="1"/>
  <c r="AM56"/>
  <c r="AM61"/>
  <c r="BC39"/>
  <c r="BE39" s="1"/>
  <c r="AM69"/>
  <c r="AJ25"/>
  <c r="AM62"/>
  <c r="AJ37"/>
  <c r="AS22" i="28"/>
  <c r="AS20"/>
  <c r="AR23"/>
  <c r="AS21"/>
  <c r="AS24"/>
  <c r="AT21"/>
  <c r="AT19"/>
  <c r="AV21"/>
  <c r="AR21"/>
  <c r="AT20"/>
  <c r="AU22"/>
  <c r="AT24"/>
  <c r="AV24"/>
  <c r="AU24"/>
  <c r="AU19"/>
  <c r="AU21"/>
  <c r="AU23"/>
  <c r="AU20"/>
  <c r="AS19"/>
  <c r="AR19"/>
  <c r="AV19"/>
  <c r="AV23"/>
  <c r="AT22"/>
  <c r="AR20"/>
  <c r="AV20"/>
  <c r="AT23"/>
  <c r="AV22"/>
  <c r="AS23"/>
  <c r="AR24"/>
  <c r="AR22"/>
  <c r="F56" i="36"/>
  <c r="O8"/>
  <c r="F12" i="39"/>
  <c r="F68" s="1"/>
  <c r="F9" i="38"/>
  <c r="F59" s="1"/>
  <c r="I443" i="23"/>
  <c r="AU44" i="6"/>
  <c r="AU43"/>
  <c r="BI43"/>
  <c r="AC45" i="32"/>
  <c r="F11" i="39"/>
  <c r="Q8" i="36"/>
  <c r="K525" i="23"/>
  <c r="K85" s="1"/>
  <c r="B605"/>
  <c r="AJ17" i="30" l="1"/>
  <c r="AK17" s="1"/>
  <c r="AR18"/>
  <c r="AR19" i="32"/>
  <c r="AM51" i="30"/>
  <c r="G451" i="23" s="1"/>
  <c r="G531" s="1"/>
  <c r="V91" s="1"/>
  <c r="AO39" i="6"/>
  <c r="AU19" i="32"/>
  <c r="BC33" i="30"/>
  <c r="BE33" s="1"/>
  <c r="BC37"/>
  <c r="BE37" s="1"/>
  <c r="AW13" i="35"/>
  <c r="AT15"/>
  <c r="AS17"/>
  <c r="AV17"/>
  <c r="AT17"/>
  <c r="AV16"/>
  <c r="AW16"/>
  <c r="AW17"/>
  <c r="AT13"/>
  <c r="AX14"/>
  <c r="AW15"/>
  <c r="AU15"/>
  <c r="AW14"/>
  <c r="AX15"/>
  <c r="AV13"/>
  <c r="AN58" s="1"/>
  <c r="AU16"/>
  <c r="BC35" i="30"/>
  <c r="BE35" s="1"/>
  <c r="AS77" i="19"/>
  <c r="AV15" i="35"/>
  <c r="AX17"/>
  <c r="AT14"/>
  <c r="AS16"/>
  <c r="AU13"/>
  <c r="AU18" s="1"/>
  <c r="AS14"/>
  <c r="AX13"/>
  <c r="AU18" i="30"/>
  <c r="B524" i="23"/>
  <c r="B84" s="1"/>
  <c r="AX16" i="35"/>
  <c r="AV14"/>
  <c r="AS15"/>
  <c r="AU17"/>
  <c r="AS13"/>
  <c r="AT16"/>
  <c r="AJ35" i="30"/>
  <c r="BF35" s="1"/>
  <c r="AJ18"/>
  <c r="AM61"/>
  <c r="G461" i="23" s="1"/>
  <c r="G541" s="1"/>
  <c r="G101" s="1"/>
  <c r="G421" s="1"/>
  <c r="AM63" i="30"/>
  <c r="AO63" s="1"/>
  <c r="AM54"/>
  <c r="AO54" s="1"/>
  <c r="AU77" i="19"/>
  <c r="AJ25" i="30"/>
  <c r="BF25" s="1"/>
  <c r="AJ20"/>
  <c r="BF20" s="1"/>
  <c r="AM68"/>
  <c r="G468" i="23" s="1"/>
  <c r="G548" s="1"/>
  <c r="V108" s="1"/>
  <c r="BC40" i="30"/>
  <c r="BE40" s="1"/>
  <c r="AJ24"/>
  <c r="AJ40"/>
  <c r="AM73"/>
  <c r="G473" i="23" s="1"/>
  <c r="G553" s="1"/>
  <c r="G113" s="1"/>
  <c r="G153" s="1"/>
  <c r="G73" s="1"/>
  <c r="AJ34" i="30"/>
  <c r="BF34" s="1"/>
  <c r="BC24"/>
  <c r="BE24" s="1"/>
  <c r="BC21"/>
  <c r="BE21" s="1"/>
  <c r="AJ42"/>
  <c r="AK42" s="1"/>
  <c r="AS80" i="35"/>
  <c r="AV82"/>
  <c r="AU84"/>
  <c r="AW81"/>
  <c r="AT84"/>
  <c r="AV81"/>
  <c r="AS84"/>
  <c r="AU81"/>
  <c r="AV84"/>
  <c r="AX81"/>
  <c r="AW83"/>
  <c r="AS81"/>
  <c r="AV83"/>
  <c r="AX80"/>
  <c r="AU83"/>
  <c r="AW80"/>
  <c r="AX83"/>
  <c r="AT81"/>
  <c r="AS83"/>
  <c r="AU80"/>
  <c r="AU85" s="1"/>
  <c r="AX82"/>
  <c r="AT80"/>
  <c r="AW82"/>
  <c r="AT83"/>
  <c r="AV80"/>
  <c r="AV85" s="1"/>
  <c r="AU82"/>
  <c r="AX84"/>
  <c r="AT82"/>
  <c r="AW84"/>
  <c r="AS82"/>
  <c r="BC31" i="30"/>
  <c r="BE31" s="1"/>
  <c r="AM49"/>
  <c r="AO49" s="1"/>
  <c r="AJ33"/>
  <c r="AK33" s="1"/>
  <c r="AJ26"/>
  <c r="BF26" s="1"/>
  <c r="BF17"/>
  <c r="AS18"/>
  <c r="BC43"/>
  <c r="BE43" s="1"/>
  <c r="AM70"/>
  <c r="AJ37"/>
  <c r="BF37" s="1"/>
  <c r="AM69"/>
  <c r="G469" i="23" s="1"/>
  <c r="G549" s="1"/>
  <c r="G109" s="1"/>
  <c r="AJ29" i="30"/>
  <c r="BF29" s="1"/>
  <c r="AJ32"/>
  <c r="BF32" s="1"/>
  <c r="BC41"/>
  <c r="BE41" s="1"/>
  <c r="AM62"/>
  <c r="AO62" s="1"/>
  <c r="AJ36"/>
  <c r="BF36" s="1"/>
  <c r="AM59"/>
  <c r="BC13"/>
  <c r="BE13" s="1"/>
  <c r="AJ38"/>
  <c r="AK38" s="1"/>
  <c r="BC39"/>
  <c r="BE39" s="1"/>
  <c r="BC18"/>
  <c r="BE18" s="1"/>
  <c r="AM56"/>
  <c r="AO56" s="1"/>
  <c r="AJ43"/>
  <c r="BC23"/>
  <c r="BE23" s="1"/>
  <c r="AJ46"/>
  <c r="AK46" s="1"/>
  <c r="AM60"/>
  <c r="AT18"/>
  <c r="AM53"/>
  <c r="G453" i="23" s="1"/>
  <c r="G533" s="1"/>
  <c r="V93" s="1"/>
  <c r="BC22" i="30"/>
  <c r="BE22" s="1"/>
  <c r="AM48"/>
  <c r="AO48" s="1"/>
  <c r="AM65"/>
  <c r="G465" i="23" s="1"/>
  <c r="G545" s="1"/>
  <c r="G105" s="1"/>
  <c r="G145" s="1"/>
  <c r="G65" s="1"/>
  <c r="BC38" i="30"/>
  <c r="BE38" s="1"/>
  <c r="BC44"/>
  <c r="BE44" s="1"/>
  <c r="AJ16"/>
  <c r="AK16" s="1"/>
  <c r="AJ31"/>
  <c r="BC26"/>
  <c r="BE26" s="1"/>
  <c r="AM55"/>
  <c r="AO55" s="1"/>
  <c r="AM72"/>
  <c r="AJ13"/>
  <c r="AM58"/>
  <c r="AO58" s="1"/>
  <c r="BC34"/>
  <c r="BE34" s="1"/>
  <c r="BC42"/>
  <c r="BE42" s="1"/>
  <c r="AJ22"/>
  <c r="BF22" s="1"/>
  <c r="AJ19"/>
  <c r="AK19" s="1"/>
  <c r="AJ28"/>
  <c r="AK28" s="1"/>
  <c r="AM52"/>
  <c r="AP52" s="1"/>
  <c r="BC14"/>
  <c r="BE14" s="1"/>
  <c r="AJ15"/>
  <c r="BF15" s="1"/>
  <c r="AM47"/>
  <c r="AO47" s="1"/>
  <c r="BC15"/>
  <c r="BE15" s="1"/>
  <c r="AJ23"/>
  <c r="AK23" s="1"/>
  <c r="AJ21"/>
  <c r="BC36"/>
  <c r="BE36" s="1"/>
  <c r="AM66"/>
  <c r="AM64"/>
  <c r="G464" i="23" s="1"/>
  <c r="G544" s="1"/>
  <c r="G104" s="1"/>
  <c r="G144" s="1"/>
  <c r="G64" s="1"/>
  <c r="BC30" i="30"/>
  <c r="BE30" s="1"/>
  <c r="AJ45"/>
  <c r="BC45"/>
  <c r="BE45" s="1"/>
  <c r="BC20"/>
  <c r="BE20" s="1"/>
  <c r="BC25"/>
  <c r="BE25" s="1"/>
  <c r="BC29"/>
  <c r="BE29" s="1"/>
  <c r="BC32"/>
  <c r="BE32" s="1"/>
  <c r="BC17"/>
  <c r="BE17" s="1"/>
  <c r="BC19"/>
  <c r="BE19" s="1"/>
  <c r="AM57"/>
  <c r="AP57" s="1"/>
  <c r="BC28"/>
  <c r="BE28" s="1"/>
  <c r="AJ30"/>
  <c r="BC27"/>
  <c r="BE27" s="1"/>
  <c r="AM67"/>
  <c r="BC16"/>
  <c r="BE16" s="1"/>
  <c r="AJ14"/>
  <c r="AJ27"/>
  <c r="AM71"/>
  <c r="G471" i="23" s="1"/>
  <c r="G551" s="1"/>
  <c r="V111" s="1"/>
  <c r="AJ44" i="30"/>
  <c r="AM50"/>
  <c r="AJ41"/>
  <c r="AJ39"/>
  <c r="BC46"/>
  <c r="BE46" s="1"/>
  <c r="AV18"/>
  <c r="AT85" i="35"/>
  <c r="AX85"/>
  <c r="BF46" i="30"/>
  <c r="AK26"/>
  <c r="G459" i="23"/>
  <c r="G539" s="1"/>
  <c r="V99" s="1"/>
  <c r="G458"/>
  <c r="G538" s="1"/>
  <c r="V98" s="1"/>
  <c r="BF19" i="30"/>
  <c r="AK15"/>
  <c r="AP65"/>
  <c r="AT77" i="19"/>
  <c r="AK35" i="30"/>
  <c r="AR19" i="33"/>
  <c r="AS19"/>
  <c r="AS19" i="32"/>
  <c r="AO53" i="30"/>
  <c r="AV19" i="32"/>
  <c r="BD45"/>
  <c r="BF45" s="1"/>
  <c r="AM72"/>
  <c r="AM62"/>
  <c r="BD15"/>
  <c r="BF15" s="1"/>
  <c r="AJ13"/>
  <c r="AM49"/>
  <c r="AJ45"/>
  <c r="AJ24"/>
  <c r="BD43"/>
  <c r="BF43" s="1"/>
  <c r="BD38"/>
  <c r="BF38" s="1"/>
  <c r="AJ29"/>
  <c r="AM47"/>
  <c r="AM63"/>
  <c r="AJ30"/>
  <c r="AJ43"/>
  <c r="AJ41"/>
  <c r="AM56"/>
  <c r="BD23"/>
  <c r="BF23" s="1"/>
  <c r="BD44"/>
  <c r="AJ39"/>
  <c r="AM46"/>
  <c r="AP46" s="1"/>
  <c r="AM68"/>
  <c r="AJ35"/>
  <c r="AJ44"/>
  <c r="BD17"/>
  <c r="BF17" s="1"/>
  <c r="AM64"/>
  <c r="AJ38"/>
  <c r="BD32"/>
  <c r="BF32" s="1"/>
  <c r="BD35"/>
  <c r="BF35" s="1"/>
  <c r="AM53"/>
  <c r="BD14"/>
  <c r="BF14" s="1"/>
  <c r="BD31"/>
  <c r="BF31" s="1"/>
  <c r="BD42"/>
  <c r="BF42" s="1"/>
  <c r="BD16"/>
  <c r="BF16" s="1"/>
  <c r="AM59"/>
  <c r="AJ28"/>
  <c r="AJ33"/>
  <c r="AJ36"/>
  <c r="AM50"/>
  <c r="BD27"/>
  <c r="BF27" s="1"/>
  <c r="BD36"/>
  <c r="BF36" s="1"/>
  <c r="AJ22"/>
  <c r="BD22"/>
  <c r="BF22" s="1"/>
  <c r="BD33"/>
  <c r="BF33" s="1"/>
  <c r="AM58"/>
  <c r="BD29"/>
  <c r="BF29" s="1"/>
  <c r="BD28"/>
  <c r="BF28" s="1"/>
  <c r="AM70"/>
  <c r="BD25"/>
  <c r="BF25" s="1"/>
  <c r="AJ16"/>
  <c r="AJ21"/>
  <c r="AJ31"/>
  <c r="AM51"/>
  <c r="AM67"/>
  <c r="AJ26"/>
  <c r="BD30"/>
  <c r="BF30" s="1"/>
  <c r="AJ34"/>
  <c r="AM61"/>
  <c r="BD19"/>
  <c r="BF19" s="1"/>
  <c r="AJ37"/>
  <c r="AJ19"/>
  <c r="AM52"/>
  <c r="AM73"/>
  <c r="BD21"/>
  <c r="BF21" s="1"/>
  <c r="BD26"/>
  <c r="BF26" s="1"/>
  <c r="AM48"/>
  <c r="AM69"/>
  <c r="BD24"/>
  <c r="BF24" s="1"/>
  <c r="AJ14"/>
  <c r="BD13"/>
  <c r="BF13" s="1"/>
  <c r="AM60"/>
  <c r="AJ15"/>
  <c r="BD34"/>
  <c r="BF34" s="1"/>
  <c r="AJ42"/>
  <c r="BD41"/>
  <c r="BF41" s="1"/>
  <c r="AM55"/>
  <c r="AM71"/>
  <c r="AJ18"/>
  <c r="AJ27"/>
  <c r="AJ25"/>
  <c r="AM66"/>
  <c r="AJ17"/>
  <c r="AJ20"/>
  <c r="BD40"/>
  <c r="BF40" s="1"/>
  <c r="AM57"/>
  <c r="BD18"/>
  <c r="BF18" s="1"/>
  <c r="AJ40"/>
  <c r="BD37"/>
  <c r="BF37" s="1"/>
  <c r="AM54"/>
  <c r="BD20"/>
  <c r="BF20" s="1"/>
  <c r="AJ32"/>
  <c r="BD39"/>
  <c r="BF39" s="1"/>
  <c r="AJ23"/>
  <c r="AM65"/>
  <c r="AT19"/>
  <c r="AS15" i="34"/>
  <c r="AR14"/>
  <c r="AU13"/>
  <c r="AU18"/>
  <c r="AU14"/>
  <c r="AT13"/>
  <c r="AR16"/>
  <c r="AT17"/>
  <c r="AR17"/>
  <c r="AV15"/>
  <c r="AT15"/>
  <c r="AU17"/>
  <c r="AT16"/>
  <c r="AS18"/>
  <c r="AT18"/>
  <c r="AS17"/>
  <c r="AV16"/>
  <c r="AU15"/>
  <c r="AV14"/>
  <c r="AU16"/>
  <c r="AS16"/>
  <c r="AV17"/>
  <c r="AR13"/>
  <c r="AS14"/>
  <c r="AV13"/>
  <c r="AV18"/>
  <c r="AR15"/>
  <c r="AT14"/>
  <c r="AS13"/>
  <c r="AR18"/>
  <c r="AO59" i="30"/>
  <c r="G470" i="23"/>
  <c r="G550" s="1"/>
  <c r="G110" s="1"/>
  <c r="AK32" i="30"/>
  <c r="AP60"/>
  <c r="AU19" i="33"/>
  <c r="AT19"/>
  <c r="V58" i="41"/>
  <c r="G93" i="23"/>
  <c r="AK613" s="1"/>
  <c r="D154" i="39"/>
  <c r="F98"/>
  <c r="AJ45" i="33"/>
  <c r="AM46"/>
  <c r="AP46" s="1"/>
  <c r="BD45"/>
  <c r="BF45" s="1"/>
  <c r="BD41"/>
  <c r="BF41" s="1"/>
  <c r="BD36"/>
  <c r="BF36" s="1"/>
  <c r="AJ19"/>
  <c r="AJ31"/>
  <c r="AM57"/>
  <c r="AM73"/>
  <c r="BD39"/>
  <c r="BF39" s="1"/>
  <c r="BD38"/>
  <c r="BF38" s="1"/>
  <c r="BD33"/>
  <c r="BF33" s="1"/>
  <c r="AM64"/>
  <c r="BD13"/>
  <c r="AJ17"/>
  <c r="AJ32"/>
  <c r="AM60"/>
  <c r="AJ43"/>
  <c r="BD17"/>
  <c r="BF17" s="1"/>
  <c r="BD29"/>
  <c r="BF29" s="1"/>
  <c r="AM62"/>
  <c r="BD28"/>
  <c r="BF28" s="1"/>
  <c r="AV19"/>
  <c r="AJ21"/>
  <c r="AM52"/>
  <c r="AJ24"/>
  <c r="AJ35"/>
  <c r="AJ29"/>
  <c r="BD25"/>
  <c r="BF25" s="1"/>
  <c r="AM61"/>
  <c r="BD27"/>
  <c r="BF27" s="1"/>
  <c r="BD30"/>
  <c r="BF30" s="1"/>
  <c r="BD21"/>
  <c r="BF21" s="1"/>
  <c r="AM48"/>
  <c r="AM70"/>
  <c r="BD14"/>
  <c r="BD23"/>
  <c r="BF23" s="1"/>
  <c r="AJ18"/>
  <c r="AM66"/>
  <c r="AJ37"/>
  <c r="AJ34"/>
  <c r="BD18"/>
  <c r="BF18" s="1"/>
  <c r="AM67"/>
  <c r="AJ20"/>
  <c r="BD34"/>
  <c r="BF34" s="1"/>
  <c r="AJ23"/>
  <c r="AM58"/>
  <c r="AJ41"/>
  <c r="AJ36"/>
  <c r="BD43"/>
  <c r="BF43" s="1"/>
  <c r="AM49"/>
  <c r="AM65"/>
  <c r="BD37"/>
  <c r="BF37" s="1"/>
  <c r="AJ27"/>
  <c r="AJ22"/>
  <c r="AM54"/>
  <c r="BD20"/>
  <c r="BF20" s="1"/>
  <c r="AJ26"/>
  <c r="BD22"/>
  <c r="BF22" s="1"/>
  <c r="AM50"/>
  <c r="AM71"/>
  <c r="AJ42"/>
  <c r="AJ38"/>
  <c r="AM51"/>
  <c r="AM72"/>
  <c r="BD26"/>
  <c r="BF26" s="1"/>
  <c r="BD42"/>
  <c r="BF42" s="1"/>
  <c r="AJ25"/>
  <c r="AM63"/>
  <c r="BD24"/>
  <c r="BF24" s="1"/>
  <c r="BD35"/>
  <c r="BF35" s="1"/>
  <c r="BD19"/>
  <c r="BF19" s="1"/>
  <c r="BD44"/>
  <c r="AM53"/>
  <c r="AM69"/>
  <c r="BD32"/>
  <c r="BF32" s="1"/>
  <c r="AJ33"/>
  <c r="BD16"/>
  <c r="BF16" s="1"/>
  <c r="AM59"/>
  <c r="BD31"/>
  <c r="BF31" s="1"/>
  <c r="AJ40"/>
  <c r="AJ44"/>
  <c r="AM55"/>
  <c r="BD15"/>
  <c r="AJ39"/>
  <c r="AJ16"/>
  <c r="AM56"/>
  <c r="AJ30"/>
  <c r="BD40"/>
  <c r="BF40" s="1"/>
  <c r="AJ28"/>
  <c r="AM47"/>
  <c r="AM68"/>
  <c r="AT19" i="31"/>
  <c r="AS19"/>
  <c r="AR19"/>
  <c r="BF79" i="35"/>
  <c r="B125" i="23"/>
  <c r="O11" i="39"/>
  <c r="O9" i="38"/>
  <c r="R8" i="36"/>
  <c r="O56"/>
  <c r="O12" i="39"/>
  <c r="F456" i="23"/>
  <c r="F536" s="1"/>
  <c r="AP56" i="29"/>
  <c r="AO56"/>
  <c r="BF20"/>
  <c r="BG20" s="1"/>
  <c r="AK20"/>
  <c r="F466" i="23"/>
  <c r="F546" s="1"/>
  <c r="AP66" i="29"/>
  <c r="BF24"/>
  <c r="BG24" s="1"/>
  <c r="AK24"/>
  <c r="BF16"/>
  <c r="BG16" s="1"/>
  <c r="AK16"/>
  <c r="AK19"/>
  <c r="BF19"/>
  <c r="BG19" s="1"/>
  <c r="AK13"/>
  <c r="BF13"/>
  <c r="BG13" s="1"/>
  <c r="F469" i="23"/>
  <c r="F549" s="1"/>
  <c r="AP69" i="29"/>
  <c r="AK29"/>
  <c r="BF29"/>
  <c r="BG29" s="1"/>
  <c r="AP55"/>
  <c r="F455" i="23"/>
  <c r="F535" s="1"/>
  <c r="AO55" i="29"/>
  <c r="F468" i="23"/>
  <c r="F548" s="1"/>
  <c r="AP68" i="29"/>
  <c r="AK32"/>
  <c r="BF32"/>
  <c r="BG32" s="1"/>
  <c r="BF23"/>
  <c r="BG23" s="1"/>
  <c r="AK23"/>
  <c r="AK27"/>
  <c r="BF27"/>
  <c r="BG27" s="1"/>
  <c r="AK37"/>
  <c r="BF37"/>
  <c r="BG37" s="1"/>
  <c r="BF31"/>
  <c r="BG31" s="1"/>
  <c r="AK31"/>
  <c r="F452" i="23"/>
  <c r="F532" s="1"/>
  <c r="AO52" i="29"/>
  <c r="AP52"/>
  <c r="AK17"/>
  <c r="BF17"/>
  <c r="BG17" s="1"/>
  <c r="BF45"/>
  <c r="BG45" s="1"/>
  <c r="AK45"/>
  <c r="AP71"/>
  <c r="F471" i="23"/>
  <c r="F551" s="1"/>
  <c r="AK35" i="29"/>
  <c r="BF35"/>
  <c r="BG35" s="1"/>
  <c r="BF38"/>
  <c r="BG38" s="1"/>
  <c r="AK38"/>
  <c r="AP51"/>
  <c r="F451" i="23"/>
  <c r="F531" s="1"/>
  <c r="AO51" i="29"/>
  <c r="F473" i="23"/>
  <c r="F553" s="1"/>
  <c r="AP73" i="29"/>
  <c r="F464" i="23"/>
  <c r="F544" s="1"/>
  <c r="AP64" i="29"/>
  <c r="F470" i="23"/>
  <c r="F550" s="1"/>
  <c r="AP70" i="29"/>
  <c r="AK40"/>
  <c r="BF40"/>
  <c r="BG40" s="1"/>
  <c r="F465" i="23"/>
  <c r="F545" s="1"/>
  <c r="AP65" i="29"/>
  <c r="AP60"/>
  <c r="F460" i="23"/>
  <c r="F540" s="1"/>
  <c r="AO60" i="29"/>
  <c r="BF21"/>
  <c r="BG21" s="1"/>
  <c r="AK21"/>
  <c r="N524" i="23"/>
  <c r="L525"/>
  <c r="L85" s="1"/>
  <c r="AX18" i="35"/>
  <c r="AK39"/>
  <c r="AK25" i="29"/>
  <c r="BF25"/>
  <c r="BG25" s="1"/>
  <c r="AO57"/>
  <c r="AP57"/>
  <c r="F457" i="23"/>
  <c r="F537" s="1"/>
  <c r="BF42" i="29"/>
  <c r="BG42" s="1"/>
  <c r="AK42"/>
  <c r="AP50"/>
  <c r="AO50"/>
  <c r="F450" i="23"/>
  <c r="F530" s="1"/>
  <c r="AK41" i="29"/>
  <c r="BF41"/>
  <c r="BG41" s="1"/>
  <c r="BF33"/>
  <c r="BG33" s="1"/>
  <c r="AK33"/>
  <c r="AK44"/>
  <c r="BF44"/>
  <c r="BG44" s="1"/>
  <c r="BF36"/>
  <c r="BG36" s="1"/>
  <c r="AK36"/>
  <c r="BD45" i="28"/>
  <c r="AJ46"/>
  <c r="AK46" s="1"/>
  <c r="BD33"/>
  <c r="BD42"/>
  <c r="AJ42"/>
  <c r="AK42" s="1"/>
  <c r="AJ33"/>
  <c r="AK33" s="1"/>
  <c r="AJ18"/>
  <c r="AK18" s="1"/>
  <c r="AJ29"/>
  <c r="AK29" s="1"/>
  <c r="AJ16"/>
  <c r="AK16" s="1"/>
  <c r="BD27"/>
  <c r="AJ36"/>
  <c r="AK36" s="1"/>
  <c r="BD41"/>
  <c r="BD18"/>
  <c r="BD26"/>
  <c r="AJ32"/>
  <c r="AK32" s="1"/>
  <c r="AJ41"/>
  <c r="AK41" s="1"/>
  <c r="AJ31"/>
  <c r="AK31" s="1"/>
  <c r="AJ19"/>
  <c r="AK19" s="1"/>
  <c r="AM48"/>
  <c r="AM52"/>
  <c r="AM56"/>
  <c r="AM60"/>
  <c r="AJ45"/>
  <c r="AK45" s="1"/>
  <c r="AJ20"/>
  <c r="AK20" s="1"/>
  <c r="BD40"/>
  <c r="AJ22"/>
  <c r="AK22" s="1"/>
  <c r="AJ21"/>
  <c r="AK21" s="1"/>
  <c r="BD21"/>
  <c r="AJ28"/>
  <c r="AK28" s="1"/>
  <c r="BD25"/>
  <c r="AJ27"/>
  <c r="AK27" s="1"/>
  <c r="BD30"/>
  <c r="BD13"/>
  <c r="BD35"/>
  <c r="BD39"/>
  <c r="AM49"/>
  <c r="AM53"/>
  <c r="AM59"/>
  <c r="AJ39"/>
  <c r="AK39" s="1"/>
  <c r="AJ38"/>
  <c r="AK38" s="1"/>
  <c r="AJ35"/>
  <c r="AK35" s="1"/>
  <c r="BD20"/>
  <c r="AJ40"/>
  <c r="AK40" s="1"/>
  <c r="BD32"/>
  <c r="BD23"/>
  <c r="AJ43"/>
  <c r="AK43" s="1"/>
  <c r="BD34"/>
  <c r="BD17"/>
  <c r="AJ44"/>
  <c r="AK44" s="1"/>
  <c r="AJ26"/>
  <c r="AK26" s="1"/>
  <c r="AM50"/>
  <c r="AM55"/>
  <c r="AM61"/>
  <c r="BD44"/>
  <c r="AJ30"/>
  <c r="AK30" s="1"/>
  <c r="BD31"/>
  <c r="AJ34"/>
  <c r="AK34" s="1"/>
  <c r="BD15"/>
  <c r="AJ23"/>
  <c r="AK23" s="1"/>
  <c r="AJ13"/>
  <c r="AK13" s="1"/>
  <c r="BD19"/>
  <c r="AJ24"/>
  <c r="AK24" s="1"/>
  <c r="BD36"/>
  <c r="BD28"/>
  <c r="BD22"/>
  <c r="AJ14"/>
  <c r="AK14" s="1"/>
  <c r="AM51"/>
  <c r="AM57"/>
  <c r="AM62"/>
  <c r="BD46"/>
  <c r="BD43"/>
  <c r="BD14"/>
  <c r="BD16"/>
  <c r="BD29"/>
  <c r="AJ17"/>
  <c r="AK17" s="1"/>
  <c r="BD37"/>
  <c r="AJ37"/>
  <c r="AK37" s="1"/>
  <c r="BD38"/>
  <c r="AJ25"/>
  <c r="AK25" s="1"/>
  <c r="AJ15"/>
  <c r="AK15" s="1"/>
  <c r="BD24"/>
  <c r="AM47"/>
  <c r="AM54"/>
  <c r="AM58"/>
  <c r="AM63"/>
  <c r="AP54" i="29"/>
  <c r="AO54"/>
  <c r="F454" i="23"/>
  <c r="F534" s="1"/>
  <c r="BF18" i="29"/>
  <c r="BG18" s="1"/>
  <c r="AK18"/>
  <c r="AP67"/>
  <c r="F467" i="23"/>
  <c r="F547" s="1"/>
  <c r="F448"/>
  <c r="F528" s="1"/>
  <c r="AO48" i="29"/>
  <c r="AP48"/>
  <c r="AO63"/>
  <c r="F463" i="23"/>
  <c r="F543" s="1"/>
  <c r="AP63" i="29"/>
  <c r="AK28"/>
  <c r="BF28"/>
  <c r="BG28" s="1"/>
  <c r="AM46" i="31"/>
  <c r="BC16"/>
  <c r="BE16" s="1"/>
  <c r="BC25"/>
  <c r="BE25" s="1"/>
  <c r="BC40"/>
  <c r="BE40" s="1"/>
  <c r="BC23"/>
  <c r="BE23" s="1"/>
  <c r="AM58"/>
  <c r="BC15"/>
  <c r="BE15" s="1"/>
  <c r="BC20"/>
  <c r="BE20" s="1"/>
  <c r="AJ31"/>
  <c r="BC22"/>
  <c r="BE22" s="1"/>
  <c r="AJ35"/>
  <c r="BC35"/>
  <c r="BE35" s="1"/>
  <c r="AM51"/>
  <c r="AM67"/>
  <c r="AJ19"/>
  <c r="AM72"/>
  <c r="AJ28"/>
  <c r="AJ20"/>
  <c r="AJ41"/>
  <c r="AJ33"/>
  <c r="AM61"/>
  <c r="AJ16"/>
  <c r="AJ30"/>
  <c r="AM64"/>
  <c r="BC43"/>
  <c r="BE43" s="1"/>
  <c r="AJ40"/>
  <c r="AM50"/>
  <c r="AJ23"/>
  <c r="BC44"/>
  <c r="BC36"/>
  <c r="BE36" s="1"/>
  <c r="AJ21"/>
  <c r="BC39"/>
  <c r="BE39" s="1"/>
  <c r="BC24"/>
  <c r="BE24" s="1"/>
  <c r="AM53"/>
  <c r="AM69"/>
  <c r="AJ39"/>
  <c r="BC17"/>
  <c r="BE17" s="1"/>
  <c r="AM54"/>
  <c r="AM70"/>
  <c r="AJ13"/>
  <c r="AJ15"/>
  <c r="AM63"/>
  <c r="AJ27"/>
  <c r="AJ24"/>
  <c r="AJ29"/>
  <c r="AM73"/>
  <c r="AM60"/>
  <c r="AJ45"/>
  <c r="AJ22"/>
  <c r="AJ14"/>
  <c r="BC33"/>
  <c r="BE33" s="1"/>
  <c r="AJ34"/>
  <c r="AM62"/>
  <c r="AJ42"/>
  <c r="AM48"/>
  <c r="AJ44"/>
  <c r="BC42"/>
  <c r="BE42" s="1"/>
  <c r="BC28"/>
  <c r="BE28" s="1"/>
  <c r="BC34"/>
  <c r="BE34" s="1"/>
  <c r="AM55"/>
  <c r="AM71"/>
  <c r="BC14"/>
  <c r="BE14" s="1"/>
  <c r="BC32"/>
  <c r="BE32" s="1"/>
  <c r="BC21"/>
  <c r="BE21" s="1"/>
  <c r="BC30"/>
  <c r="BE30" s="1"/>
  <c r="BC19"/>
  <c r="BE19" s="1"/>
  <c r="AM49"/>
  <c r="AM65"/>
  <c r="AJ25"/>
  <c r="BC29"/>
  <c r="BE29" s="1"/>
  <c r="AJ32"/>
  <c r="AJ37"/>
  <c r="AM66"/>
  <c r="AM68"/>
  <c r="BC41"/>
  <c r="BE41" s="1"/>
  <c r="BC37"/>
  <c r="AM59"/>
  <c r="AJ38"/>
  <c r="AJ43"/>
  <c r="BC27"/>
  <c r="BE27" s="1"/>
  <c r="BC38"/>
  <c r="BE38" s="1"/>
  <c r="AM52"/>
  <c r="BC45"/>
  <c r="BE45" s="1"/>
  <c r="BC26"/>
  <c r="BE26" s="1"/>
  <c r="AJ26"/>
  <c r="BC18"/>
  <c r="BE18" s="1"/>
  <c r="BC31"/>
  <c r="BE31" s="1"/>
  <c r="AJ17"/>
  <c r="AM47"/>
  <c r="AM56"/>
  <c r="AJ36"/>
  <c r="BC13"/>
  <c r="BE13" s="1"/>
  <c r="AM57"/>
  <c r="AJ18"/>
  <c r="AM91" i="19"/>
  <c r="D447" i="23" s="1"/>
  <c r="BD77" i="19"/>
  <c r="BF77" s="1"/>
  <c r="BD82"/>
  <c r="BF82" s="1"/>
  <c r="AJ80"/>
  <c r="BD78"/>
  <c r="BF78" s="1"/>
  <c r="AJ83"/>
  <c r="BD81"/>
  <c r="BF81" s="1"/>
  <c r="BD71"/>
  <c r="BF71" s="1"/>
  <c r="AJ88"/>
  <c r="BD79"/>
  <c r="BF79" s="1"/>
  <c r="AJ71"/>
  <c r="AJ85"/>
  <c r="AM92"/>
  <c r="D448" i="23" s="1"/>
  <c r="AM96" i="19"/>
  <c r="D452" i="23" s="1"/>
  <c r="AM100" i="19"/>
  <c r="D456" i="23" s="1"/>
  <c r="AM104" i="19"/>
  <c r="D460" i="23" s="1"/>
  <c r="AM108" i="19"/>
  <c r="D464" i="23" s="1"/>
  <c r="AM112" i="19"/>
  <c r="D468" i="23" s="1"/>
  <c r="AM116" i="19"/>
  <c r="D472" i="23" s="1"/>
  <c r="BD74" i="19"/>
  <c r="BF74" s="1"/>
  <c r="AJ74"/>
  <c r="AJ82"/>
  <c r="BD80"/>
  <c r="BF80" s="1"/>
  <c r="AJ86"/>
  <c r="BD88"/>
  <c r="BF88" s="1"/>
  <c r="AJ70"/>
  <c r="AJ79"/>
  <c r="AM94"/>
  <c r="D450" i="23" s="1"/>
  <c r="AM99" i="19"/>
  <c r="D455" i="23" s="1"/>
  <c r="AM105" i="19"/>
  <c r="D461" i="23" s="1"/>
  <c r="AM110" i="19"/>
  <c r="D466" i="23" s="1"/>
  <c r="AM115" i="19"/>
  <c r="D471" i="23" s="1"/>
  <c r="BD73" i="19"/>
  <c r="BF73" s="1"/>
  <c r="BD69"/>
  <c r="BF69" s="1"/>
  <c r="BD70"/>
  <c r="BF70" s="1"/>
  <c r="AJ73"/>
  <c r="BD90"/>
  <c r="AJ89"/>
  <c r="BD85"/>
  <c r="BF85" s="1"/>
  <c r="AJ76"/>
  <c r="AM95"/>
  <c r="D451" i="23" s="1"/>
  <c r="AM101" i="19"/>
  <c r="D457" i="23" s="1"/>
  <c r="AM106" i="19"/>
  <c r="D462" i="23" s="1"/>
  <c r="AM111" i="19"/>
  <c r="D467" i="23" s="1"/>
  <c r="AM117" i="19"/>
  <c r="D473" i="23" s="1"/>
  <c r="AJ90" i="19"/>
  <c r="BD75"/>
  <c r="BF75" s="1"/>
  <c r="AJ77"/>
  <c r="AJ84"/>
  <c r="BD84"/>
  <c r="BF84" s="1"/>
  <c r="AJ87"/>
  <c r="AJ75"/>
  <c r="AJ78"/>
  <c r="BD86"/>
  <c r="BF86" s="1"/>
  <c r="AM97"/>
  <c r="D453" i="23" s="1"/>
  <c r="AM102" i="19"/>
  <c r="D458" i="23" s="1"/>
  <c r="AM107" i="19"/>
  <c r="D463" i="23" s="1"/>
  <c r="AM113" i="19"/>
  <c r="D469" i="23" s="1"/>
  <c r="BD76" i="19"/>
  <c r="BF76" s="1"/>
  <c r="BD87"/>
  <c r="BF87" s="1"/>
  <c r="BD72"/>
  <c r="BF72" s="1"/>
  <c r="AJ72"/>
  <c r="AJ69"/>
  <c r="BD89"/>
  <c r="BF89" s="1"/>
  <c r="BD83"/>
  <c r="BF83" s="1"/>
  <c r="AJ81"/>
  <c r="AM93"/>
  <c r="D449" i="23" s="1"/>
  <c r="AM98" i="19"/>
  <c r="D454" i="23" s="1"/>
  <c r="AM103" i="19"/>
  <c r="D459" i="23" s="1"/>
  <c r="AM109" i="19"/>
  <c r="D465" i="23" s="1"/>
  <c r="AM114" i="19"/>
  <c r="D470" i="23" s="1"/>
  <c r="B2" i="42"/>
  <c r="L2" s="1"/>
  <c r="F67" i="39"/>
  <c r="J525" i="23"/>
  <c r="K405"/>
  <c r="K125"/>
  <c r="K45" s="1"/>
  <c r="K5"/>
  <c r="AO605"/>
  <c r="B10" i="39"/>
  <c r="B66" s="1"/>
  <c r="Q56" i="36"/>
  <c r="Q9" i="38"/>
  <c r="AD8" i="36"/>
  <c r="Q12" i="39"/>
  <c r="Q68" s="1"/>
  <c r="AM102" i="28"/>
  <c r="BD101"/>
  <c r="BF101" s="1"/>
  <c r="BD92"/>
  <c r="BF92" s="1"/>
  <c r="BD86"/>
  <c r="BF86" s="1"/>
  <c r="AJ74"/>
  <c r="AJ80"/>
  <c r="BD89"/>
  <c r="BF89" s="1"/>
  <c r="AJ84"/>
  <c r="BD79"/>
  <c r="BF79" s="1"/>
  <c r="AJ94"/>
  <c r="AJ98"/>
  <c r="AJ86"/>
  <c r="BD98"/>
  <c r="BF98" s="1"/>
  <c r="BD83"/>
  <c r="BF83" s="1"/>
  <c r="BD74"/>
  <c r="BF74" s="1"/>
  <c r="AM103"/>
  <c r="AM107"/>
  <c r="AM111"/>
  <c r="AM115"/>
  <c r="AM119"/>
  <c r="AM123"/>
  <c r="AM127"/>
  <c r="AJ100"/>
  <c r="BD99"/>
  <c r="BF99" s="1"/>
  <c r="AJ85"/>
  <c r="BD93"/>
  <c r="BF93" s="1"/>
  <c r="AJ83"/>
  <c r="AJ79"/>
  <c r="AJ97"/>
  <c r="BD94"/>
  <c r="BF94" s="1"/>
  <c r="BD96"/>
  <c r="BF96" s="1"/>
  <c r="AJ93"/>
  <c r="BD90"/>
  <c r="BF90" s="1"/>
  <c r="BD77"/>
  <c r="BF77" s="1"/>
  <c r="AM106"/>
  <c r="AM112"/>
  <c r="AM117"/>
  <c r="AM122"/>
  <c r="AM128"/>
  <c r="AJ101"/>
  <c r="BD82"/>
  <c r="BF82" s="1"/>
  <c r="BD91"/>
  <c r="BF91" s="1"/>
  <c r="BD78"/>
  <c r="BF78" s="1"/>
  <c r="BD81"/>
  <c r="BF81" s="1"/>
  <c r="AJ76"/>
  <c r="AJ95"/>
  <c r="BD97"/>
  <c r="BF97" s="1"/>
  <c r="BD85"/>
  <c r="BF85" s="1"/>
  <c r="BD76"/>
  <c r="BF76" s="1"/>
  <c r="AJ77"/>
  <c r="BD100"/>
  <c r="AM109"/>
  <c r="AM113"/>
  <c r="AM118"/>
  <c r="AM124"/>
  <c r="AJ78"/>
  <c r="AJ96"/>
  <c r="AJ81"/>
  <c r="BD95"/>
  <c r="BF95" s="1"/>
  <c r="BD87"/>
  <c r="BF87" s="1"/>
  <c r="BD75"/>
  <c r="BF75" s="1"/>
  <c r="AJ91"/>
  <c r="AJ73"/>
  <c r="AJ75"/>
  <c r="AJ99"/>
  <c r="AM104"/>
  <c r="AM108"/>
  <c r="AM114"/>
  <c r="AM120"/>
  <c r="AM125"/>
  <c r="AJ92"/>
  <c r="BD84"/>
  <c r="BF84" s="1"/>
  <c r="BD73"/>
  <c r="BF73" s="1"/>
  <c r="AJ82"/>
  <c r="AJ88"/>
  <c r="AJ90"/>
  <c r="BD88"/>
  <c r="BF88" s="1"/>
  <c r="BD80"/>
  <c r="BF80" s="1"/>
  <c r="AJ87"/>
  <c r="AJ89"/>
  <c r="AM105"/>
  <c r="AM110"/>
  <c r="AM116"/>
  <c r="AM121"/>
  <c r="AM126"/>
  <c r="I523" i="23"/>
  <c r="I83" s="1"/>
  <c r="B59" i="41"/>
  <c r="F462" i="23"/>
  <c r="F542" s="1"/>
  <c r="AP62" i="29"/>
  <c r="AO62"/>
  <c r="F461" i="23"/>
  <c r="F541" s="1"/>
  <c r="AO61" i="29"/>
  <c r="AP61"/>
  <c r="AO59"/>
  <c r="F459" i="23"/>
  <c r="F539" s="1"/>
  <c r="AP59" i="29"/>
  <c r="AK22"/>
  <c r="BF22"/>
  <c r="BG22" s="1"/>
  <c r="F472" i="23"/>
  <c r="F552" s="1"/>
  <c r="AP72" i="29"/>
  <c r="BE44"/>
  <c r="AO53"/>
  <c r="F453" i="23"/>
  <c r="F533" s="1"/>
  <c r="AP53" i="29"/>
  <c r="AK39"/>
  <c r="BF39"/>
  <c r="BG39" s="1"/>
  <c r="BF15"/>
  <c r="BG15" s="1"/>
  <c r="AK15"/>
  <c r="BF30"/>
  <c r="BG30" s="1"/>
  <c r="AK30"/>
  <c r="F458" i="23"/>
  <c r="F538" s="1"/>
  <c r="AP58" i="29"/>
  <c r="AO58"/>
  <c r="AO47"/>
  <c r="AP47"/>
  <c r="F447" i="23"/>
  <c r="F527" s="1"/>
  <c r="AK26" i="29"/>
  <c r="BF26"/>
  <c r="BG26" s="1"/>
  <c r="AK14"/>
  <c r="BF14"/>
  <c r="BG14" s="1"/>
  <c r="AO49"/>
  <c r="AP49"/>
  <c r="F449" i="23"/>
  <c r="F529" s="1"/>
  <c r="BF43" i="29"/>
  <c r="BG43" s="1"/>
  <c r="AK43"/>
  <c r="BF34"/>
  <c r="BG34" s="1"/>
  <c r="AK34"/>
  <c r="BF46"/>
  <c r="BG46" s="1"/>
  <c r="AK46"/>
  <c r="D1784" i="23"/>
  <c r="G91" l="1"/>
  <c r="G11" s="1"/>
  <c r="AK17" i="35"/>
  <c r="G111" i="23"/>
  <c r="G31" s="1"/>
  <c r="AP54" i="30"/>
  <c r="AK20"/>
  <c r="G454" i="23"/>
  <c r="G534" s="1"/>
  <c r="G94" s="1"/>
  <c r="G134" s="1"/>
  <c r="G54" s="1"/>
  <c r="BD30" i="35"/>
  <c r="BF30" s="1"/>
  <c r="AK41"/>
  <c r="BG41" s="1"/>
  <c r="AK26"/>
  <c r="BD35"/>
  <c r="BF35" s="1"/>
  <c r="AP45" i="33"/>
  <c r="G108" i="23"/>
  <c r="G28" s="1"/>
  <c r="AN60" i="35"/>
  <c r="AP60" s="1"/>
  <c r="AN47"/>
  <c r="V101" i="23"/>
  <c r="G98"/>
  <c r="G418" s="1"/>
  <c r="AN45" i="35"/>
  <c r="AP45" s="1"/>
  <c r="AK42"/>
  <c r="BD23"/>
  <c r="BF23" s="1"/>
  <c r="AK23"/>
  <c r="AL23" s="1"/>
  <c r="AS18"/>
  <c r="V94" i="23"/>
  <c r="BG22" i="30"/>
  <c r="AO51"/>
  <c r="AN53" i="35"/>
  <c r="AP53" s="1"/>
  <c r="AK35"/>
  <c r="BD15"/>
  <c r="BF15" s="1"/>
  <c r="BD37"/>
  <c r="BF37" s="1"/>
  <c r="AK36"/>
  <c r="AL36" s="1"/>
  <c r="G449" i="23"/>
  <c r="G529" s="1"/>
  <c r="G89" s="1"/>
  <c r="G129" s="1"/>
  <c r="G49" s="1"/>
  <c r="AV18" i="35"/>
  <c r="BD33"/>
  <c r="BF33" s="1"/>
  <c r="AT18"/>
  <c r="AW18"/>
  <c r="AN61"/>
  <c r="AP61" s="1"/>
  <c r="BD27"/>
  <c r="BF27" s="1"/>
  <c r="AK24"/>
  <c r="BG24" s="1"/>
  <c r="AK40"/>
  <c r="AL40" s="1"/>
  <c r="AK28"/>
  <c r="BG28" s="1"/>
  <c r="BD22"/>
  <c r="BF22" s="1"/>
  <c r="AK34"/>
  <c r="BG34" s="1"/>
  <c r="AK30"/>
  <c r="AL30" s="1"/>
  <c r="V105" i="23"/>
  <c r="V104"/>
  <c r="AN56" i="35"/>
  <c r="AP56" s="1"/>
  <c r="AK37"/>
  <c r="AL37" s="1"/>
  <c r="BD28"/>
  <c r="BF28" s="1"/>
  <c r="AK33"/>
  <c r="AL33" s="1"/>
  <c r="AN49"/>
  <c r="AP49" s="1"/>
  <c r="BD25"/>
  <c r="BF25" s="1"/>
  <c r="AK22"/>
  <c r="BG22" s="1"/>
  <c r="BD21"/>
  <c r="BF21" s="1"/>
  <c r="AN43"/>
  <c r="BD39"/>
  <c r="BF39" s="1"/>
  <c r="AK18"/>
  <c r="AN57"/>
  <c r="AP57" s="1"/>
  <c r="BD31"/>
  <c r="BF31" s="1"/>
  <c r="BD36"/>
  <c r="BF36" s="1"/>
  <c r="AK25"/>
  <c r="AL25" s="1"/>
  <c r="AN50"/>
  <c r="BD40"/>
  <c r="BF40" s="1"/>
  <c r="AK32"/>
  <c r="BG32" s="1"/>
  <c r="BD24"/>
  <c r="BF24" s="1"/>
  <c r="BD17"/>
  <c r="BF17" s="1"/>
  <c r="V113" i="23"/>
  <c r="AO61" i="30"/>
  <c r="AP61"/>
  <c r="BG37"/>
  <c r="BD20" i="35"/>
  <c r="BF20" s="1"/>
  <c r="AK27"/>
  <c r="AL27" s="1"/>
  <c r="AN55"/>
  <c r="AP55" s="1"/>
  <c r="BD34"/>
  <c r="BF34" s="1"/>
  <c r="AN48"/>
  <c r="BD32"/>
  <c r="BF32" s="1"/>
  <c r="AK19"/>
  <c r="BD19"/>
  <c r="BF19" s="1"/>
  <c r="AN54"/>
  <c r="AP54" s="1"/>
  <c r="AK20"/>
  <c r="BG20" s="1"/>
  <c r="BD42"/>
  <c r="BF42" s="1"/>
  <c r="BD14"/>
  <c r="BH14" s="1"/>
  <c r="BF23" i="30"/>
  <c r="BG23" s="1"/>
  <c r="AP66"/>
  <c r="AN52" i="35"/>
  <c r="AK16"/>
  <c r="BG16" s="1"/>
  <c r="BH16" s="1"/>
  <c r="BD18"/>
  <c r="BF18" s="1"/>
  <c r="AK15"/>
  <c r="BG15" s="1"/>
  <c r="AN44"/>
  <c r="BD29"/>
  <c r="BF29" s="1"/>
  <c r="BD13"/>
  <c r="AN59"/>
  <c r="AP59" s="1"/>
  <c r="AK21"/>
  <c r="AK38"/>
  <c r="BG38" s="1"/>
  <c r="AK31"/>
  <c r="AN51"/>
  <c r="BD41"/>
  <c r="BF41" s="1"/>
  <c r="BD38"/>
  <c r="BF38" s="1"/>
  <c r="BD26"/>
  <c r="BF26" s="1"/>
  <c r="AN46"/>
  <c r="BD16"/>
  <c r="BF16" s="1"/>
  <c r="AK29"/>
  <c r="AL29" s="1"/>
  <c r="AK22" i="30"/>
  <c r="BG35"/>
  <c r="AK34"/>
  <c r="AK25"/>
  <c r="AP64"/>
  <c r="AK18"/>
  <c r="BF18"/>
  <c r="BG18" s="1"/>
  <c r="G463" i="23"/>
  <c r="G543" s="1"/>
  <c r="V103" s="1"/>
  <c r="AP69" i="30"/>
  <c r="AP68"/>
  <c r="AP56"/>
  <c r="AS85" i="35"/>
  <c r="BG25" i="30"/>
  <c r="BF33"/>
  <c r="BG33" s="1"/>
  <c r="AP70"/>
  <c r="BF42"/>
  <c r="BG42" s="1"/>
  <c r="G462" i="23"/>
  <c r="G542" s="1"/>
  <c r="V102" s="1"/>
  <c r="AP63" i="30"/>
  <c r="AP62"/>
  <c r="BF38"/>
  <c r="BG38" s="1"/>
  <c r="BF40"/>
  <c r="BG40" s="1"/>
  <c r="AK40"/>
  <c r="BG19"/>
  <c r="AP58"/>
  <c r="BF28"/>
  <c r="BG28" s="1"/>
  <c r="AP72"/>
  <c r="BG36"/>
  <c r="AO60"/>
  <c r="BG17"/>
  <c r="BF24"/>
  <c r="BG24" s="1"/>
  <c r="AK24"/>
  <c r="BG34"/>
  <c r="AK37"/>
  <c r="G447" i="23"/>
  <c r="G527" s="1"/>
  <c r="V87" s="1"/>
  <c r="AP71" i="30"/>
  <c r="G460" i="23"/>
  <c r="G540" s="1"/>
  <c r="V100" s="1"/>
  <c r="AP50" i="30"/>
  <c r="AP47"/>
  <c r="BG29"/>
  <c r="AP53"/>
  <c r="G448" i="23"/>
  <c r="G528" s="1"/>
  <c r="G88" s="1"/>
  <c r="G408" s="1"/>
  <c r="AP49" i="30"/>
  <c r="AP48"/>
  <c r="G466" i="23"/>
  <c r="G546" s="1"/>
  <c r="BG46" i="30"/>
  <c r="G450" i="23"/>
  <c r="G530" s="1"/>
  <c r="AO50" i="30"/>
  <c r="BF14"/>
  <c r="BG14" s="1"/>
  <c r="AK14"/>
  <c r="BF30"/>
  <c r="BG30" s="1"/>
  <c r="AK30"/>
  <c r="BF13"/>
  <c r="BG13" s="1"/>
  <c r="AK13"/>
  <c r="AK31"/>
  <c r="BF31"/>
  <c r="BG31" s="1"/>
  <c r="AP59"/>
  <c r="BG32"/>
  <c r="AP51"/>
  <c r="BG20"/>
  <c r="AK29"/>
  <c r="AP73"/>
  <c r="G472" i="23"/>
  <c r="G552" s="1"/>
  <c r="V112" s="1"/>
  <c r="AK36" i="30"/>
  <c r="BF39"/>
  <c r="BG39" s="1"/>
  <c r="AK39"/>
  <c r="G467" i="23"/>
  <c r="G547" s="1"/>
  <c r="AP67" i="30"/>
  <c r="G457" i="23"/>
  <c r="G537" s="1"/>
  <c r="AO57" i="30"/>
  <c r="BF45"/>
  <c r="BG45" s="1"/>
  <c r="AK45"/>
  <c r="AP55"/>
  <c r="G455" i="23"/>
  <c r="G535" s="1"/>
  <c r="BF43" i="30"/>
  <c r="BG43" s="1"/>
  <c r="AK43"/>
  <c r="BG26"/>
  <c r="BD80" i="35"/>
  <c r="BF80" s="1"/>
  <c r="BD84"/>
  <c r="BF84" s="1"/>
  <c r="BD88"/>
  <c r="BF88" s="1"/>
  <c r="BD92"/>
  <c r="BD96"/>
  <c r="BD100"/>
  <c r="BF100" s="1"/>
  <c r="AK79"/>
  <c r="AN110"/>
  <c r="M453" i="23" s="1"/>
  <c r="M533" s="1"/>
  <c r="AN114" i="35"/>
  <c r="M457" i="23" s="1"/>
  <c r="M537" s="1"/>
  <c r="AN118" i="35"/>
  <c r="M461" i="23" s="1"/>
  <c r="M541" s="1"/>
  <c r="AN122" i="35"/>
  <c r="M465" i="23" s="1"/>
  <c r="M545" s="1"/>
  <c r="AN126" i="35"/>
  <c r="M469" i="23" s="1"/>
  <c r="M549" s="1"/>
  <c r="AN130" i="35"/>
  <c r="M473" i="23" s="1"/>
  <c r="M553" s="1"/>
  <c r="AK83" i="35"/>
  <c r="BG83" s="1"/>
  <c r="AK87"/>
  <c r="AL87" s="1"/>
  <c r="AK91"/>
  <c r="BG91" s="1"/>
  <c r="AK95"/>
  <c r="AK99"/>
  <c r="AL99" s="1"/>
  <c r="BD81"/>
  <c r="BF81" s="1"/>
  <c r="BD85"/>
  <c r="BF85" s="1"/>
  <c r="BD89"/>
  <c r="BF89" s="1"/>
  <c r="BD93"/>
  <c r="BF93" s="1"/>
  <c r="BD97"/>
  <c r="BF97" s="1"/>
  <c r="BD101"/>
  <c r="BF101" s="1"/>
  <c r="AN105"/>
  <c r="M448" i="23" s="1"/>
  <c r="AN107" i="35"/>
  <c r="M450" i="23" s="1"/>
  <c r="M530" s="1"/>
  <c r="AN111" i="35"/>
  <c r="M454" i="23" s="1"/>
  <c r="M534" s="1"/>
  <c r="AN115" i="35"/>
  <c r="M458" i="23" s="1"/>
  <c r="M538" s="1"/>
  <c r="AN119" i="35"/>
  <c r="M462" i="23" s="1"/>
  <c r="AN123" i="35"/>
  <c r="M466" i="23" s="1"/>
  <c r="M546" s="1"/>
  <c r="AN127" i="35"/>
  <c r="M470" i="23" s="1"/>
  <c r="M550" s="1"/>
  <c r="AK80" i="35"/>
  <c r="AL80" s="1"/>
  <c r="AK84"/>
  <c r="BG84" s="1"/>
  <c r="AK88"/>
  <c r="BG88" s="1"/>
  <c r="AK92"/>
  <c r="AL92" s="1"/>
  <c r="AK96"/>
  <c r="BG96" s="1"/>
  <c r="AK100"/>
  <c r="BG100" s="1"/>
  <c r="BD82"/>
  <c r="BF82" s="1"/>
  <c r="BD86"/>
  <c r="BF86" s="1"/>
  <c r="BD90"/>
  <c r="BF90" s="1"/>
  <c r="BD94"/>
  <c r="BF94" s="1"/>
  <c r="BD98"/>
  <c r="BF98" s="1"/>
  <c r="BD102"/>
  <c r="BF102" s="1"/>
  <c r="AN108"/>
  <c r="AP108" s="1"/>
  <c r="AN112"/>
  <c r="M455" i="23" s="1"/>
  <c r="M535" s="1"/>
  <c r="AN116" i="35"/>
  <c r="M459" i="23" s="1"/>
  <c r="M539" s="1"/>
  <c r="AN120" i="35"/>
  <c r="AP120" s="1"/>
  <c r="AN124"/>
  <c r="AN128"/>
  <c r="M471" i="23" s="1"/>
  <c r="AK81" i="35"/>
  <c r="AL81" s="1"/>
  <c r="AK85"/>
  <c r="AL85" s="1"/>
  <c r="AK89"/>
  <c r="BG89" s="1"/>
  <c r="BH89" s="1"/>
  <c r="AK93"/>
  <c r="AL93" s="1"/>
  <c r="AK97"/>
  <c r="BG97" s="1"/>
  <c r="AK101"/>
  <c r="BG101" s="1"/>
  <c r="BD83"/>
  <c r="BF83" s="1"/>
  <c r="BD87"/>
  <c r="BF87" s="1"/>
  <c r="BD91"/>
  <c r="BF91" s="1"/>
  <c r="BD95"/>
  <c r="BF95" s="1"/>
  <c r="BD99"/>
  <c r="BF99" s="1"/>
  <c r="BD79"/>
  <c r="BG79" s="1"/>
  <c r="BH79" s="1"/>
  <c r="AN109"/>
  <c r="M452" i="23" s="1"/>
  <c r="M532" s="1"/>
  <c r="AN113" i="35"/>
  <c r="AP113" s="1"/>
  <c r="AN117"/>
  <c r="M460" i="23" s="1"/>
  <c r="M540" s="1"/>
  <c r="AN121" i="35"/>
  <c r="AN125"/>
  <c r="M468" i="23" s="1"/>
  <c r="M548" s="1"/>
  <c r="AN129" i="35"/>
  <c r="M472" i="23" s="1"/>
  <c r="M552" s="1"/>
  <c r="AK82" i="35"/>
  <c r="AL82" s="1"/>
  <c r="AK86"/>
  <c r="BG86" s="1"/>
  <c r="AK90"/>
  <c r="BG90" s="1"/>
  <c r="AK94"/>
  <c r="AL94" s="1"/>
  <c r="AK98"/>
  <c r="BG98" s="1"/>
  <c r="AK102"/>
  <c r="AL102" s="1"/>
  <c r="AN103"/>
  <c r="AN104"/>
  <c r="AN106"/>
  <c r="M449" i="23" s="1"/>
  <c r="M529" s="1"/>
  <c r="BF44" i="30"/>
  <c r="BG44" s="1"/>
  <c r="AK44"/>
  <c r="G452" i="23"/>
  <c r="G532" s="1"/>
  <c r="AO52" i="30"/>
  <c r="BF16"/>
  <c r="BG16" s="1"/>
  <c r="AK41"/>
  <c r="BF41"/>
  <c r="BG41" s="1"/>
  <c r="BF27"/>
  <c r="BG27" s="1"/>
  <c r="AK27"/>
  <c r="AK21"/>
  <c r="BF21"/>
  <c r="BG21" s="1"/>
  <c r="BG15"/>
  <c r="G456" i="23"/>
  <c r="G536" s="1"/>
  <c r="AL95" i="35"/>
  <c r="AW85"/>
  <c r="M464" i="23"/>
  <c r="M544" s="1"/>
  <c r="BF96" i="35"/>
  <c r="G99" i="23"/>
  <c r="G19" s="1"/>
  <c r="V89"/>
  <c r="G21"/>
  <c r="G112"/>
  <c r="AK632" s="1"/>
  <c r="G25"/>
  <c r="G425"/>
  <c r="AK629"/>
  <c r="G29"/>
  <c r="G429"/>
  <c r="G13"/>
  <c r="V109"/>
  <c r="AK621"/>
  <c r="BD34" i="34"/>
  <c r="BF34" s="1"/>
  <c r="AM43"/>
  <c r="AM56"/>
  <c r="AM52"/>
  <c r="AJ25"/>
  <c r="AM49"/>
  <c r="AJ17"/>
  <c r="AJ26"/>
  <c r="AJ22"/>
  <c r="AM47"/>
  <c r="BD17"/>
  <c r="BF17" s="1"/>
  <c r="BD33"/>
  <c r="AM40"/>
  <c r="AM61"/>
  <c r="AJ33"/>
  <c r="AM36"/>
  <c r="AM57"/>
  <c r="AJ29"/>
  <c r="AJ24"/>
  <c r="AM53"/>
  <c r="AJ19"/>
  <c r="BD25"/>
  <c r="BF25" s="1"/>
  <c r="AM54"/>
  <c r="AJ21"/>
  <c r="BD29"/>
  <c r="BF29" s="1"/>
  <c r="AM59"/>
  <c r="BD19"/>
  <c r="BF19" s="1"/>
  <c r="AJ18"/>
  <c r="AJ23"/>
  <c r="BD27"/>
  <c r="BF27" s="1"/>
  <c r="AJ31"/>
  <c r="AM35"/>
  <c r="AM51"/>
  <c r="AJ32"/>
  <c r="BD18"/>
  <c r="BF18" s="1"/>
  <c r="AM45"/>
  <c r="BD30"/>
  <c r="BF30" s="1"/>
  <c r="BD22"/>
  <c r="BF22" s="1"/>
  <c r="AM41"/>
  <c r="AM62"/>
  <c r="BD16"/>
  <c r="BF16" s="1"/>
  <c r="AM37"/>
  <c r="AM58"/>
  <c r="BD23"/>
  <c r="BF23" s="1"/>
  <c r="AM38"/>
  <c r="AM60"/>
  <c r="BD24"/>
  <c r="BF24" s="1"/>
  <c r="AJ16"/>
  <c r="AJ27"/>
  <c r="AM48"/>
  <c r="AJ20"/>
  <c r="AJ34"/>
  <c r="AM39"/>
  <c r="AM55"/>
  <c r="BD31"/>
  <c r="BF31" s="1"/>
  <c r="BD15"/>
  <c r="BF15" s="1"/>
  <c r="AM50"/>
  <c r="AJ30"/>
  <c r="BD28"/>
  <c r="BF28" s="1"/>
  <c r="AM46"/>
  <c r="BD20"/>
  <c r="BF20" s="1"/>
  <c r="AJ28"/>
  <c r="AM42"/>
  <c r="BD32"/>
  <c r="BF32" s="1"/>
  <c r="BD21"/>
  <c r="BF21" s="1"/>
  <c r="AM44"/>
  <c r="AJ15"/>
  <c r="BD26"/>
  <c r="BF26" s="1"/>
  <c r="AK25" i="32"/>
  <c r="BG25"/>
  <c r="BH25" s="1"/>
  <c r="J455" i="23"/>
  <c r="J535" s="1"/>
  <c r="AP55" i="32"/>
  <c r="AO55"/>
  <c r="AK15"/>
  <c r="BG15"/>
  <c r="BH15" s="1"/>
  <c r="AK37"/>
  <c r="BG37"/>
  <c r="BH37" s="1"/>
  <c r="AK31"/>
  <c r="BG31"/>
  <c r="BH31" s="1"/>
  <c r="AP70"/>
  <c r="J470" i="23"/>
  <c r="J550" s="1"/>
  <c r="BG28" i="32"/>
  <c r="BH28" s="1"/>
  <c r="AK28"/>
  <c r="BG44"/>
  <c r="BH44" s="1"/>
  <c r="AK44"/>
  <c r="BG39"/>
  <c r="BH39" s="1"/>
  <c r="AK39"/>
  <c r="BG41"/>
  <c r="BH41" s="1"/>
  <c r="AK41"/>
  <c r="J447" i="23"/>
  <c r="J527" s="1"/>
  <c r="AO47" i="32"/>
  <c r="AP47"/>
  <c r="BG24"/>
  <c r="BH24" s="1"/>
  <c r="AK24"/>
  <c r="V110" i="23"/>
  <c r="BG32" i="32"/>
  <c r="BH32" s="1"/>
  <c r="AK32"/>
  <c r="AK40"/>
  <c r="BG40"/>
  <c r="BH40" s="1"/>
  <c r="BG20"/>
  <c r="BH20" s="1"/>
  <c r="AK20"/>
  <c r="BG27"/>
  <c r="BH27" s="1"/>
  <c r="AK27"/>
  <c r="J460" i="23"/>
  <c r="J540" s="1"/>
  <c r="AO60" i="32"/>
  <c r="AP60"/>
  <c r="J469" i="23"/>
  <c r="J549" s="1"/>
  <c r="AP69" i="32"/>
  <c r="J473" i="23"/>
  <c r="J553" s="1"/>
  <c r="AP73" i="32"/>
  <c r="AK26"/>
  <c r="BG26"/>
  <c r="BH26" s="1"/>
  <c r="BG21"/>
  <c r="BH21" s="1"/>
  <c r="AK21"/>
  <c r="J450" i="23"/>
  <c r="J530" s="1"/>
  <c r="AO50" i="32"/>
  <c r="AP50"/>
  <c r="AO59"/>
  <c r="AP59"/>
  <c r="J459" i="23"/>
  <c r="J539" s="1"/>
  <c r="AK38" i="32"/>
  <c r="BG38"/>
  <c r="BH38" s="1"/>
  <c r="BG35"/>
  <c r="BH35" s="1"/>
  <c r="AK35"/>
  <c r="BF44"/>
  <c r="BG43"/>
  <c r="BH43" s="1"/>
  <c r="AK43"/>
  <c r="AK29"/>
  <c r="BG29"/>
  <c r="BH29" s="1"/>
  <c r="AK45"/>
  <c r="BG45"/>
  <c r="BH45" s="1"/>
  <c r="AP62"/>
  <c r="J462" i="23"/>
  <c r="J542" s="1"/>
  <c r="AO62" i="32"/>
  <c r="AK633" i="23"/>
  <c r="J465"/>
  <c r="J545" s="1"/>
  <c r="AP65" i="32"/>
  <c r="AK17"/>
  <c r="BG17"/>
  <c r="BH17" s="1"/>
  <c r="BG18"/>
  <c r="BH18" s="1"/>
  <c r="AK18"/>
  <c r="AK42"/>
  <c r="BG42"/>
  <c r="BH42" s="1"/>
  <c r="AP48"/>
  <c r="J448" i="23"/>
  <c r="J528" s="1"/>
  <c r="AO48" i="32"/>
  <c r="AP52"/>
  <c r="AO52"/>
  <c r="J452" i="23"/>
  <c r="J532" s="1"/>
  <c r="AP61" i="32"/>
  <c r="AO61"/>
  <c r="J461" i="23"/>
  <c r="J541" s="1"/>
  <c r="J467"/>
  <c r="J547" s="1"/>
  <c r="AP67" i="32"/>
  <c r="AK16"/>
  <c r="BG16"/>
  <c r="BH16" s="1"/>
  <c r="BG22"/>
  <c r="BH22" s="1"/>
  <c r="AK22"/>
  <c r="BG36"/>
  <c r="BH36" s="1"/>
  <c r="AK36"/>
  <c r="J453" i="23"/>
  <c r="J533" s="1"/>
  <c r="AO53" i="32"/>
  <c r="AP53"/>
  <c r="J464" i="23"/>
  <c r="J544" s="1"/>
  <c r="AP64" i="32"/>
  <c r="AP68"/>
  <c r="J468" i="23"/>
  <c r="J548" s="1"/>
  <c r="BG30" i="32"/>
  <c r="BH30" s="1"/>
  <c r="AK30"/>
  <c r="J449" i="23"/>
  <c r="J529" s="1"/>
  <c r="AP49" i="32"/>
  <c r="AO49"/>
  <c r="J472" i="23"/>
  <c r="J552" s="1"/>
  <c r="AP72" i="32"/>
  <c r="BG23"/>
  <c r="BH23" s="1"/>
  <c r="AK23"/>
  <c r="AO54"/>
  <c r="J454" i="23"/>
  <c r="J534" s="1"/>
  <c r="AP54" i="32"/>
  <c r="J457" i="23"/>
  <c r="J537" s="1"/>
  <c r="AO57" i="32"/>
  <c r="AP57"/>
  <c r="AP66"/>
  <c r="J466" i="23"/>
  <c r="J546" s="1"/>
  <c r="AP71" i="32"/>
  <c r="J471" i="23"/>
  <c r="J551" s="1"/>
  <c r="BG14" i="32"/>
  <c r="BH14" s="1"/>
  <c r="AK14"/>
  <c r="BG19"/>
  <c r="BH19" s="1"/>
  <c r="AK19"/>
  <c r="BG34"/>
  <c r="BH34" s="1"/>
  <c r="AK34"/>
  <c r="AP51"/>
  <c r="J451" i="23"/>
  <c r="J531" s="1"/>
  <c r="AO51" i="32"/>
  <c r="AP58"/>
  <c r="J458" i="23"/>
  <c r="J538" s="1"/>
  <c r="AO58" i="32"/>
  <c r="AK33"/>
  <c r="BG33"/>
  <c r="BH33" s="1"/>
  <c r="AO46"/>
  <c r="J446" i="23"/>
  <c r="J526" s="1"/>
  <c r="J86" s="1"/>
  <c r="AP56" i="32"/>
  <c r="AO56"/>
  <c r="J456" i="23"/>
  <c r="J536" s="1"/>
  <c r="AO63" i="32"/>
  <c r="AP63"/>
  <c r="J463" i="23"/>
  <c r="J543" s="1"/>
  <c r="BG13" i="32"/>
  <c r="BH13" s="1"/>
  <c r="AK13"/>
  <c r="G24" i="23"/>
  <c r="G131"/>
  <c r="G51" s="1"/>
  <c r="G150"/>
  <c r="G70" s="1"/>
  <c r="G430"/>
  <c r="G30"/>
  <c r="AK630"/>
  <c r="G433"/>
  <c r="G14"/>
  <c r="G141"/>
  <c r="G61" s="1"/>
  <c r="AK625"/>
  <c r="G149"/>
  <c r="G69" s="1"/>
  <c r="G33"/>
  <c r="AK611"/>
  <c r="G414"/>
  <c r="G411"/>
  <c r="F107"/>
  <c r="F147" s="1"/>
  <c r="F67" s="1"/>
  <c r="U107"/>
  <c r="F113"/>
  <c r="AJ633" s="1"/>
  <c r="U113"/>
  <c r="F92"/>
  <c r="F12" s="1"/>
  <c r="U92"/>
  <c r="BH15" i="33"/>
  <c r="BF15"/>
  <c r="K450" i="23"/>
  <c r="K530" s="1"/>
  <c r="AO50" i="33"/>
  <c r="AP50"/>
  <c r="AK41"/>
  <c r="AP41"/>
  <c r="BG41"/>
  <c r="BH41" s="1"/>
  <c r="BH14"/>
  <c r="BF14"/>
  <c r="AP21"/>
  <c r="BG21"/>
  <c r="BH21" s="1"/>
  <c r="AK21"/>
  <c r="AP32"/>
  <c r="BG32"/>
  <c r="BH32" s="1"/>
  <c r="AK32"/>
  <c r="AP57"/>
  <c r="K457" i="23"/>
  <c r="K537" s="1"/>
  <c r="AO57" i="33"/>
  <c r="F89" i="23"/>
  <c r="F129" s="1"/>
  <c r="F49" s="1"/>
  <c r="U89"/>
  <c r="F98"/>
  <c r="F138" s="1"/>
  <c r="F58" s="1"/>
  <c r="U98"/>
  <c r="F93"/>
  <c r="AJ613" s="1"/>
  <c r="U93"/>
  <c r="F102"/>
  <c r="F22" s="1"/>
  <c r="U102"/>
  <c r="F90"/>
  <c r="F410" s="1"/>
  <c r="U90"/>
  <c r="F100"/>
  <c r="AJ620" s="1"/>
  <c r="U100"/>
  <c r="G133"/>
  <c r="G53" s="1"/>
  <c r="F95"/>
  <c r="AJ615" s="1"/>
  <c r="U95"/>
  <c r="G424"/>
  <c r="F96"/>
  <c r="AJ616" s="1"/>
  <c r="U96"/>
  <c r="AO47" i="33"/>
  <c r="AP47"/>
  <c r="K447" i="23"/>
  <c r="K527" s="1"/>
  <c r="AP56" i="33"/>
  <c r="AO56"/>
  <c r="K456" i="23"/>
  <c r="K536" s="1"/>
  <c r="K455"/>
  <c r="K535" s="1"/>
  <c r="AO55" i="33"/>
  <c r="AP55"/>
  <c r="AP59"/>
  <c r="AO59"/>
  <c r="K459" i="23"/>
  <c r="K539" s="1"/>
  <c r="K469"/>
  <c r="K549" s="1"/>
  <c r="AP69" i="33"/>
  <c r="AK38"/>
  <c r="BG38"/>
  <c r="BH38" s="1"/>
  <c r="AP38"/>
  <c r="AP22"/>
  <c r="BG22"/>
  <c r="BH22" s="1"/>
  <c r="AK22"/>
  <c r="AP49"/>
  <c r="AO49"/>
  <c r="K449" i="23"/>
  <c r="K529" s="1"/>
  <c r="K458"/>
  <c r="K538" s="1"/>
  <c r="AO58" i="33"/>
  <c r="AP58"/>
  <c r="K467" i="23"/>
  <c r="K547" s="1"/>
  <c r="AP67" i="33"/>
  <c r="K466" i="23"/>
  <c r="K546" s="1"/>
  <c r="AP66" i="33"/>
  <c r="K470" i="23"/>
  <c r="K550" s="1"/>
  <c r="AP70" i="33"/>
  <c r="AP35"/>
  <c r="BG35"/>
  <c r="BH35" s="1"/>
  <c r="AK35"/>
  <c r="BG17"/>
  <c r="BH17" s="1"/>
  <c r="AK17"/>
  <c r="AP17"/>
  <c r="AP31"/>
  <c r="AK31"/>
  <c r="BG31"/>
  <c r="BH31" s="1"/>
  <c r="O98" i="39"/>
  <c r="F154"/>
  <c r="Y58" i="41"/>
  <c r="X58"/>
  <c r="F94" i="23"/>
  <c r="F14" s="1"/>
  <c r="U94"/>
  <c r="F105"/>
  <c r="F145" s="1"/>
  <c r="F65" s="1"/>
  <c r="U105"/>
  <c r="F111"/>
  <c r="F151" s="1"/>
  <c r="F71" s="1"/>
  <c r="U111"/>
  <c r="K468"/>
  <c r="K548" s="1"/>
  <c r="AP68" i="33"/>
  <c r="AO51"/>
  <c r="AP51"/>
  <c r="K451" i="23"/>
  <c r="K531" s="1"/>
  <c r="K465"/>
  <c r="K545" s="1"/>
  <c r="AP65" i="33"/>
  <c r="BG37"/>
  <c r="BH37" s="1"/>
  <c r="AK37"/>
  <c r="AP37"/>
  <c r="AK29"/>
  <c r="AP29"/>
  <c r="BG29"/>
  <c r="BH29" s="1"/>
  <c r="F112" i="23"/>
  <c r="F152" s="1"/>
  <c r="F72" s="1"/>
  <c r="U112"/>
  <c r="F99"/>
  <c r="F419" s="1"/>
  <c r="U99"/>
  <c r="F101"/>
  <c r="F141" s="1"/>
  <c r="F61" s="1"/>
  <c r="U101"/>
  <c r="F97"/>
  <c r="F417" s="1"/>
  <c r="U97"/>
  <c r="F104"/>
  <c r="F424" s="1"/>
  <c r="U104"/>
  <c r="F91"/>
  <c r="AJ611" s="1"/>
  <c r="U91"/>
  <c r="G413"/>
  <c r="F109"/>
  <c r="AJ629" s="1"/>
  <c r="U109"/>
  <c r="AK624"/>
  <c r="AK28" i="33"/>
  <c r="AP28"/>
  <c r="BG28"/>
  <c r="BH28" s="1"/>
  <c r="AK16"/>
  <c r="BG16"/>
  <c r="BH16" s="1"/>
  <c r="AK44"/>
  <c r="AP44"/>
  <c r="BG44"/>
  <c r="BH44" s="1"/>
  <c r="K453" i="23"/>
  <c r="K533" s="1"/>
  <c r="AO53" i="33"/>
  <c r="AP53"/>
  <c r="BG42"/>
  <c r="BH42" s="1"/>
  <c r="AK42"/>
  <c r="AP42"/>
  <c r="AK26"/>
  <c r="BG26"/>
  <c r="BH26" s="1"/>
  <c r="AP26"/>
  <c r="AK27"/>
  <c r="AP27"/>
  <c r="BG27"/>
  <c r="BH27" s="1"/>
  <c r="AK23"/>
  <c r="BG23"/>
  <c r="BH23" s="1"/>
  <c r="AP23"/>
  <c r="BG18"/>
  <c r="BH18" s="1"/>
  <c r="AK18"/>
  <c r="AP18"/>
  <c r="AP48"/>
  <c r="AO48"/>
  <c r="K448" i="23"/>
  <c r="K528" s="1"/>
  <c r="AP61" i="33"/>
  <c r="K461" i="23"/>
  <c r="K541" s="1"/>
  <c r="AO61" i="33"/>
  <c r="BG24"/>
  <c r="BH24" s="1"/>
  <c r="AK24"/>
  <c r="AP24"/>
  <c r="AP43"/>
  <c r="AK43"/>
  <c r="BG43"/>
  <c r="BH43" s="1"/>
  <c r="BF13"/>
  <c r="BH13"/>
  <c r="AP19"/>
  <c r="AK19"/>
  <c r="BG19"/>
  <c r="BH19" s="1"/>
  <c r="AO46"/>
  <c r="K446" i="23"/>
  <c r="K526" s="1"/>
  <c r="K86" s="1"/>
  <c r="F87"/>
  <c r="F407" s="1"/>
  <c r="U87"/>
  <c r="F110"/>
  <c r="F30" s="1"/>
  <c r="U110"/>
  <c r="AK30" i="33"/>
  <c r="BG30"/>
  <c r="BH30" s="1"/>
  <c r="AP30"/>
  <c r="AP25"/>
  <c r="BG25"/>
  <c r="BH25" s="1"/>
  <c r="AK25"/>
  <c r="AO54"/>
  <c r="K454" i="23"/>
  <c r="K534" s="1"/>
  <c r="AP54" i="33"/>
  <c r="AP20"/>
  <c r="AK20"/>
  <c r="BG20"/>
  <c r="BH20" s="1"/>
  <c r="F103" i="23"/>
  <c r="F143" s="1"/>
  <c r="F63" s="1"/>
  <c r="U103"/>
  <c r="F88"/>
  <c r="F408" s="1"/>
  <c r="U88"/>
  <c r="F108"/>
  <c r="F428" s="1"/>
  <c r="U108"/>
  <c r="F106"/>
  <c r="F426" s="1"/>
  <c r="U106"/>
  <c r="AP39" i="33"/>
  <c r="BG39"/>
  <c r="BH39" s="1"/>
  <c r="AK39"/>
  <c r="BG40"/>
  <c r="BH40" s="1"/>
  <c r="AK40"/>
  <c r="AP40"/>
  <c r="AK33"/>
  <c r="BG33"/>
  <c r="BH33" s="1"/>
  <c r="AP33"/>
  <c r="BF44"/>
  <c r="AO63"/>
  <c r="AP63"/>
  <c r="K463" i="23"/>
  <c r="K543" s="1"/>
  <c r="K472"/>
  <c r="K552" s="1"/>
  <c r="AP72" i="33"/>
  <c r="AP71"/>
  <c r="K471" i="23"/>
  <c r="K551" s="1"/>
  <c r="AP36" i="33"/>
  <c r="BG36"/>
  <c r="BH36" s="1"/>
  <c r="AK36"/>
  <c r="AK34"/>
  <c r="BG34"/>
  <c r="BH34" s="1"/>
  <c r="AP34"/>
  <c r="K452" i="23"/>
  <c r="K532" s="1"/>
  <c r="AO52" i="33"/>
  <c r="AP52"/>
  <c r="AO62"/>
  <c r="AP62"/>
  <c r="K462" i="23"/>
  <c r="K542" s="1"/>
  <c r="AO60" i="33"/>
  <c r="AP60"/>
  <c r="K460" i="23"/>
  <c r="K540" s="1"/>
  <c r="K464"/>
  <c r="K544" s="1"/>
  <c r="AP64" i="33"/>
  <c r="AP73"/>
  <c r="K473" i="23"/>
  <c r="K553" s="1"/>
  <c r="BG45" i="33"/>
  <c r="BH45" s="1"/>
  <c r="AK45"/>
  <c r="AZ19" i="6"/>
  <c r="BB19"/>
  <c r="AY19"/>
  <c r="BA19"/>
  <c r="AX19"/>
  <c r="I3" i="23"/>
  <c r="I123"/>
  <c r="I43" s="1"/>
  <c r="AM603"/>
  <c r="BG87" i="28"/>
  <c r="BH87" s="1"/>
  <c r="AK87"/>
  <c r="E470" i="23"/>
  <c r="E550" s="1"/>
  <c r="AP125" i="28"/>
  <c r="BG91"/>
  <c r="BH91" s="1"/>
  <c r="AK91"/>
  <c r="AO118"/>
  <c r="AP118"/>
  <c r="E463" i="23"/>
  <c r="E543" s="1"/>
  <c r="AK95" i="28"/>
  <c r="BG95"/>
  <c r="BH95" s="1"/>
  <c r="E467" i="23"/>
  <c r="E547" s="1"/>
  <c r="AP122" i="28"/>
  <c r="AP127"/>
  <c r="E472" i="23"/>
  <c r="E552" s="1"/>
  <c r="AO103" i="19"/>
  <c r="AP103"/>
  <c r="AP97"/>
  <c r="AO97"/>
  <c r="AK77"/>
  <c r="BG77"/>
  <c r="BH77" s="1"/>
  <c r="AK76"/>
  <c r="BG76"/>
  <c r="BH76" s="1"/>
  <c r="AP115"/>
  <c r="AK86"/>
  <c r="BG86"/>
  <c r="BH86" s="1"/>
  <c r="AO104"/>
  <c r="AP104"/>
  <c r="BG80"/>
  <c r="BH80" s="1"/>
  <c r="AK80"/>
  <c r="AK17" i="31"/>
  <c r="BF17"/>
  <c r="BG17" s="1"/>
  <c r="BF37"/>
  <c r="BG37" s="1"/>
  <c r="AK37"/>
  <c r="AK44"/>
  <c r="BF44"/>
  <c r="BG44" s="1"/>
  <c r="BF45"/>
  <c r="BG45" s="1"/>
  <c r="AK45"/>
  <c r="BF13"/>
  <c r="BG13" s="1"/>
  <c r="AK13"/>
  <c r="H464" i="23"/>
  <c r="H544" s="1"/>
  <c r="AP64" i="31"/>
  <c r="H472" i="23"/>
  <c r="H552" s="1"/>
  <c r="AP72" i="31"/>
  <c r="AO59" i="28"/>
  <c r="AP59"/>
  <c r="AO60"/>
  <c r="AP60"/>
  <c r="AL35" i="35"/>
  <c r="BG35"/>
  <c r="BH35" s="1"/>
  <c r="BG39"/>
  <c r="AL39"/>
  <c r="BG42"/>
  <c r="AL42"/>
  <c r="AQ47"/>
  <c r="AP47"/>
  <c r="BG36"/>
  <c r="AL41"/>
  <c r="BF92"/>
  <c r="M551" i="23"/>
  <c r="AP112" i="35"/>
  <c r="O68" i="39"/>
  <c r="R68" s="1"/>
  <c r="E59" i="41"/>
  <c r="D59"/>
  <c r="AP126" i="28"/>
  <c r="E471" i="23"/>
  <c r="E551" s="1"/>
  <c r="E450"/>
  <c r="E530" s="1"/>
  <c r="AP105" i="28"/>
  <c r="AO105"/>
  <c r="E465" i="23"/>
  <c r="E545" s="1"/>
  <c r="AP120" i="28"/>
  <c r="AK99"/>
  <c r="BG99"/>
  <c r="BH99" s="1"/>
  <c r="AK96"/>
  <c r="BG96"/>
  <c r="BH96" s="1"/>
  <c r="AO113"/>
  <c r="AP113"/>
  <c r="E458" i="23"/>
  <c r="E538" s="1"/>
  <c r="AK76" i="28"/>
  <c r="BG76"/>
  <c r="BH76" s="1"/>
  <c r="AP117"/>
  <c r="E462" i="23"/>
  <c r="E542" s="1"/>
  <c r="AO117" i="28"/>
  <c r="BG97"/>
  <c r="BH97" s="1"/>
  <c r="AK97"/>
  <c r="AK85"/>
  <c r="BG85"/>
  <c r="BH85" s="1"/>
  <c r="E468" i="23"/>
  <c r="E548" s="1"/>
  <c r="AP123" i="28"/>
  <c r="E452" i="23"/>
  <c r="E532" s="1"/>
  <c r="AP107" i="28"/>
  <c r="AO107"/>
  <c r="AK74"/>
  <c r="BG74"/>
  <c r="BH74" s="1"/>
  <c r="AP102"/>
  <c r="E447" i="23"/>
  <c r="E527" s="1"/>
  <c r="AO102" i="28"/>
  <c r="AP98" i="19"/>
  <c r="AO98"/>
  <c r="AP113"/>
  <c r="AK87"/>
  <c r="BG87"/>
  <c r="BH87" s="1"/>
  <c r="AP106"/>
  <c r="AO106"/>
  <c r="AP110"/>
  <c r="AK79"/>
  <c r="BG79"/>
  <c r="BH79" s="1"/>
  <c r="AP116"/>
  <c r="AO100"/>
  <c r="AP100"/>
  <c r="AK71"/>
  <c r="BG71"/>
  <c r="BH71" s="1"/>
  <c r="BF36" i="31"/>
  <c r="BG36" s="1"/>
  <c r="AK36"/>
  <c r="BF43"/>
  <c r="BG43" s="1"/>
  <c r="AK43"/>
  <c r="BF32"/>
  <c r="BG32" s="1"/>
  <c r="AK32"/>
  <c r="AO49"/>
  <c r="AP49"/>
  <c r="H449" i="23"/>
  <c r="H529" s="1"/>
  <c r="H448"/>
  <c r="H528" s="1"/>
  <c r="AP48" i="31"/>
  <c r="AO48"/>
  <c r="H460" i="23"/>
  <c r="H540" s="1"/>
  <c r="AP60" i="31"/>
  <c r="AO60"/>
  <c r="BF27"/>
  <c r="BG27" s="1"/>
  <c r="AK27"/>
  <c r="H470" i="23"/>
  <c r="H550" s="1"/>
  <c r="AP70" i="31"/>
  <c r="AP69"/>
  <c r="H469" i="23"/>
  <c r="H549" s="1"/>
  <c r="BF21" i="31"/>
  <c r="BG21" s="1"/>
  <c r="AK21"/>
  <c r="AO50"/>
  <c r="H450" i="23"/>
  <c r="H530" s="1"/>
  <c r="AP50" i="31"/>
  <c r="BF30"/>
  <c r="BG30" s="1"/>
  <c r="AK30"/>
  <c r="BF41"/>
  <c r="BG41" s="1"/>
  <c r="AK41"/>
  <c r="AK19"/>
  <c r="BF19"/>
  <c r="BG19" s="1"/>
  <c r="AK35"/>
  <c r="BF35"/>
  <c r="BG35" s="1"/>
  <c r="AO63" i="28"/>
  <c r="AP63"/>
  <c r="AP62"/>
  <c r="AO62"/>
  <c r="AO61"/>
  <c r="AP61"/>
  <c r="AO53"/>
  <c r="AP53"/>
  <c r="AO56"/>
  <c r="AP56"/>
  <c r="BG40" i="35"/>
  <c r="BH40" s="1"/>
  <c r="AL19"/>
  <c r="BG19"/>
  <c r="AL34"/>
  <c r="BG30"/>
  <c r="BH30" s="1"/>
  <c r="AP114"/>
  <c r="AL79"/>
  <c r="AL86"/>
  <c r="B58" i="41"/>
  <c r="Q11" i="39"/>
  <c r="Q67" s="1"/>
  <c r="E461" i="23"/>
  <c r="E541" s="1"/>
  <c r="AP116" i="28"/>
  <c r="AO116"/>
  <c r="BG88"/>
  <c r="BH88" s="1"/>
  <c r="AK88"/>
  <c r="BG92"/>
  <c r="BH92" s="1"/>
  <c r="AK92"/>
  <c r="E453" i="23"/>
  <c r="E533" s="1"/>
  <c r="AP108" i="28"/>
  <c r="AO108"/>
  <c r="AK73"/>
  <c r="BG73"/>
  <c r="BH73" s="1"/>
  <c r="E469" i="23"/>
  <c r="E549" s="1"/>
  <c r="AP124" i="28"/>
  <c r="BF100"/>
  <c r="E473" i="23"/>
  <c r="E553" s="1"/>
  <c r="AP128" i="28"/>
  <c r="E451" i="23"/>
  <c r="E531" s="1"/>
  <c r="AP106" i="28"/>
  <c r="AO106"/>
  <c r="AK83"/>
  <c r="BG83"/>
  <c r="BH83" s="1"/>
  <c r="BG100"/>
  <c r="BH100" s="1"/>
  <c r="AK100"/>
  <c r="E460" i="23"/>
  <c r="E540" s="1"/>
  <c r="AO115" i="28"/>
  <c r="AP115"/>
  <c r="BG98"/>
  <c r="BH98" s="1"/>
  <c r="AK98"/>
  <c r="Q59" i="38"/>
  <c r="AE9"/>
  <c r="J85" i="23"/>
  <c r="AP109" i="19"/>
  <c r="AK81"/>
  <c r="BG81"/>
  <c r="BH81" s="1"/>
  <c r="BG72"/>
  <c r="BH72" s="1"/>
  <c r="AK72"/>
  <c r="AP102"/>
  <c r="AO102"/>
  <c r="AK75"/>
  <c r="BG75"/>
  <c r="BH75" s="1"/>
  <c r="AK84"/>
  <c r="BG84"/>
  <c r="BH84" s="1"/>
  <c r="AP117"/>
  <c r="AP95"/>
  <c r="AO95"/>
  <c r="BF90"/>
  <c r="AO99"/>
  <c r="AP99"/>
  <c r="BG74"/>
  <c r="BH74" s="1"/>
  <c r="AK74"/>
  <c r="AO108"/>
  <c r="AP108"/>
  <c r="AO92"/>
  <c r="AP92"/>
  <c r="AK88"/>
  <c r="BG88"/>
  <c r="BH88" s="1"/>
  <c r="AO91"/>
  <c r="AP57" i="31"/>
  <c r="H457" i="23"/>
  <c r="H537" s="1"/>
  <c r="AO57" i="31"/>
  <c r="H447" i="23"/>
  <c r="H527" s="1"/>
  <c r="AO47" i="31"/>
  <c r="AP47"/>
  <c r="BF26"/>
  <c r="BG26" s="1"/>
  <c r="AK26"/>
  <c r="AO59"/>
  <c r="AP59"/>
  <c r="H459" i="23"/>
  <c r="H539" s="1"/>
  <c r="H466"/>
  <c r="H546" s="1"/>
  <c r="AP66" i="31"/>
  <c r="AK25"/>
  <c r="BF25"/>
  <c r="BG25" s="1"/>
  <c r="H471" i="23"/>
  <c r="H551" s="1"/>
  <c r="AP71" i="31"/>
  <c r="H462" i="23"/>
  <c r="H542" s="1"/>
  <c r="AP62" i="31"/>
  <c r="AO62"/>
  <c r="BF22"/>
  <c r="BG22" s="1"/>
  <c r="AK22"/>
  <c r="BF29"/>
  <c r="BG29" s="1"/>
  <c r="AK29"/>
  <c r="AK15"/>
  <c r="BF15"/>
  <c r="BG15" s="1"/>
  <c r="BE44"/>
  <c r="AO61"/>
  <c r="H461" i="23"/>
  <c r="H541" s="1"/>
  <c r="AP61" i="31"/>
  <c r="AK28"/>
  <c r="BF28"/>
  <c r="BG28" s="1"/>
  <c r="AP51"/>
  <c r="H451" i="23"/>
  <c r="H531" s="1"/>
  <c r="AO51" i="31"/>
  <c r="AK31"/>
  <c r="BF31"/>
  <c r="BG31" s="1"/>
  <c r="H446" i="23"/>
  <c r="H526" s="1"/>
  <c r="H86" s="1"/>
  <c r="AO46" i="31"/>
  <c r="AP46"/>
  <c r="AO54" i="28"/>
  <c r="AP54"/>
  <c r="AO51"/>
  <c r="AP51"/>
  <c r="AO50"/>
  <c r="AP50"/>
  <c r="AP48"/>
  <c r="AO48"/>
  <c r="AP52" i="35"/>
  <c r="AQ52"/>
  <c r="AL15"/>
  <c r="AP44"/>
  <c r="BH13"/>
  <c r="BF13"/>
  <c r="AL21"/>
  <c r="BG21"/>
  <c r="BG31"/>
  <c r="BH31" s="1"/>
  <c r="AL31"/>
  <c r="B4" i="23"/>
  <c r="N4" s="1"/>
  <c r="AF604"/>
  <c r="N84"/>
  <c r="AP105" i="35"/>
  <c r="M525" i="23"/>
  <c r="M85" s="1"/>
  <c r="X11" i="39"/>
  <c r="O67"/>
  <c r="AO110" i="28"/>
  <c r="E455" i="23"/>
  <c r="E535" s="1"/>
  <c r="AP110" i="28"/>
  <c r="AK82"/>
  <c r="BG82"/>
  <c r="BH82" s="1"/>
  <c r="E449" i="23"/>
  <c r="E529" s="1"/>
  <c r="AO104" i="28"/>
  <c r="AP104"/>
  <c r="BG81"/>
  <c r="BH81" s="1"/>
  <c r="AK81"/>
  <c r="BG77"/>
  <c r="BH77" s="1"/>
  <c r="AK77"/>
  <c r="AO111"/>
  <c r="E456" i="23"/>
  <c r="E536" s="1"/>
  <c r="AP111" i="28"/>
  <c r="AK94"/>
  <c r="BG94"/>
  <c r="BH94" s="1"/>
  <c r="AK80"/>
  <c r="BG80"/>
  <c r="BH80" s="1"/>
  <c r="D10" i="39"/>
  <c r="D66" s="1"/>
  <c r="AP111" i="19"/>
  <c r="BG73"/>
  <c r="BH73" s="1"/>
  <c r="AK73"/>
  <c r="AP94"/>
  <c r="AO94"/>
  <c r="BG85"/>
  <c r="BH85" s="1"/>
  <c r="AK85"/>
  <c r="BE37" i="31"/>
  <c r="AP65"/>
  <c r="H465" i="23"/>
  <c r="H545" s="1"/>
  <c r="H455"/>
  <c r="H535" s="1"/>
  <c r="AO55" i="31"/>
  <c r="AP55"/>
  <c r="AK34"/>
  <c r="BF34"/>
  <c r="BG34" s="1"/>
  <c r="AK24"/>
  <c r="BF24"/>
  <c r="BG24" s="1"/>
  <c r="BF39"/>
  <c r="BG39" s="1"/>
  <c r="AK39"/>
  <c r="BF23"/>
  <c r="BG23" s="1"/>
  <c r="AK23"/>
  <c r="AK33"/>
  <c r="BF33"/>
  <c r="BG33" s="1"/>
  <c r="AO47" i="28"/>
  <c r="AP47"/>
  <c r="BG17" i="35"/>
  <c r="AL17"/>
  <c r="BG23"/>
  <c r="BH23" s="1"/>
  <c r="AP58"/>
  <c r="AL26"/>
  <c r="BG26"/>
  <c r="BH26" s="1"/>
  <c r="L405" i="23"/>
  <c r="L5"/>
  <c r="AP605"/>
  <c r="L605" s="1"/>
  <c r="L125" s="1"/>
  <c r="L45" s="1"/>
  <c r="AO45" i="6"/>
  <c r="BH17"/>
  <c r="BJ17" s="1"/>
  <c r="AO43"/>
  <c r="BH42"/>
  <c r="BJ42" s="1"/>
  <c r="AR60"/>
  <c r="BH21"/>
  <c r="BJ21" s="1"/>
  <c r="AO32"/>
  <c r="AO42"/>
  <c r="AO34"/>
  <c r="AO29"/>
  <c r="AR57"/>
  <c r="AR73"/>
  <c r="AC73" i="31" s="1"/>
  <c r="BH29" i="6"/>
  <c r="BJ29" s="1"/>
  <c r="BH38"/>
  <c r="BJ38" s="1"/>
  <c r="AO20"/>
  <c r="AO28"/>
  <c r="BH40"/>
  <c r="BJ40" s="1"/>
  <c r="AR59"/>
  <c r="AO19"/>
  <c r="AR63"/>
  <c r="AC63" i="31" s="1"/>
  <c r="AO25" i="6"/>
  <c r="AR50"/>
  <c r="AO37"/>
  <c r="BH26"/>
  <c r="BJ26" s="1"/>
  <c r="AO21"/>
  <c r="AR72"/>
  <c r="BH35"/>
  <c r="BJ35" s="1"/>
  <c r="BH25"/>
  <c r="BJ25" s="1"/>
  <c r="BH33"/>
  <c r="BJ33" s="1"/>
  <c r="BH24"/>
  <c r="BJ24" s="1"/>
  <c r="AO22"/>
  <c r="AO24"/>
  <c r="AR47"/>
  <c r="BH36"/>
  <c r="BJ36" s="1"/>
  <c r="BH31"/>
  <c r="BJ31" s="1"/>
  <c r="AO31"/>
  <c r="BH43"/>
  <c r="BJ43" s="1"/>
  <c r="AR58"/>
  <c r="AO40"/>
  <c r="AR49"/>
  <c r="AC49" i="31" s="1"/>
  <c r="AO30" i="6"/>
  <c r="BH27"/>
  <c r="BJ27" s="1"/>
  <c r="BH18"/>
  <c r="BJ18" s="1"/>
  <c r="AR48"/>
  <c r="AC48" i="31" s="1"/>
  <c r="BH39" i="6"/>
  <c r="BJ39" s="1"/>
  <c r="AR46"/>
  <c r="AU46" s="1"/>
  <c r="AO41"/>
  <c r="AO26"/>
  <c r="BH44"/>
  <c r="AR52"/>
  <c r="AC52" i="31" s="1"/>
  <c r="BH28" i="6"/>
  <c r="BJ28" s="1"/>
  <c r="AR70"/>
  <c r="AC70" i="31" s="1"/>
  <c r="BH32" i="6"/>
  <c r="BJ32" s="1"/>
  <c r="AO44"/>
  <c r="AO23"/>
  <c r="AR54"/>
  <c r="AC54" i="31" s="1"/>
  <c r="AR69" i="6"/>
  <c r="BH41"/>
  <c r="BJ41" s="1"/>
  <c r="AO33"/>
  <c r="BH22"/>
  <c r="BJ22" s="1"/>
  <c r="BH23"/>
  <c r="BJ23" s="1"/>
  <c r="BH19"/>
  <c r="BJ19" s="1"/>
  <c r="AR55"/>
  <c r="AC55" i="31" s="1"/>
  <c r="AR71" i="6"/>
  <c r="AC71" i="31" s="1"/>
  <c r="AR56" i="6"/>
  <c r="AC56" i="31" s="1"/>
  <c r="AO18" i="6"/>
  <c r="AO36"/>
  <c r="AO35"/>
  <c r="AR61"/>
  <c r="AR53"/>
  <c r="AC53" i="31" s="1"/>
  <c r="AO38" i="6"/>
  <c r="AR64"/>
  <c r="AC64" i="31" s="1"/>
  <c r="AR68" i="6"/>
  <c r="AR62"/>
  <c r="AC62" i="31" s="1"/>
  <c r="BH45" i="6"/>
  <c r="BJ45" s="1"/>
  <c r="BH20"/>
  <c r="BJ20" s="1"/>
  <c r="BH30"/>
  <c r="BJ30" s="1"/>
  <c r="AO17"/>
  <c r="AO27"/>
  <c r="AR65"/>
  <c r="AC65" i="31" s="1"/>
  <c r="AR66" i="6"/>
  <c r="AC66" i="31" s="1"/>
  <c r="BH34" i="6"/>
  <c r="BJ34" s="1"/>
  <c r="AR51"/>
  <c r="AR67"/>
  <c r="BH37"/>
  <c r="BJ37" s="1"/>
  <c r="O59" i="38"/>
  <c r="B96" i="39"/>
  <c r="AP121" i="28"/>
  <c r="E466" i="23"/>
  <c r="E546" s="1"/>
  <c r="BG89" i="28"/>
  <c r="BH89" s="1"/>
  <c r="AK89"/>
  <c r="BG90"/>
  <c r="BH90" s="1"/>
  <c r="AK90"/>
  <c r="AO114"/>
  <c r="AP114"/>
  <c r="E459" i="23"/>
  <c r="E539" s="1"/>
  <c r="AK75" i="28"/>
  <c r="BG75"/>
  <c r="BH75" s="1"/>
  <c r="AK78"/>
  <c r="BG78"/>
  <c r="BH78" s="1"/>
  <c r="E454" i="23"/>
  <c r="E534" s="1"/>
  <c r="AP109" i="28"/>
  <c r="AO109"/>
  <c r="BG101"/>
  <c r="BH101" s="1"/>
  <c r="AK101"/>
  <c r="AP112"/>
  <c r="AO112"/>
  <c r="E457" i="23"/>
  <c r="E537" s="1"/>
  <c r="BG93" i="28"/>
  <c r="BH93" s="1"/>
  <c r="AK93"/>
  <c r="AK79"/>
  <c r="BG79"/>
  <c r="BH79" s="1"/>
  <c r="E464" i="23"/>
  <c r="E544" s="1"/>
  <c r="AP119" i="28"/>
  <c r="AO103"/>
  <c r="E448" i="23"/>
  <c r="E528" s="1"/>
  <c r="AP103" i="28"/>
  <c r="AK86"/>
  <c r="BG86"/>
  <c r="BH86" s="1"/>
  <c r="AK84"/>
  <c r="BG84"/>
  <c r="BH84" s="1"/>
  <c r="AP114" i="19"/>
  <c r="AP93"/>
  <c r="AO93"/>
  <c r="BG69"/>
  <c r="BH69" s="1"/>
  <c r="AK69"/>
  <c r="AP107"/>
  <c r="AO107"/>
  <c r="AK78"/>
  <c r="BG78"/>
  <c r="BH78" s="1"/>
  <c r="BG90"/>
  <c r="BH90" s="1"/>
  <c r="AK90"/>
  <c r="AP101"/>
  <c r="AO101"/>
  <c r="BG89"/>
  <c r="BH89" s="1"/>
  <c r="AK89"/>
  <c r="AP105"/>
  <c r="AO105"/>
  <c r="AK70"/>
  <c r="BG70"/>
  <c r="BH70" s="1"/>
  <c r="AK82"/>
  <c r="BG82"/>
  <c r="BH82" s="1"/>
  <c r="AP112"/>
  <c r="AP96"/>
  <c r="AO96"/>
  <c r="AK83"/>
  <c r="BG83"/>
  <c r="BH83" s="1"/>
  <c r="BF18" i="31"/>
  <c r="BG18" s="1"/>
  <c r="AK18"/>
  <c r="H456" i="23"/>
  <c r="H536" s="1"/>
  <c r="AP56" i="31"/>
  <c r="AO56"/>
  <c r="AP52"/>
  <c r="AO52"/>
  <c r="H452" i="23"/>
  <c r="H532" s="1"/>
  <c r="AK38" i="31"/>
  <c r="BF38"/>
  <c r="BG38" s="1"/>
  <c r="H468" i="23"/>
  <c r="H548" s="1"/>
  <c r="AP68" i="31"/>
  <c r="AK42"/>
  <c r="BF42"/>
  <c r="BG42" s="1"/>
  <c r="AK14"/>
  <c r="BF14"/>
  <c r="BG14" s="1"/>
  <c r="AP73"/>
  <c r="H473" i="23"/>
  <c r="H553" s="1"/>
  <c r="H463"/>
  <c r="H543" s="1"/>
  <c r="AP63" i="31"/>
  <c r="AO63"/>
  <c r="H454" i="23"/>
  <c r="H534" s="1"/>
  <c r="AO54" i="31"/>
  <c r="AP54"/>
  <c r="AP53"/>
  <c r="AO53"/>
  <c r="H453" i="23"/>
  <c r="H533" s="1"/>
  <c r="AK40" i="31"/>
  <c r="BF40"/>
  <c r="BG40" s="1"/>
  <c r="AK16"/>
  <c r="BF16"/>
  <c r="BG16" s="1"/>
  <c r="AK20"/>
  <c r="BF20"/>
  <c r="BG20" s="1"/>
  <c r="AP67"/>
  <c r="H467" i="23"/>
  <c r="H547" s="1"/>
  <c r="AP58" i="31"/>
  <c r="AO58"/>
  <c r="H458" i="23"/>
  <c r="H538" s="1"/>
  <c r="AP58" i="28"/>
  <c r="AO58"/>
  <c r="AP57"/>
  <c r="AO57"/>
  <c r="AP55"/>
  <c r="AO55"/>
  <c r="AP49"/>
  <c r="AO49"/>
  <c r="AO52"/>
  <c r="AP52"/>
  <c r="BG37" i="35"/>
  <c r="AL22"/>
  <c r="AQ63"/>
  <c r="AL18"/>
  <c r="BG18"/>
  <c r="BH18" s="1"/>
  <c r="BG25"/>
  <c r="BH25" s="1"/>
  <c r="AP50"/>
  <c r="M528" i="23"/>
  <c r="M542"/>
  <c r="U8" i="36"/>
  <c r="V8"/>
  <c r="AH8"/>
  <c r="R12" i="39"/>
  <c r="R56" i="36"/>
  <c r="R9" i="38"/>
  <c r="R11" i="39"/>
  <c r="B45" i="23"/>
  <c r="D1948"/>
  <c r="D2079"/>
  <c r="D1983"/>
  <c r="D2008"/>
  <c r="D2080"/>
  <c r="D2020"/>
  <c r="D1887"/>
  <c r="D1852"/>
  <c r="D2116"/>
  <c r="D2056"/>
  <c r="D1785"/>
  <c r="D1863"/>
  <c r="D1888"/>
  <c r="D2068"/>
  <c r="D2092"/>
  <c r="D1876"/>
  <c r="D1972"/>
  <c r="AK631" l="1"/>
  <c r="G409"/>
  <c r="AK614"/>
  <c r="G9"/>
  <c r="G431"/>
  <c r="G151"/>
  <c r="G71" s="1"/>
  <c r="G18"/>
  <c r="AK628"/>
  <c r="G148"/>
  <c r="G68" s="1"/>
  <c r="BH21" i="35"/>
  <c r="AP115"/>
  <c r="AQ55"/>
  <c r="G428" i="23"/>
  <c r="M451"/>
  <c r="M531" s="1"/>
  <c r="BH22" i="35"/>
  <c r="BH28"/>
  <c r="BH38"/>
  <c r="BH37"/>
  <c r="AQ45"/>
  <c r="BF14"/>
  <c r="BH19"/>
  <c r="G138" i="23"/>
  <c r="G58" s="1"/>
  <c r="BH20" i="35"/>
  <c r="AQ61"/>
  <c r="AQ53"/>
  <c r="AQ46"/>
  <c r="BG29"/>
  <c r="BH29" s="1"/>
  <c r="G32" i="23"/>
  <c r="AL84" i="35"/>
  <c r="BG33"/>
  <c r="BH33" s="1"/>
  <c r="AQ58"/>
  <c r="BH17"/>
  <c r="AL38"/>
  <c r="AL16"/>
  <c r="AL28"/>
  <c r="AL100"/>
  <c r="BH41"/>
  <c r="BH42"/>
  <c r="BG102"/>
  <c r="BH102" s="1"/>
  <c r="AK618" i="23"/>
  <c r="AQ51" i="35"/>
  <c r="BH15"/>
  <c r="BH32"/>
  <c r="AL32"/>
  <c r="AP119"/>
  <c r="AP46"/>
  <c r="AL91"/>
  <c r="AQ114"/>
  <c r="BH34"/>
  <c r="AK609" i="23"/>
  <c r="G103"/>
  <c r="G423" s="1"/>
  <c r="AQ48" i="35"/>
  <c r="AQ44"/>
  <c r="AQ57"/>
  <c r="BH24"/>
  <c r="AQ49"/>
  <c r="BH88"/>
  <c r="G100" i="23"/>
  <c r="AQ50" i="35"/>
  <c r="AP43"/>
  <c r="AQ56"/>
  <c r="AQ60"/>
  <c r="AQ116"/>
  <c r="AP51"/>
  <c r="AQ59"/>
  <c r="AL20"/>
  <c r="AQ54"/>
  <c r="AP48"/>
  <c r="AL24"/>
  <c r="BG27"/>
  <c r="BH27" s="1"/>
  <c r="BH36"/>
  <c r="BH39"/>
  <c r="M456" i="23"/>
  <c r="M536" s="1"/>
  <c r="AQ43" i="35"/>
  <c r="AQ113"/>
  <c r="AL90"/>
  <c r="AP107"/>
  <c r="AL97"/>
  <c r="AP109"/>
  <c r="BH84"/>
  <c r="AQ109"/>
  <c r="AL88"/>
  <c r="BG81"/>
  <c r="BH81" s="1"/>
  <c r="G102" i="23"/>
  <c r="AK622" s="1"/>
  <c r="BH98" i="35"/>
  <c r="AQ124"/>
  <c r="AQ108"/>
  <c r="AP116"/>
  <c r="F150" i="23"/>
  <c r="F70" s="1"/>
  <c r="AQ104" i="35"/>
  <c r="AQ121"/>
  <c r="AQ129"/>
  <c r="G419" i="23"/>
  <c r="V88"/>
  <c r="M463"/>
  <c r="M543" s="1"/>
  <c r="M103" s="1"/>
  <c r="AQ623" s="1"/>
  <c r="M623" s="1"/>
  <c r="M143" s="1"/>
  <c r="M63" s="1"/>
  <c r="AK608"/>
  <c r="G87"/>
  <c r="G407" s="1"/>
  <c r="BG87" i="35"/>
  <c r="BH87" s="1"/>
  <c r="BG92"/>
  <c r="BH92" s="1"/>
  <c r="BH91"/>
  <c r="AP110"/>
  <c r="AL98"/>
  <c r="AP117"/>
  <c r="BG80"/>
  <c r="BH80" s="1"/>
  <c r="AQ117"/>
  <c r="F409" i="23"/>
  <c r="M467"/>
  <c r="M547" s="1"/>
  <c r="M107" s="1"/>
  <c r="M27" s="1"/>
  <c r="AQ127" i="35"/>
  <c r="AQ115"/>
  <c r="AP104"/>
  <c r="BH86"/>
  <c r="BG94"/>
  <c r="BH94" s="1"/>
  <c r="G128" i="23"/>
  <c r="G48" s="1"/>
  <c r="M447"/>
  <c r="M527" s="1"/>
  <c r="AB87" s="1"/>
  <c r="G96"/>
  <c r="V96"/>
  <c r="G97"/>
  <c r="V97"/>
  <c r="G90"/>
  <c r="V90"/>
  <c r="AL101" i="35"/>
  <c r="AP111"/>
  <c r="AQ112"/>
  <c r="AK619" i="23"/>
  <c r="G8"/>
  <c r="M446"/>
  <c r="M526" s="1"/>
  <c r="M86" s="1"/>
  <c r="M6" s="1"/>
  <c r="AQ103" i="35"/>
  <c r="AP103"/>
  <c r="G107" i="23"/>
  <c r="V107"/>
  <c r="V106"/>
  <c r="G106"/>
  <c r="V92"/>
  <c r="G92"/>
  <c r="AQ120" i="35"/>
  <c r="BH97"/>
  <c r="AQ111"/>
  <c r="G139" i="23"/>
  <c r="G59" s="1"/>
  <c r="G95"/>
  <c r="V95"/>
  <c r="BH83" i="35"/>
  <c r="AQ125"/>
  <c r="BG85"/>
  <c r="BH85" s="1"/>
  <c r="AL89"/>
  <c r="AL83"/>
  <c r="BG95"/>
  <c r="BH95" s="1"/>
  <c r="BG93"/>
  <c r="BH93" s="1"/>
  <c r="AQ110"/>
  <c r="AQ105"/>
  <c r="BH90"/>
  <c r="AQ122"/>
  <c r="BH96"/>
  <c r="AQ126"/>
  <c r="BH101"/>
  <c r="AP106"/>
  <c r="AQ118"/>
  <c r="AL96"/>
  <c r="BH100"/>
  <c r="BG99"/>
  <c r="BH99" s="1"/>
  <c r="AQ107"/>
  <c r="AQ119"/>
  <c r="BG82"/>
  <c r="BH82" s="1"/>
  <c r="AQ106"/>
  <c r="AP118"/>
  <c r="AQ128"/>
  <c r="AP121"/>
  <c r="AQ123"/>
  <c r="G432" i="23"/>
  <c r="G152"/>
  <c r="G72" s="1"/>
  <c r="G127"/>
  <c r="G47" s="1"/>
  <c r="F423"/>
  <c r="AJ612"/>
  <c r="F24"/>
  <c r="F27"/>
  <c r="F136"/>
  <c r="F56" s="1"/>
  <c r="F412"/>
  <c r="AJ627"/>
  <c r="AJ617"/>
  <c r="AJ628"/>
  <c r="F132"/>
  <c r="F52" s="1"/>
  <c r="F32"/>
  <c r="F427"/>
  <c r="F137"/>
  <c r="F57" s="1"/>
  <c r="AJ624"/>
  <c r="F23"/>
  <c r="AJ608"/>
  <c r="F15"/>
  <c r="F414"/>
  <c r="F413"/>
  <c r="F13"/>
  <c r="F29"/>
  <c r="F431"/>
  <c r="AJ610"/>
  <c r="AJ609"/>
  <c r="F31"/>
  <c r="F133"/>
  <c r="F53" s="1"/>
  <c r="F9"/>
  <c r="AJ630"/>
  <c r="F21"/>
  <c r="F429"/>
  <c r="F135"/>
  <c r="F55" s="1"/>
  <c r="F130"/>
  <c r="F50" s="1"/>
  <c r="F26"/>
  <c r="F149"/>
  <c r="F69" s="1"/>
  <c r="F16"/>
  <c r="AJ618"/>
  <c r="F131"/>
  <c r="F51" s="1"/>
  <c r="AJ626"/>
  <c r="F411"/>
  <c r="J106"/>
  <c r="Y106"/>
  <c r="J107"/>
  <c r="Y107"/>
  <c r="AK15" i="34"/>
  <c r="BG15"/>
  <c r="BH15" s="1"/>
  <c r="L469" i="23"/>
  <c r="L549" s="1"/>
  <c r="AP58" i="34"/>
  <c r="AK24"/>
  <c r="BG24"/>
  <c r="BH24" s="1"/>
  <c r="F140" i="23"/>
  <c r="F60" s="1"/>
  <c r="F25"/>
  <c r="J98"/>
  <c r="Y98"/>
  <c r="J89"/>
  <c r="Y89"/>
  <c r="J99"/>
  <c r="Y99"/>
  <c r="J100"/>
  <c r="Y100"/>
  <c r="L457"/>
  <c r="L537" s="1"/>
  <c r="AO46" i="34"/>
  <c r="AP46"/>
  <c r="AM66"/>
  <c r="AK34"/>
  <c r="BG34"/>
  <c r="BH34" s="1"/>
  <c r="AK16"/>
  <c r="BG16"/>
  <c r="BH16" s="1"/>
  <c r="L473" i="23"/>
  <c r="L553" s="1"/>
  <c r="AP62" i="34"/>
  <c r="L456" i="23"/>
  <c r="L536" s="1"/>
  <c r="AP45" i="34"/>
  <c r="AO45"/>
  <c r="L446" i="23"/>
  <c r="L526" s="1"/>
  <c r="L86" s="1"/>
  <c r="AP35" i="34"/>
  <c r="AO35"/>
  <c r="BG18"/>
  <c r="BH18" s="1"/>
  <c r="AK18"/>
  <c r="BG21"/>
  <c r="BH21" s="1"/>
  <c r="AK21"/>
  <c r="L464" i="23"/>
  <c r="L544" s="1"/>
  <c r="AP53" i="34"/>
  <c r="L447" i="23"/>
  <c r="L527" s="1"/>
  <c r="AO36" i="34"/>
  <c r="AP36"/>
  <c r="AM65"/>
  <c r="BF33"/>
  <c r="BG26"/>
  <c r="BH26" s="1"/>
  <c r="AK26"/>
  <c r="L463" i="23"/>
  <c r="L543" s="1"/>
  <c r="AO52" i="34"/>
  <c r="AP52"/>
  <c r="J97" i="23"/>
  <c r="Y97"/>
  <c r="J93"/>
  <c r="Y93"/>
  <c r="J88"/>
  <c r="Y88"/>
  <c r="J90"/>
  <c r="Y90"/>
  <c r="L453"/>
  <c r="L533" s="1"/>
  <c r="AP42" i="34"/>
  <c r="AO42"/>
  <c r="BG17"/>
  <c r="BH17" s="1"/>
  <c r="AK17"/>
  <c r="Y96" i="23"/>
  <c r="J96"/>
  <c r="J104"/>
  <c r="Y104"/>
  <c r="J101"/>
  <c r="Y101"/>
  <c r="J105"/>
  <c r="Y105"/>
  <c r="J102"/>
  <c r="Y102"/>
  <c r="J87"/>
  <c r="Y87"/>
  <c r="L455"/>
  <c r="L535" s="1"/>
  <c r="AP44" i="34"/>
  <c r="AO44"/>
  <c r="BG28"/>
  <c r="BH28" s="1"/>
  <c r="AK28"/>
  <c r="AK30"/>
  <c r="BG30"/>
  <c r="BH30" s="1"/>
  <c r="L466" i="23"/>
  <c r="L546" s="1"/>
  <c r="AP55" i="34"/>
  <c r="L459" i="23"/>
  <c r="L539" s="1"/>
  <c r="AO48" i="34"/>
  <c r="AP48"/>
  <c r="L471" i="23"/>
  <c r="L551" s="1"/>
  <c r="AP60" i="34"/>
  <c r="L448" i="23"/>
  <c r="L528" s="1"/>
  <c r="AP37" i="34"/>
  <c r="AO37"/>
  <c r="BG32"/>
  <c r="BH32" s="1"/>
  <c r="AK32"/>
  <c r="L470" i="23"/>
  <c r="L550" s="1"/>
  <c r="AP59" i="34"/>
  <c r="BG29"/>
  <c r="BH29" s="1"/>
  <c r="AK29"/>
  <c r="L472" i="23"/>
  <c r="L552" s="1"/>
  <c r="AP61" i="34"/>
  <c r="L458" i="23"/>
  <c r="L538" s="1"/>
  <c r="AO47" i="34"/>
  <c r="AP47"/>
  <c r="L460" i="23"/>
  <c r="L540" s="1"/>
  <c r="AO49" i="34"/>
  <c r="AP49"/>
  <c r="L454" i="23"/>
  <c r="L534" s="1"/>
  <c r="AO43" i="34"/>
  <c r="AP43"/>
  <c r="J112" i="23"/>
  <c r="Y112"/>
  <c r="J92"/>
  <c r="Y92"/>
  <c r="J109"/>
  <c r="Y109"/>
  <c r="J95"/>
  <c r="Y95"/>
  <c r="AK20" i="34"/>
  <c r="BG20"/>
  <c r="BH20" s="1"/>
  <c r="L452" i="23"/>
  <c r="L532" s="1"/>
  <c r="AO41" i="34"/>
  <c r="AP41"/>
  <c r="BG31"/>
  <c r="BH31" s="1"/>
  <c r="AK31"/>
  <c r="L465" i="23"/>
  <c r="L545" s="1"/>
  <c r="AP54" i="34"/>
  <c r="AK33"/>
  <c r="BG33"/>
  <c r="BH33" s="1"/>
  <c r="L467" i="23"/>
  <c r="L547" s="1"/>
  <c r="AP56" i="34"/>
  <c r="AJ619" i="23"/>
  <c r="J103"/>
  <c r="Y103"/>
  <c r="J126"/>
  <c r="J46" s="1"/>
  <c r="J6"/>
  <c r="AN606"/>
  <c r="J406"/>
  <c r="J91"/>
  <c r="Y91"/>
  <c r="J111"/>
  <c r="Y111"/>
  <c r="Y94"/>
  <c r="J94"/>
  <c r="J108"/>
  <c r="Y108"/>
  <c r="J113"/>
  <c r="Y113"/>
  <c r="J110"/>
  <c r="Y110"/>
  <c r="L461"/>
  <c r="L541" s="1"/>
  <c r="AP50" i="34"/>
  <c r="AO50"/>
  <c r="L450" i="23"/>
  <c r="L530" s="1"/>
  <c r="AO39" i="34"/>
  <c r="AP39"/>
  <c r="BG27"/>
  <c r="BH27" s="1"/>
  <c r="AK27"/>
  <c r="L449" i="23"/>
  <c r="L529" s="1"/>
  <c r="AP38" i="34"/>
  <c r="AO38"/>
  <c r="L462" i="23"/>
  <c r="L542" s="1"/>
  <c r="AP51" i="34"/>
  <c r="AO51"/>
  <c r="BG23"/>
  <c r="BH23" s="1"/>
  <c r="AK23"/>
  <c r="AK19"/>
  <c r="BG19"/>
  <c r="BH19" s="1"/>
  <c r="L468" i="23"/>
  <c r="L548" s="1"/>
  <c r="AP57" i="34"/>
  <c r="L451" i="23"/>
  <c r="L531" s="1"/>
  <c r="AP40" i="34"/>
  <c r="AO40"/>
  <c r="BG22"/>
  <c r="BH22" s="1"/>
  <c r="AK22"/>
  <c r="BG25"/>
  <c r="BH25" s="1"/>
  <c r="AK25"/>
  <c r="F139" i="23"/>
  <c r="F59" s="1"/>
  <c r="F20"/>
  <c r="F17"/>
  <c r="F144"/>
  <c r="F64" s="1"/>
  <c r="AJ623"/>
  <c r="F153"/>
  <c r="F73" s="1"/>
  <c r="F430"/>
  <c r="AJ625"/>
  <c r="F19"/>
  <c r="F142"/>
  <c r="F62" s="1"/>
  <c r="F420"/>
  <c r="F425"/>
  <c r="F18"/>
  <c r="F33"/>
  <c r="F422"/>
  <c r="F128"/>
  <c r="F48" s="1"/>
  <c r="F421"/>
  <c r="F134"/>
  <c r="F54" s="1"/>
  <c r="F146"/>
  <c r="F66" s="1"/>
  <c r="F416"/>
  <c r="F418"/>
  <c r="R67" i="39"/>
  <c r="F148" i="23"/>
  <c r="F68" s="1"/>
  <c r="F11"/>
  <c r="F8"/>
  <c r="F415"/>
  <c r="AJ631"/>
  <c r="F433"/>
  <c r="F10"/>
  <c r="AJ621"/>
  <c r="F432"/>
  <c r="AJ614"/>
  <c r="AJ622"/>
  <c r="F7"/>
  <c r="F28"/>
  <c r="AJ632"/>
  <c r="AJ607"/>
  <c r="H98"/>
  <c r="H138" s="1"/>
  <c r="H58" s="1"/>
  <c r="W98"/>
  <c r="H113"/>
  <c r="H433" s="1"/>
  <c r="W113"/>
  <c r="M102"/>
  <c r="AQ622" s="1"/>
  <c r="M622" s="1"/>
  <c r="M142" s="1"/>
  <c r="M62" s="1"/>
  <c r="AB102"/>
  <c r="H105"/>
  <c r="H425" s="1"/>
  <c r="W105"/>
  <c r="E96"/>
  <c r="E136" s="1"/>
  <c r="E56" s="1"/>
  <c r="T96"/>
  <c r="M95"/>
  <c r="M15" s="1"/>
  <c r="AB95"/>
  <c r="H91"/>
  <c r="AL611" s="1"/>
  <c r="W91"/>
  <c r="H99"/>
  <c r="H139" s="1"/>
  <c r="H59" s="1"/>
  <c r="W99"/>
  <c r="E93"/>
  <c r="E13" s="1"/>
  <c r="T93"/>
  <c r="M105"/>
  <c r="AQ625" s="1"/>
  <c r="M625" s="1"/>
  <c r="M145" s="1"/>
  <c r="M65" s="1"/>
  <c r="AB105"/>
  <c r="M97"/>
  <c r="AQ617" s="1"/>
  <c r="M617" s="1"/>
  <c r="M137" s="1"/>
  <c r="M57" s="1"/>
  <c r="AB97"/>
  <c r="E90"/>
  <c r="E130" s="1"/>
  <c r="E50" s="1"/>
  <c r="T90"/>
  <c r="M104"/>
  <c r="M24" s="1"/>
  <c r="AB104"/>
  <c r="E107"/>
  <c r="E27" s="1"/>
  <c r="T107"/>
  <c r="F127"/>
  <c r="F47" s="1"/>
  <c r="K94"/>
  <c r="Z94"/>
  <c r="K126"/>
  <c r="K46" s="1"/>
  <c r="K406"/>
  <c r="AO606"/>
  <c r="K6"/>
  <c r="K105"/>
  <c r="Z105"/>
  <c r="K106"/>
  <c r="Z106"/>
  <c r="K109"/>
  <c r="Z109"/>
  <c r="M91"/>
  <c r="AQ611" s="1"/>
  <c r="M611" s="1"/>
  <c r="M131" s="1"/>
  <c r="M51" s="1"/>
  <c r="AB91"/>
  <c r="M88"/>
  <c r="M408" s="1"/>
  <c r="AB88"/>
  <c r="M92"/>
  <c r="AQ612" s="1"/>
  <c r="M612" s="1"/>
  <c r="M132" s="1"/>
  <c r="M52" s="1"/>
  <c r="AB92"/>
  <c r="H92"/>
  <c r="AL612" s="1"/>
  <c r="W92"/>
  <c r="E104"/>
  <c r="E144" s="1"/>
  <c r="E64" s="1"/>
  <c r="T104"/>
  <c r="E94"/>
  <c r="E414" s="1"/>
  <c r="T94"/>
  <c r="E106"/>
  <c r="E26" s="1"/>
  <c r="T106"/>
  <c r="M89"/>
  <c r="M409" s="1"/>
  <c r="AB89"/>
  <c r="E89"/>
  <c r="E409" s="1"/>
  <c r="T89"/>
  <c r="E95"/>
  <c r="E135" s="1"/>
  <c r="E55" s="1"/>
  <c r="T95"/>
  <c r="M108"/>
  <c r="AQ628" s="1"/>
  <c r="M628" s="1"/>
  <c r="M148" s="1"/>
  <c r="M68" s="1"/>
  <c r="AB108"/>
  <c r="H101"/>
  <c r="H141" s="1"/>
  <c r="H61" s="1"/>
  <c r="W101"/>
  <c r="H102"/>
  <c r="AL622" s="1"/>
  <c r="W102"/>
  <c r="H97"/>
  <c r="H17" s="1"/>
  <c r="W97"/>
  <c r="E91"/>
  <c r="AI611" s="1"/>
  <c r="T91"/>
  <c r="M106"/>
  <c r="M26" s="1"/>
  <c r="AB106"/>
  <c r="E92"/>
  <c r="E12" s="1"/>
  <c r="T92"/>
  <c r="E102"/>
  <c r="E422" s="1"/>
  <c r="T102"/>
  <c r="E98"/>
  <c r="E418" s="1"/>
  <c r="T98"/>
  <c r="E105"/>
  <c r="AI625" s="1"/>
  <c r="T105"/>
  <c r="E111"/>
  <c r="AI631" s="1"/>
  <c r="T111"/>
  <c r="M94"/>
  <c r="M14" s="1"/>
  <c r="AB94"/>
  <c r="H112"/>
  <c r="H152" s="1"/>
  <c r="H72" s="1"/>
  <c r="W112"/>
  <c r="E112"/>
  <c r="E152" s="1"/>
  <c r="E72" s="1"/>
  <c r="T112"/>
  <c r="E110"/>
  <c r="E430" s="1"/>
  <c r="T110"/>
  <c r="K112"/>
  <c r="Z112"/>
  <c r="K88"/>
  <c r="Z88"/>
  <c r="K93"/>
  <c r="Z93"/>
  <c r="K91"/>
  <c r="Z91"/>
  <c r="K108"/>
  <c r="Z108"/>
  <c r="AA8" i="38"/>
  <c r="K98" i="23"/>
  <c r="Z98"/>
  <c r="K99"/>
  <c r="Z99"/>
  <c r="K90"/>
  <c r="Z90"/>
  <c r="M109"/>
  <c r="M429" s="1"/>
  <c r="AB109"/>
  <c r="M100"/>
  <c r="M420" s="1"/>
  <c r="AB100"/>
  <c r="M112"/>
  <c r="M32" s="1"/>
  <c r="AB112"/>
  <c r="M113"/>
  <c r="AQ633" s="1"/>
  <c r="M633" s="1"/>
  <c r="M153" s="1"/>
  <c r="M73" s="1"/>
  <c r="AB113"/>
  <c r="H107"/>
  <c r="AL627" s="1"/>
  <c r="W107"/>
  <c r="H93"/>
  <c r="AL613" s="1"/>
  <c r="W93"/>
  <c r="H103"/>
  <c r="H423" s="1"/>
  <c r="W103"/>
  <c r="H108"/>
  <c r="H148" s="1"/>
  <c r="H68" s="1"/>
  <c r="W108"/>
  <c r="E88"/>
  <c r="E8" s="1"/>
  <c r="T88"/>
  <c r="E97"/>
  <c r="E17" s="1"/>
  <c r="T97"/>
  <c r="E99"/>
  <c r="AI619" s="1"/>
  <c r="T99"/>
  <c r="M101"/>
  <c r="M21" s="1"/>
  <c r="AB101"/>
  <c r="M98"/>
  <c r="AQ618" s="1"/>
  <c r="M618" s="1"/>
  <c r="M138" s="1"/>
  <c r="M58" s="1"/>
  <c r="AB98"/>
  <c r="E100"/>
  <c r="AI620" s="1"/>
  <c r="T100"/>
  <c r="H110"/>
  <c r="H150" s="1"/>
  <c r="H70" s="1"/>
  <c r="W110"/>
  <c r="H88"/>
  <c r="AL608" s="1"/>
  <c r="W88"/>
  <c r="M111"/>
  <c r="M431" s="1"/>
  <c r="AB111"/>
  <c r="K104"/>
  <c r="Z104"/>
  <c r="K102"/>
  <c r="Z102"/>
  <c r="K111"/>
  <c r="Z111"/>
  <c r="K103"/>
  <c r="Z103"/>
  <c r="K110"/>
  <c r="Z110"/>
  <c r="K107"/>
  <c r="Z107"/>
  <c r="K89"/>
  <c r="Z89"/>
  <c r="K95"/>
  <c r="Z95"/>
  <c r="K97"/>
  <c r="Z97"/>
  <c r="H94"/>
  <c r="H414" s="1"/>
  <c r="W94"/>
  <c r="H96"/>
  <c r="H416" s="1"/>
  <c r="W96"/>
  <c r="M110"/>
  <c r="M30" s="1"/>
  <c r="AB110"/>
  <c r="H95"/>
  <c r="AL615" s="1"/>
  <c r="W95"/>
  <c r="H111"/>
  <c r="H431" s="1"/>
  <c r="W111"/>
  <c r="H106"/>
  <c r="H146" s="1"/>
  <c r="H66" s="1"/>
  <c r="W106"/>
  <c r="H87"/>
  <c r="H7" s="1"/>
  <c r="W87"/>
  <c r="E113"/>
  <c r="E153" s="1"/>
  <c r="E73" s="1"/>
  <c r="T113"/>
  <c r="E109"/>
  <c r="AI629" s="1"/>
  <c r="T109"/>
  <c r="E101"/>
  <c r="AI621" s="1"/>
  <c r="T101"/>
  <c r="M90"/>
  <c r="M410" s="1"/>
  <c r="AB90"/>
  <c r="M93"/>
  <c r="AQ613" s="1"/>
  <c r="M613" s="1"/>
  <c r="M133" s="1"/>
  <c r="M53" s="1"/>
  <c r="AB93"/>
  <c r="M96"/>
  <c r="AQ616" s="1"/>
  <c r="M616" s="1"/>
  <c r="M136" s="1"/>
  <c r="M56" s="1"/>
  <c r="AB96"/>
  <c r="H90"/>
  <c r="AL610" s="1"/>
  <c r="W90"/>
  <c r="H109"/>
  <c r="AL629" s="1"/>
  <c r="W109"/>
  <c r="H100"/>
  <c r="AL620" s="1"/>
  <c r="W100"/>
  <c r="H89"/>
  <c r="H129" s="1"/>
  <c r="H49" s="1"/>
  <c r="W89"/>
  <c r="E87"/>
  <c r="AI607" s="1"/>
  <c r="T87"/>
  <c r="E108"/>
  <c r="AI628" s="1"/>
  <c r="T108"/>
  <c r="M99"/>
  <c r="M19" s="1"/>
  <c r="AB99"/>
  <c r="H104"/>
  <c r="H144" s="1"/>
  <c r="H64" s="1"/>
  <c r="W104"/>
  <c r="E103"/>
  <c r="AI623" s="1"/>
  <c r="T103"/>
  <c r="K113"/>
  <c r="Z113"/>
  <c r="K100"/>
  <c r="Z100"/>
  <c r="K92"/>
  <c r="Z92"/>
  <c r="K101"/>
  <c r="Z101"/>
  <c r="R98" i="39"/>
  <c r="O154"/>
  <c r="R154" s="1"/>
  <c r="K96" i="23"/>
  <c r="Z96"/>
  <c r="K87"/>
  <c r="Z87"/>
  <c r="R59" i="38"/>
  <c r="N445" i="23"/>
  <c r="N525"/>
  <c r="U12" i="39"/>
  <c r="B7" i="41"/>
  <c r="D547" i="23"/>
  <c r="S107" s="1"/>
  <c r="D528"/>
  <c r="S88" s="1"/>
  <c r="D549"/>
  <c r="S109" s="1"/>
  <c r="AH61" i="6"/>
  <c r="AT61"/>
  <c r="AU61"/>
  <c r="I461" i="23"/>
  <c r="AC61" i="32"/>
  <c r="AP44" i="6"/>
  <c r="BK44"/>
  <c r="BL44" s="1"/>
  <c r="AT46"/>
  <c r="AH46"/>
  <c r="I446" i="23"/>
  <c r="M46" i="6"/>
  <c r="T46" s="1"/>
  <c r="AC46" i="32"/>
  <c r="I458" i="23"/>
  <c r="AH58" i="6"/>
  <c r="AU58"/>
  <c r="AT58"/>
  <c r="AC58" i="32"/>
  <c r="AH72" i="6"/>
  <c r="AU72"/>
  <c r="I472" i="23"/>
  <c r="I552" s="1"/>
  <c r="AC72" i="32"/>
  <c r="AT59" i="6"/>
  <c r="I459" i="23"/>
  <c r="AH59" i="6"/>
  <c r="AU59"/>
  <c r="AC59" i="32"/>
  <c r="BK29" i="6"/>
  <c r="BL29" s="1"/>
  <c r="AP29"/>
  <c r="D527" i="23"/>
  <c r="S87" s="1"/>
  <c r="D548"/>
  <c r="S108" s="1"/>
  <c r="I467"/>
  <c r="I547" s="1"/>
  <c r="AH67" i="6"/>
  <c r="AU67"/>
  <c r="AC67" i="32"/>
  <c r="AP35" i="6"/>
  <c r="BK35"/>
  <c r="BL35" s="1"/>
  <c r="BJ44"/>
  <c r="AP25"/>
  <c r="BK25"/>
  <c r="BL25" s="1"/>
  <c r="AU60"/>
  <c r="AH60"/>
  <c r="AT60"/>
  <c r="I460" i="23"/>
  <c r="AC60" i="32"/>
  <c r="AP64" i="28"/>
  <c r="D529" i="23"/>
  <c r="S89" s="1"/>
  <c r="AC61" i="31"/>
  <c r="D530" i="23"/>
  <c r="S90" s="1"/>
  <c r="AN605"/>
  <c r="J5"/>
  <c r="J125"/>
  <c r="J405"/>
  <c r="N85"/>
  <c r="AC60" i="31"/>
  <c r="D551" i="23"/>
  <c r="S111" s="1"/>
  <c r="D550"/>
  <c r="S110" s="1"/>
  <c r="V9" i="38"/>
  <c r="AI9"/>
  <c r="AK9" s="1"/>
  <c r="D531" i="23"/>
  <c r="S91" s="1"/>
  <c r="D536"/>
  <c r="S96" s="1"/>
  <c r="B152" i="39"/>
  <c r="A152" s="1"/>
  <c r="D96"/>
  <c r="AH51" i="6"/>
  <c r="I451" i="23"/>
  <c r="M51" i="6"/>
  <c r="T51" s="1"/>
  <c r="AT51"/>
  <c r="AU51"/>
  <c r="AC51" i="32"/>
  <c r="BK27" i="6"/>
  <c r="BL27" s="1"/>
  <c r="AP27"/>
  <c r="BK38"/>
  <c r="BL38" s="1"/>
  <c r="AP38"/>
  <c r="BK36"/>
  <c r="BL36" s="1"/>
  <c r="AP36"/>
  <c r="AH71"/>
  <c r="AU71"/>
  <c r="I471" i="23"/>
  <c r="I551" s="1"/>
  <c r="AC71" i="32"/>
  <c r="AH54" i="6"/>
  <c r="AT54"/>
  <c r="I454" i="23"/>
  <c r="AU54" i="6"/>
  <c r="AC54" i="32"/>
  <c r="I470" i="23"/>
  <c r="I550" s="1"/>
  <c r="AH70" i="6"/>
  <c r="AU70"/>
  <c r="AC70" i="32"/>
  <c r="BK26" i="6"/>
  <c r="BL26" s="1"/>
  <c r="AP26"/>
  <c r="AH48"/>
  <c r="AU48"/>
  <c r="AT48"/>
  <c r="M48"/>
  <c r="T48" s="1"/>
  <c r="I448" i="23"/>
  <c r="AC48" i="32"/>
  <c r="AH49" i="6"/>
  <c r="AT49"/>
  <c r="M49"/>
  <c r="T49" s="1"/>
  <c r="AU49"/>
  <c r="I449" i="23"/>
  <c r="AC49" i="32"/>
  <c r="AP31" i="6"/>
  <c r="BK31"/>
  <c r="BL31" s="1"/>
  <c r="AP24"/>
  <c r="BK24"/>
  <c r="BL24" s="1"/>
  <c r="I463" i="23"/>
  <c r="AT63" i="6"/>
  <c r="AU63"/>
  <c r="AH63"/>
  <c r="AC63" i="32"/>
  <c r="BK28" i="6"/>
  <c r="BL28" s="1"/>
  <c r="AP28"/>
  <c r="AU73"/>
  <c r="I473" i="23"/>
  <c r="I553" s="1"/>
  <c r="AH73" i="6"/>
  <c r="AC73" i="32"/>
  <c r="BK42" i="6"/>
  <c r="BL42" s="1"/>
  <c r="AP42"/>
  <c r="F10" i="39"/>
  <c r="F66" s="1"/>
  <c r="M5" i="23"/>
  <c r="M405"/>
  <c r="AQ605"/>
  <c r="M605" s="1"/>
  <c r="M125" s="1"/>
  <c r="M45" s="1"/>
  <c r="D535"/>
  <c r="S95" s="1"/>
  <c r="D541"/>
  <c r="S101" s="1"/>
  <c r="D533"/>
  <c r="S93" s="1"/>
  <c r="AC72" i="31"/>
  <c r="B6" i="41"/>
  <c r="U11" i="39"/>
  <c r="AU66" i="6"/>
  <c r="I466" i="23"/>
  <c r="I546" s="1"/>
  <c r="AH66" i="6"/>
  <c r="AC66" i="32"/>
  <c r="AU68" i="6"/>
  <c r="AH68"/>
  <c r="I468" i="23"/>
  <c r="I548" s="1"/>
  <c r="AC68" i="32"/>
  <c r="BK18" i="6"/>
  <c r="BL18" s="1"/>
  <c r="AP18"/>
  <c r="M52"/>
  <c r="T52" s="1"/>
  <c r="I452" i="23"/>
  <c r="AT52" i="6"/>
  <c r="AU52"/>
  <c r="AH52"/>
  <c r="AC52" i="32"/>
  <c r="AT50" i="6"/>
  <c r="M50"/>
  <c r="T50" s="1"/>
  <c r="I450" i="23"/>
  <c r="AU50" i="6"/>
  <c r="AH50"/>
  <c r="AC50" i="32"/>
  <c r="D553" i="23"/>
  <c r="S113" s="1"/>
  <c r="B604"/>
  <c r="AR604"/>
  <c r="H126"/>
  <c r="H46" s="1"/>
  <c r="H406"/>
  <c r="H6"/>
  <c r="AL606"/>
  <c r="D543"/>
  <c r="S103" s="1"/>
  <c r="D532"/>
  <c r="S92" s="1"/>
  <c r="AH27" i="36"/>
  <c r="AJ8"/>
  <c r="AJ27" s="1"/>
  <c r="I465" i="23"/>
  <c r="I545" s="1"/>
  <c r="AU65" i="6"/>
  <c r="AH65"/>
  <c r="AC65" i="32"/>
  <c r="I464" i="23"/>
  <c r="I544" s="1"/>
  <c r="AU64" i="6"/>
  <c r="AH64"/>
  <c r="AC64" i="32"/>
  <c r="I456" i="23"/>
  <c r="AU56" i="6"/>
  <c r="AT56"/>
  <c r="AH56"/>
  <c r="AC56" i="32"/>
  <c r="AU69" i="6"/>
  <c r="AH69"/>
  <c r="I469" i="23"/>
  <c r="I549" s="1"/>
  <c r="AC69" i="32"/>
  <c r="AP30" i="6"/>
  <c r="BK30"/>
  <c r="BL30" s="1"/>
  <c r="I447" i="23"/>
  <c r="AU47" i="6"/>
  <c r="AH47"/>
  <c r="AT47"/>
  <c r="M47"/>
  <c r="T47" s="1"/>
  <c r="AC47" i="32"/>
  <c r="BK21" i="6"/>
  <c r="BL21" s="1"/>
  <c r="AP21"/>
  <c r="AP34"/>
  <c r="BK34"/>
  <c r="BL34" s="1"/>
  <c r="BK45"/>
  <c r="BL45" s="1"/>
  <c r="AP45"/>
  <c r="D546" i="23"/>
  <c r="S106" s="1"/>
  <c r="AC46" i="31"/>
  <c r="AC59"/>
  <c r="D537" i="23"/>
  <c r="S97" s="1"/>
  <c r="AC69" i="31"/>
  <c r="D545" i="23"/>
  <c r="S105" s="1"/>
  <c r="D539"/>
  <c r="S99" s="1"/>
  <c r="AC58" i="31"/>
  <c r="AC67"/>
  <c r="AC68"/>
  <c r="D540" i="23"/>
  <c r="S100" s="1"/>
  <c r="D542"/>
  <c r="S102" s="1"/>
  <c r="BK17" i="6"/>
  <c r="BL17" s="1"/>
  <c r="AP17"/>
  <c r="AU62"/>
  <c r="AH62"/>
  <c r="AT62"/>
  <c r="I462" i="23"/>
  <c r="AC62" i="32"/>
  <c r="I453" i="23"/>
  <c r="AU53" i="6"/>
  <c r="AH53"/>
  <c r="AT53"/>
  <c r="M53"/>
  <c r="T53" s="1"/>
  <c r="AC53" i="32"/>
  <c r="AP39" i="6"/>
  <c r="BK39"/>
  <c r="BL39" s="1"/>
  <c r="AU55"/>
  <c r="I455" i="23"/>
  <c r="AH55" i="6"/>
  <c r="AT55"/>
  <c r="AC55" i="32"/>
  <c r="BK33" i="6"/>
  <c r="BL33" s="1"/>
  <c r="AP33"/>
  <c r="AP23"/>
  <c r="BK23"/>
  <c r="BL23" s="1"/>
  <c r="AP41"/>
  <c r="BK41"/>
  <c r="BL41" s="1"/>
  <c r="BK40"/>
  <c r="BL40" s="1"/>
  <c r="AP40"/>
  <c r="BK22"/>
  <c r="BL22" s="1"/>
  <c r="AP22"/>
  <c r="AP37"/>
  <c r="BK37"/>
  <c r="BL37" s="1"/>
  <c r="AP19"/>
  <c r="BK19"/>
  <c r="BL19" s="1"/>
  <c r="BK20"/>
  <c r="BL20" s="1"/>
  <c r="AP20"/>
  <c r="I457" i="23"/>
  <c r="AT57" i="6"/>
  <c r="AU57"/>
  <c r="AH57"/>
  <c r="AC57" i="32"/>
  <c r="AP32" i="6"/>
  <c r="BK32"/>
  <c r="BL32" s="1"/>
  <c r="BK43"/>
  <c r="BL43" s="1"/>
  <c r="AP43"/>
  <c r="AC51" i="31"/>
  <c r="AC47"/>
  <c r="AC57"/>
  <c r="D526" i="23"/>
  <c r="D534"/>
  <c r="S94" s="1"/>
  <c r="D552"/>
  <c r="S112" s="1"/>
  <c r="D544"/>
  <c r="S104" s="1"/>
  <c r="D58" i="41"/>
  <c r="E58"/>
  <c r="AC50" i="31"/>
  <c r="D538" i="23"/>
  <c r="S98" s="1"/>
  <c r="D2104"/>
  <c r="D1816"/>
  <c r="D2014"/>
  <c r="D1786"/>
  <c r="D2038"/>
  <c r="D1935"/>
  <c r="D1815"/>
  <c r="D2115"/>
  <c r="D2103"/>
  <c r="D1874"/>
  <c r="D2043"/>
  <c r="D2050"/>
  <c r="D1828"/>
  <c r="D1954"/>
  <c r="D2042"/>
  <c r="D1851"/>
  <c r="D1839"/>
  <c r="D2091"/>
  <c r="D1783"/>
  <c r="D1971"/>
  <c r="D1862"/>
  <c r="D1906"/>
  <c r="D1793"/>
  <c r="D1899"/>
  <c r="D1947"/>
  <c r="D2007"/>
  <c r="D2031"/>
  <c r="D2055"/>
  <c r="D1995"/>
  <c r="D2067"/>
  <c r="D1925"/>
  <c r="D1911"/>
  <c r="D2030"/>
  <c r="D1827"/>
  <c r="D1795"/>
  <c r="D2019"/>
  <c r="D1978"/>
  <c r="D2110"/>
  <c r="D1803"/>
  <c r="D1805"/>
  <c r="D2086"/>
  <c r="D1894"/>
  <c r="D1798"/>
  <c r="D1922"/>
  <c r="D1875"/>
  <c r="D1796"/>
  <c r="D1814"/>
  <c r="D1959"/>
  <c r="D1936"/>
  <c r="D1923"/>
  <c r="G23" l="1"/>
  <c r="AK607"/>
  <c r="G142"/>
  <c r="G62" s="1"/>
  <c r="E139"/>
  <c r="E59" s="1"/>
  <c r="AQ624"/>
  <c r="M624" s="1"/>
  <c r="M144" s="1"/>
  <c r="M64" s="1"/>
  <c r="AK623"/>
  <c r="AB103"/>
  <c r="G143"/>
  <c r="G63" s="1"/>
  <c r="AQ606"/>
  <c r="M606" s="1"/>
  <c r="M126" s="1"/>
  <c r="M46" s="1"/>
  <c r="N446"/>
  <c r="G7"/>
  <c r="AB107"/>
  <c r="G140"/>
  <c r="G60" s="1"/>
  <c r="G420"/>
  <c r="AK620"/>
  <c r="G20"/>
  <c r="H145"/>
  <c r="H65" s="1"/>
  <c r="M414"/>
  <c r="E134"/>
  <c r="E54" s="1"/>
  <c r="G422"/>
  <c r="G22"/>
  <c r="E15"/>
  <c r="N462"/>
  <c r="M9"/>
  <c r="E415"/>
  <c r="E425"/>
  <c r="AQ629"/>
  <c r="M629" s="1"/>
  <c r="M149" s="1"/>
  <c r="M69" s="1"/>
  <c r="M33"/>
  <c r="M406"/>
  <c r="AL633"/>
  <c r="N452"/>
  <c r="M87"/>
  <c r="M7" s="1"/>
  <c r="N447"/>
  <c r="E427"/>
  <c r="E410"/>
  <c r="H19"/>
  <c r="N463"/>
  <c r="N460"/>
  <c r="G427"/>
  <c r="AK627"/>
  <c r="G27"/>
  <c r="G147"/>
  <c r="G67" s="1"/>
  <c r="G17"/>
  <c r="G417"/>
  <c r="AK617"/>
  <c r="G137"/>
  <c r="G57" s="1"/>
  <c r="E419"/>
  <c r="E146"/>
  <c r="E66" s="1"/>
  <c r="M29"/>
  <c r="AK626"/>
  <c r="G26"/>
  <c r="G146"/>
  <c r="G66" s="1"/>
  <c r="G426"/>
  <c r="G415"/>
  <c r="G15"/>
  <c r="G135"/>
  <c r="G55" s="1"/>
  <c r="AK615"/>
  <c r="G130"/>
  <c r="G50" s="1"/>
  <c r="AK610"/>
  <c r="G410"/>
  <c r="G10"/>
  <c r="G136"/>
  <c r="G56" s="1"/>
  <c r="G416"/>
  <c r="AK616"/>
  <c r="G16"/>
  <c r="E412"/>
  <c r="E407"/>
  <c r="AK612"/>
  <c r="G412"/>
  <c r="G12"/>
  <c r="G132"/>
  <c r="G52" s="1"/>
  <c r="M13"/>
  <c r="M426"/>
  <c r="M8"/>
  <c r="M411"/>
  <c r="AQ615"/>
  <c r="M615" s="1"/>
  <c r="M135" s="1"/>
  <c r="M55" s="1"/>
  <c r="M430"/>
  <c r="M432"/>
  <c r="AQ626"/>
  <c r="M626" s="1"/>
  <c r="M146" s="1"/>
  <c r="M66" s="1"/>
  <c r="M18"/>
  <c r="AQ608"/>
  <c r="M608" s="1"/>
  <c r="M128" s="1"/>
  <c r="M48" s="1"/>
  <c r="AQ632"/>
  <c r="M632" s="1"/>
  <c r="M152" s="1"/>
  <c r="M72" s="1"/>
  <c r="M418"/>
  <c r="AQ614"/>
  <c r="M614" s="1"/>
  <c r="M134" s="1"/>
  <c r="M54" s="1"/>
  <c r="M415"/>
  <c r="M25"/>
  <c r="N458"/>
  <c r="AL621"/>
  <c r="H143"/>
  <c r="H63" s="1"/>
  <c r="H412"/>
  <c r="H20"/>
  <c r="H410"/>
  <c r="H132"/>
  <c r="H52" s="1"/>
  <c r="H408"/>
  <c r="H23"/>
  <c r="H140"/>
  <c r="H60" s="1"/>
  <c r="H137"/>
  <c r="H57" s="1"/>
  <c r="H26"/>
  <c r="H151"/>
  <c r="H71" s="1"/>
  <c r="H9"/>
  <c r="H21"/>
  <c r="H415"/>
  <c r="H417"/>
  <c r="H133"/>
  <c r="H53" s="1"/>
  <c r="H128"/>
  <c r="H48" s="1"/>
  <c r="H427"/>
  <c r="E129"/>
  <c r="E49" s="1"/>
  <c r="E143"/>
  <c r="E63" s="1"/>
  <c r="E128"/>
  <c r="E48" s="1"/>
  <c r="E20"/>
  <c r="E432"/>
  <c r="E423"/>
  <c r="E22"/>
  <c r="AI608"/>
  <c r="E127"/>
  <c r="E47" s="1"/>
  <c r="AI632"/>
  <c r="E145"/>
  <c r="E65" s="1"/>
  <c r="E408"/>
  <c r="E7"/>
  <c r="E420"/>
  <c r="E433"/>
  <c r="E142"/>
  <c r="E62" s="1"/>
  <c r="AI614"/>
  <c r="E141"/>
  <c r="E61" s="1"/>
  <c r="E417"/>
  <c r="AL628"/>
  <c r="H32"/>
  <c r="H22"/>
  <c r="H29"/>
  <c r="M427"/>
  <c r="M20"/>
  <c r="E30"/>
  <c r="E28"/>
  <c r="M423"/>
  <c r="AL624"/>
  <c r="AI618"/>
  <c r="E11"/>
  <c r="M421"/>
  <c r="H430"/>
  <c r="M28"/>
  <c r="E431"/>
  <c r="E429"/>
  <c r="H14"/>
  <c r="H15"/>
  <c r="AL618"/>
  <c r="AQ619"/>
  <c r="M619" s="1"/>
  <c r="M139" s="1"/>
  <c r="M59" s="1"/>
  <c r="H127"/>
  <c r="H47" s="1"/>
  <c r="AI624"/>
  <c r="E33"/>
  <c r="H8"/>
  <c r="H27"/>
  <c r="M416"/>
  <c r="E411"/>
  <c r="AQ621"/>
  <c r="M621" s="1"/>
  <c r="M141" s="1"/>
  <c r="M61" s="1"/>
  <c r="E29"/>
  <c r="H28"/>
  <c r="AL632"/>
  <c r="AQ630"/>
  <c r="M630" s="1"/>
  <c r="M150" s="1"/>
  <c r="M70" s="1"/>
  <c r="AL609"/>
  <c r="H149"/>
  <c r="H69" s="1"/>
  <c r="AQ627"/>
  <c r="M627" s="1"/>
  <c r="M147" s="1"/>
  <c r="M67" s="1"/>
  <c r="E424"/>
  <c r="M412"/>
  <c r="AQ620"/>
  <c r="M620" s="1"/>
  <c r="M140" s="1"/>
  <c r="M60" s="1"/>
  <c r="M31"/>
  <c r="M23"/>
  <c r="E31"/>
  <c r="E18"/>
  <c r="M16"/>
  <c r="M10"/>
  <c r="H31"/>
  <c r="E9"/>
  <c r="N457"/>
  <c r="E137"/>
  <c r="E57" s="1"/>
  <c r="H134"/>
  <c r="H54" s="1"/>
  <c r="H24"/>
  <c r="E151"/>
  <c r="E71" s="1"/>
  <c r="E138"/>
  <c r="E58" s="1"/>
  <c r="E132"/>
  <c r="E52" s="1"/>
  <c r="AQ610"/>
  <c r="M610" s="1"/>
  <c r="M130" s="1"/>
  <c r="M50" s="1"/>
  <c r="E131"/>
  <c r="E51" s="1"/>
  <c r="AL631"/>
  <c r="AI609"/>
  <c r="N453"/>
  <c r="AI617"/>
  <c r="AL614"/>
  <c r="M11"/>
  <c r="E149"/>
  <c r="E69" s="1"/>
  <c r="H428"/>
  <c r="H432"/>
  <c r="H422"/>
  <c r="H409"/>
  <c r="AL630"/>
  <c r="H429"/>
  <c r="AI613"/>
  <c r="AI626"/>
  <c r="E24"/>
  <c r="M12"/>
  <c r="E150"/>
  <c r="E70" s="1"/>
  <c r="AQ631"/>
  <c r="M631" s="1"/>
  <c r="M151" s="1"/>
  <c r="M71" s="1"/>
  <c r="E21"/>
  <c r="H131"/>
  <c r="H51" s="1"/>
  <c r="H413"/>
  <c r="M428"/>
  <c r="M433"/>
  <c r="H424"/>
  <c r="AI612"/>
  <c r="H142"/>
  <c r="H62" s="1"/>
  <c r="H30"/>
  <c r="AL607"/>
  <c r="E426"/>
  <c r="AI630"/>
  <c r="E428"/>
  <c r="H13"/>
  <c r="M422"/>
  <c r="E416"/>
  <c r="E148"/>
  <c r="E68" s="1"/>
  <c r="M417"/>
  <c r="N461"/>
  <c r="AA91"/>
  <c r="L91"/>
  <c r="L89"/>
  <c r="AA89"/>
  <c r="L101"/>
  <c r="AA101"/>
  <c r="J153"/>
  <c r="J73" s="1"/>
  <c r="J433"/>
  <c r="AN633"/>
  <c r="J33"/>
  <c r="J411"/>
  <c r="AN611"/>
  <c r="J131"/>
  <c r="J51" s="1"/>
  <c r="J11"/>
  <c r="J149"/>
  <c r="J69" s="1"/>
  <c r="J29"/>
  <c r="AN629"/>
  <c r="J429"/>
  <c r="J32"/>
  <c r="J432"/>
  <c r="AN632"/>
  <c r="J152"/>
  <c r="J72" s="1"/>
  <c r="AA88"/>
  <c r="L88"/>
  <c r="AN607"/>
  <c r="J7"/>
  <c r="J407"/>
  <c r="J127"/>
  <c r="J47" s="1"/>
  <c r="J425"/>
  <c r="J25"/>
  <c r="J145"/>
  <c r="J65" s="1"/>
  <c r="AN625"/>
  <c r="J144"/>
  <c r="J64" s="1"/>
  <c r="AN624"/>
  <c r="J424"/>
  <c r="J24"/>
  <c r="H130"/>
  <c r="H50" s="1"/>
  <c r="AL626"/>
  <c r="AA102"/>
  <c r="L102"/>
  <c r="L90"/>
  <c r="AA90"/>
  <c r="AA107"/>
  <c r="L107"/>
  <c r="AA105"/>
  <c r="L105"/>
  <c r="AA98"/>
  <c r="L98"/>
  <c r="L99"/>
  <c r="AA99"/>
  <c r="J16"/>
  <c r="J136"/>
  <c r="J56" s="1"/>
  <c r="AN616"/>
  <c r="J416"/>
  <c r="J130"/>
  <c r="J50" s="1"/>
  <c r="J10"/>
  <c r="J410"/>
  <c r="AN610"/>
  <c r="J413"/>
  <c r="J133"/>
  <c r="J53" s="1"/>
  <c r="AN613"/>
  <c r="J13"/>
  <c r="L87"/>
  <c r="AA87"/>
  <c r="L96"/>
  <c r="AA96"/>
  <c r="J420"/>
  <c r="J140"/>
  <c r="J60" s="1"/>
  <c r="AN620"/>
  <c r="J20"/>
  <c r="AN609"/>
  <c r="J9"/>
  <c r="J409"/>
  <c r="J129"/>
  <c r="J49" s="1"/>
  <c r="AA109"/>
  <c r="L109"/>
  <c r="J147"/>
  <c r="J67" s="1"/>
  <c r="J427"/>
  <c r="J27"/>
  <c r="AN627"/>
  <c r="H136"/>
  <c r="H56" s="1"/>
  <c r="AA108"/>
  <c r="L108"/>
  <c r="J150"/>
  <c r="J70" s="1"/>
  <c r="AN630"/>
  <c r="J30"/>
  <c r="J430"/>
  <c r="J148"/>
  <c r="J68" s="1"/>
  <c r="J28"/>
  <c r="J428"/>
  <c r="AN628"/>
  <c r="J31"/>
  <c r="AN631"/>
  <c r="J431"/>
  <c r="J151"/>
  <c r="J71" s="1"/>
  <c r="J23"/>
  <c r="AN623"/>
  <c r="J423"/>
  <c r="J143"/>
  <c r="J63" s="1"/>
  <c r="L92"/>
  <c r="AA92"/>
  <c r="J15"/>
  <c r="J135"/>
  <c r="J55" s="1"/>
  <c r="AN615"/>
  <c r="J415"/>
  <c r="J12"/>
  <c r="AN612"/>
  <c r="J132"/>
  <c r="J52" s="1"/>
  <c r="J412"/>
  <c r="L100"/>
  <c r="AA100"/>
  <c r="AA111"/>
  <c r="L111"/>
  <c r="AA95"/>
  <c r="L95"/>
  <c r="J142"/>
  <c r="J62" s="1"/>
  <c r="J22"/>
  <c r="AN622"/>
  <c r="J422"/>
  <c r="J21"/>
  <c r="J141"/>
  <c r="J61" s="1"/>
  <c r="J421"/>
  <c r="AN621"/>
  <c r="AA103"/>
  <c r="L103"/>
  <c r="AP606"/>
  <c r="L606" s="1"/>
  <c r="L126" s="1"/>
  <c r="L46" s="1"/>
  <c r="L6"/>
  <c r="L406"/>
  <c r="J414"/>
  <c r="AN614"/>
  <c r="J134"/>
  <c r="J54" s="1"/>
  <c r="J14"/>
  <c r="L94"/>
  <c r="AA94"/>
  <c r="L112"/>
  <c r="AA112"/>
  <c r="L110"/>
  <c r="AA110"/>
  <c r="AA106"/>
  <c r="L106"/>
  <c r="AA93"/>
  <c r="L93"/>
  <c r="AN608"/>
  <c r="J128"/>
  <c r="J48" s="1"/>
  <c r="J8"/>
  <c r="J408"/>
  <c r="J17"/>
  <c r="J417"/>
  <c r="AN617"/>
  <c r="J137"/>
  <c r="J57" s="1"/>
  <c r="L104"/>
  <c r="AA104"/>
  <c r="AA113"/>
  <c r="L113"/>
  <c r="AA97"/>
  <c r="L97"/>
  <c r="J19"/>
  <c r="AN619"/>
  <c r="J419"/>
  <c r="J139"/>
  <c r="J59" s="1"/>
  <c r="AN618"/>
  <c r="J138"/>
  <c r="J58" s="1"/>
  <c r="J418"/>
  <c r="J18"/>
  <c r="AN626"/>
  <c r="J26"/>
  <c r="J146"/>
  <c r="J66" s="1"/>
  <c r="J426"/>
  <c r="E413"/>
  <c r="E16"/>
  <c r="H411"/>
  <c r="E23"/>
  <c r="E25"/>
  <c r="AI622"/>
  <c r="M413"/>
  <c r="H421"/>
  <c r="AI615"/>
  <c r="E19"/>
  <c r="AL623"/>
  <c r="H420"/>
  <c r="E140"/>
  <c r="E60" s="1"/>
  <c r="H135"/>
  <c r="H55" s="1"/>
  <c r="H418"/>
  <c r="M419"/>
  <c r="E133"/>
  <c r="E53" s="1"/>
  <c r="AI616"/>
  <c r="AQ609"/>
  <c r="M609" s="1"/>
  <c r="M129" s="1"/>
  <c r="M49" s="1"/>
  <c r="E14"/>
  <c r="E32"/>
  <c r="H10"/>
  <c r="E421"/>
  <c r="AI633"/>
  <c r="AL617"/>
  <c r="H11"/>
  <c r="H12"/>
  <c r="M424"/>
  <c r="M17"/>
  <c r="H426"/>
  <c r="H16"/>
  <c r="H147"/>
  <c r="H67" s="1"/>
  <c r="H18"/>
  <c r="M22"/>
  <c r="AL616"/>
  <c r="H407"/>
  <c r="H153"/>
  <c r="H73" s="1"/>
  <c r="E147"/>
  <c r="E67" s="1"/>
  <c r="AI610"/>
  <c r="H419"/>
  <c r="AL625"/>
  <c r="M425"/>
  <c r="H33"/>
  <c r="AI627"/>
  <c r="E10"/>
  <c r="AL619"/>
  <c r="H25"/>
  <c r="I111"/>
  <c r="I151" s="1"/>
  <c r="I71" s="1"/>
  <c r="X111"/>
  <c r="K21"/>
  <c r="K421"/>
  <c r="AO621"/>
  <c r="K141"/>
  <c r="K61" s="1"/>
  <c r="K140"/>
  <c r="K60" s="1"/>
  <c r="K420"/>
  <c r="K20"/>
  <c r="AO620"/>
  <c r="K137"/>
  <c r="K57" s="1"/>
  <c r="K417"/>
  <c r="K17"/>
  <c r="AO617"/>
  <c r="K129"/>
  <c r="K49" s="1"/>
  <c r="AO609"/>
  <c r="K9"/>
  <c r="K409"/>
  <c r="K30"/>
  <c r="K150"/>
  <c r="K70" s="1"/>
  <c r="AO630"/>
  <c r="K430"/>
  <c r="K431"/>
  <c r="K31"/>
  <c r="AO631"/>
  <c r="K151"/>
  <c r="K71" s="1"/>
  <c r="K424"/>
  <c r="AO624"/>
  <c r="K144"/>
  <c r="K64" s="1"/>
  <c r="K24"/>
  <c r="K419"/>
  <c r="K19"/>
  <c r="K139"/>
  <c r="K59" s="1"/>
  <c r="AO619"/>
  <c r="AO628"/>
  <c r="K28"/>
  <c r="K148"/>
  <c r="K68" s="1"/>
  <c r="K428"/>
  <c r="K133"/>
  <c r="K53" s="1"/>
  <c r="K413"/>
  <c r="K13"/>
  <c r="AO613"/>
  <c r="K152"/>
  <c r="K72" s="1"/>
  <c r="K432"/>
  <c r="AO632"/>
  <c r="K32"/>
  <c r="K429"/>
  <c r="K29"/>
  <c r="AO629"/>
  <c r="K149"/>
  <c r="K69" s="1"/>
  <c r="K145"/>
  <c r="K65" s="1"/>
  <c r="AO625"/>
  <c r="K425"/>
  <c r="K25"/>
  <c r="I109"/>
  <c r="AM629" s="1"/>
  <c r="X109"/>
  <c r="I104"/>
  <c r="I424" s="1"/>
  <c r="X104"/>
  <c r="I105"/>
  <c r="I25" s="1"/>
  <c r="X105"/>
  <c r="I110"/>
  <c r="AM630" s="1"/>
  <c r="X110"/>
  <c r="I107"/>
  <c r="I27" s="1"/>
  <c r="X107"/>
  <c r="K127"/>
  <c r="K47" s="1"/>
  <c r="K7"/>
  <c r="AO607"/>
  <c r="K407"/>
  <c r="I108"/>
  <c r="I148" s="1"/>
  <c r="I68" s="1"/>
  <c r="X108"/>
  <c r="I112"/>
  <c r="I152" s="1"/>
  <c r="I72" s="1"/>
  <c r="X112"/>
  <c r="V6" i="41"/>
  <c r="U39" i="39"/>
  <c r="K132" i="23"/>
  <c r="K52" s="1"/>
  <c r="K12"/>
  <c r="AO612"/>
  <c r="K412"/>
  <c r="AO633"/>
  <c r="K433"/>
  <c r="K153"/>
  <c r="K73" s="1"/>
  <c r="K33"/>
  <c r="AO615"/>
  <c r="K15"/>
  <c r="K135"/>
  <c r="K55" s="1"/>
  <c r="K415"/>
  <c r="K427"/>
  <c r="K27"/>
  <c r="K147"/>
  <c r="K67" s="1"/>
  <c r="AO627"/>
  <c r="AO623"/>
  <c r="K23"/>
  <c r="K143"/>
  <c r="K63" s="1"/>
  <c r="K423"/>
  <c r="K142"/>
  <c r="K62" s="1"/>
  <c r="K22"/>
  <c r="K422"/>
  <c r="AO622"/>
  <c r="K130"/>
  <c r="K50" s="1"/>
  <c r="AO610"/>
  <c r="K410"/>
  <c r="K10"/>
  <c r="K418"/>
  <c r="AO618"/>
  <c r="K138"/>
  <c r="K58" s="1"/>
  <c r="K18"/>
  <c r="AM8" i="38"/>
  <c r="AO8" s="1"/>
  <c r="AC8"/>
  <c r="K131" i="23"/>
  <c r="K51" s="1"/>
  <c r="AO611"/>
  <c r="K11"/>
  <c r="K411"/>
  <c r="K408"/>
  <c r="K8"/>
  <c r="K128"/>
  <c r="K48" s="1"/>
  <c r="AO608"/>
  <c r="K26"/>
  <c r="AO626"/>
  <c r="K146"/>
  <c r="K66" s="1"/>
  <c r="K426"/>
  <c r="K414"/>
  <c r="K134"/>
  <c r="K54" s="1"/>
  <c r="K14"/>
  <c r="AO614"/>
  <c r="I106"/>
  <c r="I426" s="1"/>
  <c r="X106"/>
  <c r="I113"/>
  <c r="I153" s="1"/>
  <c r="I73" s="1"/>
  <c r="X113"/>
  <c r="K136"/>
  <c r="K56" s="1"/>
  <c r="K16"/>
  <c r="K416"/>
  <c r="AO616"/>
  <c r="AR605"/>
  <c r="N466"/>
  <c r="N469"/>
  <c r="N472"/>
  <c r="N605"/>
  <c r="D104"/>
  <c r="N544"/>
  <c r="D99"/>
  <c r="B87" i="36"/>
  <c r="I530" i="23"/>
  <c r="I543"/>
  <c r="B100" i="36"/>
  <c r="I528" i="23"/>
  <c r="N528" s="1"/>
  <c r="B85" i="36"/>
  <c r="D91" i="23"/>
  <c r="N405"/>
  <c r="I539"/>
  <c r="B96" i="36"/>
  <c r="I541" i="23"/>
  <c r="B98" i="36"/>
  <c r="N467" i="23"/>
  <c r="D103"/>
  <c r="N604"/>
  <c r="B124"/>
  <c r="N468"/>
  <c r="D109"/>
  <c r="N549"/>
  <c r="D107"/>
  <c r="N547"/>
  <c r="D112"/>
  <c r="N552"/>
  <c r="D86"/>
  <c r="I537"/>
  <c r="B94" i="36"/>
  <c r="I535" i="23"/>
  <c r="B92" i="36"/>
  <c r="N465" i="23"/>
  <c r="N473"/>
  <c r="N455"/>
  <c r="I529"/>
  <c r="B86" i="36"/>
  <c r="B88"/>
  <c r="I531" i="23"/>
  <c r="D96"/>
  <c r="N470"/>
  <c r="D111"/>
  <c r="N551"/>
  <c r="N5"/>
  <c r="D90"/>
  <c r="N449"/>
  <c r="D108"/>
  <c r="N548"/>
  <c r="I538"/>
  <c r="N538" s="1"/>
  <c r="B95" i="36"/>
  <c r="B83"/>
  <c r="I526" i="23"/>
  <c r="I86" s="1"/>
  <c r="N448"/>
  <c r="D98"/>
  <c r="D94"/>
  <c r="D92"/>
  <c r="D152" i="39"/>
  <c r="F96"/>
  <c r="D7" i="41"/>
  <c r="E7"/>
  <c r="I542" i="23"/>
  <c r="B99" i="36"/>
  <c r="D100" i="23"/>
  <c r="D97"/>
  <c r="D106"/>
  <c r="N546"/>
  <c r="I527"/>
  <c r="B84" i="36"/>
  <c r="B93"/>
  <c r="I536" i="23"/>
  <c r="D101"/>
  <c r="I534"/>
  <c r="B91" i="36"/>
  <c r="N456" i="23"/>
  <c r="N471"/>
  <c r="J45"/>
  <c r="N45" s="1"/>
  <c r="N125"/>
  <c r="N450"/>
  <c r="D87"/>
  <c r="N464"/>
  <c r="N454"/>
  <c r="B90" i="36"/>
  <c r="I533" i="23"/>
  <c r="D102"/>
  <c r="N459"/>
  <c r="D105"/>
  <c r="N545"/>
  <c r="D113"/>
  <c r="N553"/>
  <c r="I532"/>
  <c r="B89" i="36"/>
  <c r="E6" i="41"/>
  <c r="D6"/>
  <c r="D93" i="23"/>
  <c r="D95"/>
  <c r="O10" i="39"/>
  <c r="N451" i="23"/>
  <c r="D110"/>
  <c r="N550"/>
  <c r="D89"/>
  <c r="B97" i="36"/>
  <c r="I540" i="23"/>
  <c r="D88"/>
  <c r="D1970"/>
  <c r="D2108"/>
  <c r="D2000"/>
  <c r="D2012"/>
  <c r="D1819"/>
  <c r="D1810"/>
  <c r="D2114"/>
  <c r="D2047"/>
  <c r="D2071"/>
  <c r="D2036"/>
  <c r="D2033"/>
  <c r="D2026"/>
  <c r="D1841"/>
  <c r="D1997"/>
  <c r="D1817"/>
  <c r="D2078"/>
  <c r="D1840"/>
  <c r="D1826"/>
  <c r="D2002"/>
  <c r="D2066"/>
  <c r="D1892"/>
  <c r="D1976"/>
  <c r="D2098"/>
  <c r="D1879"/>
  <c r="D2032"/>
  <c r="D1964"/>
  <c r="D1900"/>
  <c r="D1940"/>
  <c r="D1930"/>
  <c r="D2074"/>
  <c r="D2122"/>
  <c r="D1868"/>
  <c r="D2009"/>
  <c r="D2072"/>
  <c r="D1864"/>
  <c r="D2018"/>
  <c r="D2107"/>
  <c r="D2046"/>
  <c r="D1985"/>
  <c r="D2119"/>
  <c r="D1918"/>
  <c r="D1934"/>
  <c r="D1822"/>
  <c r="D1987"/>
  <c r="D2024"/>
  <c r="D2048"/>
  <c r="D1915"/>
  <c r="D1853"/>
  <c r="D1958"/>
  <c r="D1834"/>
  <c r="D1855"/>
  <c r="D2105"/>
  <c r="D1982"/>
  <c r="D1960"/>
  <c r="D1882"/>
  <c r="D1927"/>
  <c r="D1808"/>
  <c r="D1846"/>
  <c r="D2006"/>
  <c r="D1984"/>
  <c r="D2096"/>
  <c r="D1990"/>
  <c r="D1843"/>
  <c r="D2021"/>
  <c r="D2093"/>
  <c r="D1903"/>
  <c r="D1831"/>
  <c r="D2044"/>
  <c r="D1807"/>
  <c r="D2054"/>
  <c r="D1928"/>
  <c r="D1996"/>
  <c r="D1939"/>
  <c r="D1850"/>
  <c r="D1891"/>
  <c r="D1999"/>
  <c r="D1856"/>
  <c r="D2023"/>
  <c r="D2022"/>
  <c r="D1966"/>
  <c r="D1975"/>
  <c r="D1838"/>
  <c r="D2090"/>
  <c r="D2045"/>
  <c r="D1952"/>
  <c r="D1942"/>
  <c r="D1924"/>
  <c r="D1844"/>
  <c r="D1870"/>
  <c r="D2095"/>
  <c r="D2083"/>
  <c r="D1910"/>
  <c r="D1802"/>
  <c r="D1912"/>
  <c r="D2084"/>
  <c r="D1916"/>
  <c r="D1867"/>
  <c r="D2057"/>
  <c r="D1913"/>
  <c r="D2102"/>
  <c r="D2069"/>
  <c r="D2060"/>
  <c r="D1804"/>
  <c r="D1949"/>
  <c r="D1937"/>
  <c r="D1877"/>
  <c r="D1886"/>
  <c r="D1858"/>
  <c r="D1880"/>
  <c r="D1829"/>
  <c r="D1946"/>
  <c r="D1865"/>
  <c r="D2062"/>
  <c r="D1904"/>
  <c r="D2081"/>
  <c r="D2011"/>
  <c r="D1898"/>
  <c r="D1988"/>
  <c r="D2117"/>
  <c r="D2120"/>
  <c r="D2059"/>
  <c r="D1963"/>
  <c r="D1973"/>
  <c r="D1797"/>
  <c r="D1961"/>
  <c r="D1832"/>
  <c r="D1820"/>
  <c r="D1889"/>
  <c r="D2035"/>
  <c r="D1901"/>
  <c r="D1994"/>
  <c r="D1951"/>
  <c r="M407" l="1"/>
  <c r="AQ607"/>
  <c r="M607" s="1"/>
  <c r="M127" s="1"/>
  <c r="M47" s="1"/>
  <c r="I28"/>
  <c r="B191" i="27" s="1"/>
  <c r="I433" i="23"/>
  <c r="I150"/>
  <c r="I70" s="1"/>
  <c r="I431"/>
  <c r="I144"/>
  <c r="I64" s="1"/>
  <c r="I30"/>
  <c r="AM631"/>
  <c r="I430"/>
  <c r="I31"/>
  <c r="I33"/>
  <c r="AM624"/>
  <c r="I428"/>
  <c r="AM628"/>
  <c r="AM633"/>
  <c r="I24"/>
  <c r="L425"/>
  <c r="L25"/>
  <c r="AP625"/>
  <c r="L625" s="1"/>
  <c r="L145" s="1"/>
  <c r="L65" s="1"/>
  <c r="AP617"/>
  <c r="L617" s="1"/>
  <c r="L137" s="1"/>
  <c r="L57" s="1"/>
  <c r="L417"/>
  <c r="L17"/>
  <c r="L26"/>
  <c r="AP626"/>
  <c r="L626" s="1"/>
  <c r="L146" s="1"/>
  <c r="L66" s="1"/>
  <c r="L426"/>
  <c r="AP612"/>
  <c r="L612" s="1"/>
  <c r="L132" s="1"/>
  <c r="L52" s="1"/>
  <c r="L12"/>
  <c r="L412"/>
  <c r="L429"/>
  <c r="AP629"/>
  <c r="L629" s="1"/>
  <c r="L149" s="1"/>
  <c r="L69" s="1"/>
  <c r="L29"/>
  <c r="AP618"/>
  <c r="L618" s="1"/>
  <c r="L138" s="1"/>
  <c r="L58" s="1"/>
  <c r="L418"/>
  <c r="L18"/>
  <c r="L27"/>
  <c r="AP627"/>
  <c r="L627" s="1"/>
  <c r="L147" s="1"/>
  <c r="L67" s="1"/>
  <c r="L427"/>
  <c r="L22"/>
  <c r="L422"/>
  <c r="AP622"/>
  <c r="L622" s="1"/>
  <c r="L142" s="1"/>
  <c r="L62" s="1"/>
  <c r="L8"/>
  <c r="AP608"/>
  <c r="L608" s="1"/>
  <c r="L128" s="1"/>
  <c r="L48" s="1"/>
  <c r="L408"/>
  <c r="L13"/>
  <c r="L413"/>
  <c r="AP613"/>
  <c r="L613" s="1"/>
  <c r="L133" s="1"/>
  <c r="L53" s="1"/>
  <c r="L20"/>
  <c r="L420"/>
  <c r="AP620"/>
  <c r="L620" s="1"/>
  <c r="L140" s="1"/>
  <c r="L60" s="1"/>
  <c r="L24"/>
  <c r="L424"/>
  <c r="AP624"/>
  <c r="L624" s="1"/>
  <c r="L144" s="1"/>
  <c r="L64" s="1"/>
  <c r="AP632"/>
  <c r="L632" s="1"/>
  <c r="L152" s="1"/>
  <c r="L72" s="1"/>
  <c r="L432"/>
  <c r="L32"/>
  <c r="AP615"/>
  <c r="L615" s="1"/>
  <c r="L135" s="1"/>
  <c r="L55" s="1"/>
  <c r="L15"/>
  <c r="L415"/>
  <c r="L428"/>
  <c r="AP628"/>
  <c r="L628" s="1"/>
  <c r="L148" s="1"/>
  <c r="L68" s="1"/>
  <c r="L28"/>
  <c r="L7"/>
  <c r="L407"/>
  <c r="AP607"/>
  <c r="L607" s="1"/>
  <c r="L127" s="1"/>
  <c r="L47" s="1"/>
  <c r="L409"/>
  <c r="L9"/>
  <c r="AP609"/>
  <c r="L609" s="1"/>
  <c r="L129" s="1"/>
  <c r="L49" s="1"/>
  <c r="L433"/>
  <c r="L33"/>
  <c r="AP633"/>
  <c r="L633" s="1"/>
  <c r="L153" s="1"/>
  <c r="L73" s="1"/>
  <c r="L11"/>
  <c r="L411"/>
  <c r="AP611"/>
  <c r="L611" s="1"/>
  <c r="L131" s="1"/>
  <c r="L51" s="1"/>
  <c r="L30"/>
  <c r="AP630"/>
  <c r="L630" s="1"/>
  <c r="L150" s="1"/>
  <c r="L70" s="1"/>
  <c r="L430"/>
  <c r="L414"/>
  <c r="AP614"/>
  <c r="L614" s="1"/>
  <c r="L134" s="1"/>
  <c r="L54" s="1"/>
  <c r="L14"/>
  <c r="L23"/>
  <c r="AP623"/>
  <c r="L623" s="1"/>
  <c r="L143" s="1"/>
  <c r="L63" s="1"/>
  <c r="L423"/>
  <c r="AP631"/>
  <c r="L631" s="1"/>
  <c r="L151" s="1"/>
  <c r="L71" s="1"/>
  <c r="L431"/>
  <c r="L31"/>
  <c r="AP616"/>
  <c r="L616" s="1"/>
  <c r="L136" s="1"/>
  <c r="L56" s="1"/>
  <c r="L16"/>
  <c r="L416"/>
  <c r="L419"/>
  <c r="AP619"/>
  <c r="L619" s="1"/>
  <c r="L139" s="1"/>
  <c r="L59" s="1"/>
  <c r="L19"/>
  <c r="AP610"/>
  <c r="L610" s="1"/>
  <c r="L130" s="1"/>
  <c r="L50" s="1"/>
  <c r="L10"/>
  <c r="L410"/>
  <c r="L21"/>
  <c r="AP621"/>
  <c r="L621" s="1"/>
  <c r="L141" s="1"/>
  <c r="L61" s="1"/>
  <c r="L421"/>
  <c r="I432"/>
  <c r="I145"/>
  <c r="I65" s="1"/>
  <c r="AM627"/>
  <c r="AM626"/>
  <c r="I29"/>
  <c r="B195" i="27" s="1"/>
  <c r="I93" i="23"/>
  <c r="N93" s="1"/>
  <c r="X93"/>
  <c r="I425"/>
  <c r="I32"/>
  <c r="I92"/>
  <c r="I412" s="1"/>
  <c r="X92"/>
  <c r="AC92" s="1"/>
  <c r="I94"/>
  <c r="I414" s="1"/>
  <c r="X94"/>
  <c r="AM625"/>
  <c r="I147"/>
  <c r="I67" s="1"/>
  <c r="I98"/>
  <c r="AM618" s="1"/>
  <c r="X98"/>
  <c r="I97"/>
  <c r="AM617" s="1"/>
  <c r="X97"/>
  <c r="AC97" s="1"/>
  <c r="I26"/>
  <c r="B183" i="27" s="1"/>
  <c r="I149" i="23"/>
  <c r="I69" s="1"/>
  <c r="I90"/>
  <c r="I130" s="1"/>
  <c r="I50" s="1"/>
  <c r="X90"/>
  <c r="I87"/>
  <c r="N87" s="1"/>
  <c r="X87"/>
  <c r="AC87" s="1"/>
  <c r="I89"/>
  <c r="N89" s="1"/>
  <c r="X89"/>
  <c r="AC89" s="1"/>
  <c r="I99"/>
  <c r="I419" s="1"/>
  <c r="X99"/>
  <c r="AM632"/>
  <c r="I100"/>
  <c r="I140" s="1"/>
  <c r="I60" s="1"/>
  <c r="X100"/>
  <c r="I96"/>
  <c r="I416" s="1"/>
  <c r="X96"/>
  <c r="I427"/>
  <c r="I91"/>
  <c r="I11" s="1"/>
  <c r="X91"/>
  <c r="I95"/>
  <c r="I415" s="1"/>
  <c r="X95"/>
  <c r="I146"/>
  <c r="I66" s="1"/>
  <c r="I429"/>
  <c r="I88"/>
  <c r="AM608" s="1"/>
  <c r="X88"/>
  <c r="I102"/>
  <c r="I142" s="1"/>
  <c r="I62" s="1"/>
  <c r="X102"/>
  <c r="I101"/>
  <c r="N101" s="1"/>
  <c r="X101"/>
  <c r="AC101" s="1"/>
  <c r="I103"/>
  <c r="N103" s="1"/>
  <c r="X103"/>
  <c r="X6" i="41"/>
  <c r="Y6"/>
  <c r="N527" i="23"/>
  <c r="N543"/>
  <c r="N526"/>
  <c r="N529"/>
  <c r="N541"/>
  <c r="N535"/>
  <c r="N542"/>
  <c r="AM620"/>
  <c r="D413"/>
  <c r="D13"/>
  <c r="AH613"/>
  <c r="D613" s="1"/>
  <c r="AC113"/>
  <c r="D33"/>
  <c r="D433"/>
  <c r="AH633"/>
  <c r="D633" s="1"/>
  <c r="N113"/>
  <c r="N540"/>
  <c r="N534"/>
  <c r="D83" i="36"/>
  <c r="B134"/>
  <c r="B87" i="38"/>
  <c r="B99" i="39"/>
  <c r="N536" i="23"/>
  <c r="B110" i="39"/>
  <c r="B98" i="38"/>
  <c r="B145" i="36"/>
  <c r="D94"/>
  <c r="B101" i="39"/>
  <c r="B136" i="36"/>
  <c r="D85"/>
  <c r="B89" i="38"/>
  <c r="B140" i="36"/>
  <c r="B93" i="38"/>
  <c r="B105" i="39"/>
  <c r="D89" i="36"/>
  <c r="AH626" i="23"/>
  <c r="D626" s="1"/>
  <c r="D426"/>
  <c r="D26"/>
  <c r="AC106"/>
  <c r="N106"/>
  <c r="D16"/>
  <c r="D416"/>
  <c r="AH616"/>
  <c r="D616" s="1"/>
  <c r="D86" i="36"/>
  <c r="B137"/>
  <c r="B102" i="39"/>
  <c r="B90" i="38"/>
  <c r="D32" i="23"/>
  <c r="D432"/>
  <c r="AC112"/>
  <c r="AH632"/>
  <c r="D632" s="1"/>
  <c r="N112"/>
  <c r="B44"/>
  <c r="N44" s="1"/>
  <c r="N124"/>
  <c r="AH623"/>
  <c r="D623" s="1"/>
  <c r="D23"/>
  <c r="D423"/>
  <c r="B102" i="38"/>
  <c r="B114" i="39"/>
  <c r="B149" i="36"/>
  <c r="D98"/>
  <c r="AH608" i="23"/>
  <c r="D608" s="1"/>
  <c r="D8"/>
  <c r="D408"/>
  <c r="D409"/>
  <c r="AH609"/>
  <c r="D609" s="1"/>
  <c r="D9"/>
  <c r="N533"/>
  <c r="D90" i="36"/>
  <c r="B94" i="38"/>
  <c r="B106" i="39"/>
  <c r="B141" i="36"/>
  <c r="D407" i="23"/>
  <c r="AH607"/>
  <c r="D607" s="1"/>
  <c r="D7"/>
  <c r="D91" i="36"/>
  <c r="B142"/>
  <c r="B95" i="38"/>
  <c r="B107" i="39"/>
  <c r="B179" i="27"/>
  <c r="D17" i="23"/>
  <c r="D417"/>
  <c r="AH617"/>
  <c r="D617" s="1"/>
  <c r="F152" i="39"/>
  <c r="O96"/>
  <c r="D12" i="23"/>
  <c r="AH612"/>
  <c r="D612" s="1"/>
  <c r="D412"/>
  <c r="D418"/>
  <c r="D18"/>
  <c r="AH618"/>
  <c r="D618" s="1"/>
  <c r="I126"/>
  <c r="I46" s="1"/>
  <c r="I406"/>
  <c r="AM606"/>
  <c r="I6"/>
  <c r="AH610"/>
  <c r="D610" s="1"/>
  <c r="D10"/>
  <c r="D410"/>
  <c r="B139" i="36"/>
  <c r="B92" i="38"/>
  <c r="D88" i="36"/>
  <c r="B104" i="39"/>
  <c r="D6" i="23"/>
  <c r="AH606"/>
  <c r="D606" s="1"/>
  <c r="N606" s="1"/>
  <c r="D406"/>
  <c r="N86"/>
  <c r="AH627"/>
  <c r="D627" s="1"/>
  <c r="D147" s="1"/>
  <c r="AC107"/>
  <c r="D427"/>
  <c r="D27"/>
  <c r="N107"/>
  <c r="Q10" i="39"/>
  <c r="Q66" s="1"/>
  <c r="B147" i="36"/>
  <c r="B100" i="38"/>
  <c r="D96" i="36"/>
  <c r="B112" i="39"/>
  <c r="D11" i="23"/>
  <c r="D411"/>
  <c r="AH611"/>
  <c r="D611" s="1"/>
  <c r="N539"/>
  <c r="X10" i="39"/>
  <c r="O66"/>
  <c r="B187" i="27"/>
  <c r="D28" i="23"/>
  <c r="AH628"/>
  <c r="D628" s="1"/>
  <c r="AC108"/>
  <c r="D428"/>
  <c r="N108"/>
  <c r="D19"/>
  <c r="AH619"/>
  <c r="D619" s="1"/>
  <c r="D419"/>
  <c r="B101" i="38"/>
  <c r="B113" i="39"/>
  <c r="B148" i="36"/>
  <c r="D97"/>
  <c r="AH622" i="23"/>
  <c r="D622" s="1"/>
  <c r="D22"/>
  <c r="D422"/>
  <c r="B109" i="39"/>
  <c r="B144" i="36"/>
  <c r="D93"/>
  <c r="B97" i="38"/>
  <c r="AH620" i="23"/>
  <c r="D620" s="1"/>
  <c r="D20"/>
  <c r="D420"/>
  <c r="D414"/>
  <c r="D14"/>
  <c r="AH614"/>
  <c r="D614" s="1"/>
  <c r="D95" i="36"/>
  <c r="B146"/>
  <c r="B111" i="39"/>
  <c r="B99" i="38"/>
  <c r="D429" i="23"/>
  <c r="AH629"/>
  <c r="D629" s="1"/>
  <c r="AC109"/>
  <c r="D29"/>
  <c r="N109"/>
  <c r="AH630"/>
  <c r="D630" s="1"/>
  <c r="D30"/>
  <c r="D430"/>
  <c r="AC110"/>
  <c r="N110"/>
  <c r="D15"/>
  <c r="AH615"/>
  <c r="D615" s="1"/>
  <c r="D415"/>
  <c r="AC105"/>
  <c r="D425"/>
  <c r="AH625"/>
  <c r="D625" s="1"/>
  <c r="D25"/>
  <c r="N105"/>
  <c r="D421"/>
  <c r="D21"/>
  <c r="AH621"/>
  <c r="D621" s="1"/>
  <c r="B88" i="38"/>
  <c r="D84" i="36"/>
  <c r="B135"/>
  <c r="B100" i="39"/>
  <c r="N537" i="23"/>
  <c r="B103" i="38"/>
  <c r="B115" i="39"/>
  <c r="D99" i="36"/>
  <c r="B150"/>
  <c r="N532" i="23"/>
  <c r="N530"/>
  <c r="D431"/>
  <c r="AH631"/>
  <c r="D631" s="1"/>
  <c r="D31"/>
  <c r="AC111"/>
  <c r="N111"/>
  <c r="B96" i="38"/>
  <c r="B108" i="39"/>
  <c r="B143" i="36"/>
  <c r="D92"/>
  <c r="N531" i="23"/>
  <c r="B104" i="38"/>
  <c r="B151" i="36"/>
  <c r="B116" i="39"/>
  <c r="D100" i="36"/>
  <c r="B138"/>
  <c r="B103" i="39"/>
  <c r="B91" i="38"/>
  <c r="D87" i="36"/>
  <c r="AH624" i="23"/>
  <c r="D624" s="1"/>
  <c r="AC104"/>
  <c r="D24"/>
  <c r="D424"/>
  <c r="N104"/>
  <c r="D1897"/>
  <c r="D1885"/>
  <c r="D2121"/>
  <c r="D2061"/>
  <c r="D1821"/>
  <c r="D2049"/>
  <c r="D1929"/>
  <c r="D2001"/>
  <c r="D1857"/>
  <c r="D1989"/>
  <c r="D2077"/>
  <c r="D2106"/>
  <c r="D1993"/>
  <c r="D1977"/>
  <c r="D1957"/>
  <c r="D2082"/>
  <c r="D2097"/>
  <c r="D1809"/>
  <c r="D2010"/>
  <c r="D2073"/>
  <c r="D1833"/>
  <c r="D2013"/>
  <c r="D1794"/>
  <c r="D1813"/>
  <c r="D2037"/>
  <c r="D2113"/>
  <c r="D1869"/>
  <c r="D1845"/>
  <c r="D1933"/>
  <c r="D1965"/>
  <c r="D2034"/>
  <c r="D1921"/>
  <c r="D1837"/>
  <c r="D2065"/>
  <c r="D1917"/>
  <c r="D1945"/>
  <c r="D2094"/>
  <c r="D2101"/>
  <c r="D1873"/>
  <c r="D1881"/>
  <c r="D1861"/>
  <c r="D2058"/>
  <c r="D1941"/>
  <c r="D1953"/>
  <c r="D2005"/>
  <c r="D2089"/>
  <c r="D2041"/>
  <c r="D1981"/>
  <c r="D2070"/>
  <c r="D1825"/>
  <c r="D2085"/>
  <c r="D2109"/>
  <c r="D1854"/>
  <c r="D1893"/>
  <c r="D2053"/>
  <c r="D1801"/>
  <c r="D2029"/>
  <c r="D1789"/>
  <c r="D2118"/>
  <c r="D1849"/>
  <c r="D1905"/>
  <c r="D1969"/>
  <c r="D1909"/>
  <c r="D2025"/>
  <c r="D2017"/>
  <c r="N623" l="1"/>
  <c r="N632"/>
  <c r="N607"/>
  <c r="N633"/>
  <c r="N613"/>
  <c r="AM616"/>
  <c r="I136"/>
  <c r="I56" s="1"/>
  <c r="N618"/>
  <c r="N612"/>
  <c r="N616"/>
  <c r="N424"/>
  <c r="N631"/>
  <c r="N630"/>
  <c r="N620"/>
  <c r="N428"/>
  <c r="N609"/>
  <c r="N625"/>
  <c r="B199" i="27"/>
  <c r="L200" s="1"/>
  <c r="N429" i="23"/>
  <c r="AR627"/>
  <c r="N611"/>
  <c r="N426"/>
  <c r="N622"/>
  <c r="N610"/>
  <c r="I409"/>
  <c r="I418"/>
  <c r="N418" s="1"/>
  <c r="I411"/>
  <c r="N411" s="1"/>
  <c r="AM622"/>
  <c r="AR622" s="1"/>
  <c r="I407"/>
  <c r="N407" s="1"/>
  <c r="AM613"/>
  <c r="N425"/>
  <c r="N94"/>
  <c r="I23"/>
  <c r="B171" i="27" s="1"/>
  <c r="AM611" i="23"/>
  <c r="N98"/>
  <c r="I134"/>
  <c r="I54" s="1"/>
  <c r="I18"/>
  <c r="B151" i="27" s="1"/>
  <c r="N91" i="23"/>
  <c r="I22"/>
  <c r="N22" s="1"/>
  <c r="I131"/>
  <c r="I51" s="1"/>
  <c r="I138"/>
  <c r="I58" s="1"/>
  <c r="N102"/>
  <c r="N99"/>
  <c r="B175" i="27"/>
  <c r="E175" s="1"/>
  <c r="I143" i="23"/>
  <c r="I63" s="1"/>
  <c r="I422"/>
  <c r="N422" s="1"/>
  <c r="I139"/>
  <c r="I59" s="1"/>
  <c r="AM623"/>
  <c r="AR623" s="1"/>
  <c r="I12"/>
  <c r="N12" s="1"/>
  <c r="I15"/>
  <c r="I129"/>
  <c r="I49" s="1"/>
  <c r="I10"/>
  <c r="N10" s="1"/>
  <c r="I423"/>
  <c r="N423" s="1"/>
  <c r="AM607"/>
  <c r="AR607" s="1"/>
  <c r="AM619"/>
  <c r="AR619" s="1"/>
  <c r="I14"/>
  <c r="N14" s="1"/>
  <c r="I7"/>
  <c r="N7" s="1"/>
  <c r="I21"/>
  <c r="B163" i="27" s="1"/>
  <c r="I13" i="23"/>
  <c r="N13" s="1"/>
  <c r="N95"/>
  <c r="I137"/>
  <c r="I57" s="1"/>
  <c r="AM615"/>
  <c r="AR615" s="1"/>
  <c r="N88"/>
  <c r="I8"/>
  <c r="B111" i="27" s="1"/>
  <c r="AM621" i="23"/>
  <c r="AR621" s="1"/>
  <c r="AM610"/>
  <c r="AR610" s="1"/>
  <c r="I417"/>
  <c r="N417" s="1"/>
  <c r="N97"/>
  <c r="I408"/>
  <c r="N408" s="1"/>
  <c r="N431"/>
  <c r="N621"/>
  <c r="N614"/>
  <c r="N619"/>
  <c r="N608"/>
  <c r="N432"/>
  <c r="I16"/>
  <c r="N16" s="1"/>
  <c r="N624"/>
  <c r="N615"/>
  <c r="N430"/>
  <c r="N629"/>
  <c r="N628"/>
  <c r="N627"/>
  <c r="N617"/>
  <c r="N96"/>
  <c r="N626"/>
  <c r="N433"/>
  <c r="I421"/>
  <c r="N421" s="1"/>
  <c r="AM609"/>
  <c r="AR609" s="1"/>
  <c r="I141"/>
  <c r="I61" s="1"/>
  <c r="I9"/>
  <c r="N9" s="1"/>
  <c r="I413"/>
  <c r="N413" s="1"/>
  <c r="I132"/>
  <c r="I52" s="1"/>
  <c r="AM612"/>
  <c r="AR612" s="1"/>
  <c r="I410"/>
  <c r="N410" s="1"/>
  <c r="I17"/>
  <c r="N17" s="1"/>
  <c r="I135"/>
  <c r="I55" s="1"/>
  <c r="N90"/>
  <c r="N92"/>
  <c r="I133"/>
  <c r="I53" s="1"/>
  <c r="I127"/>
  <c r="I47" s="1"/>
  <c r="D145"/>
  <c r="D65" s="1"/>
  <c r="N65" s="1"/>
  <c r="I20"/>
  <c r="N20" s="1"/>
  <c r="N100"/>
  <c r="N427"/>
  <c r="I420"/>
  <c r="N420" s="1"/>
  <c r="AR608"/>
  <c r="D150"/>
  <c r="D70" s="1"/>
  <c r="N70" s="1"/>
  <c r="AR629"/>
  <c r="D134"/>
  <c r="D54" s="1"/>
  <c r="D131"/>
  <c r="D51" s="1"/>
  <c r="I128"/>
  <c r="I48" s="1"/>
  <c r="I19"/>
  <c r="N19" s="1"/>
  <c r="AM614"/>
  <c r="AR614" s="1"/>
  <c r="AR611"/>
  <c r="D143"/>
  <c r="D63" s="1"/>
  <c r="N412"/>
  <c r="AR633"/>
  <c r="AC93"/>
  <c r="D132"/>
  <c r="D146"/>
  <c r="N146" s="1"/>
  <c r="AC98"/>
  <c r="D135"/>
  <c r="D55" s="1"/>
  <c r="AC90"/>
  <c r="D128"/>
  <c r="D136"/>
  <c r="D153"/>
  <c r="N153" s="1"/>
  <c r="D130"/>
  <c r="D50" s="1"/>
  <c r="N50" s="1"/>
  <c r="D144"/>
  <c r="D64" s="1"/>
  <c r="N64" s="1"/>
  <c r="N409"/>
  <c r="AR613"/>
  <c r="D139"/>
  <c r="D59" s="1"/>
  <c r="N59" s="1"/>
  <c r="N415"/>
  <c r="AR628"/>
  <c r="AC91"/>
  <c r="D152"/>
  <c r="N152" s="1"/>
  <c r="AR630"/>
  <c r="D140"/>
  <c r="D60" s="1"/>
  <c r="N60" s="1"/>
  <c r="D149"/>
  <c r="N149" s="1"/>
  <c r="AR625"/>
  <c r="D148"/>
  <c r="N148" s="1"/>
  <c r="D127"/>
  <c r="D47" s="1"/>
  <c r="AR632"/>
  <c r="D96" i="38"/>
  <c r="B146"/>
  <c r="B123" i="27"/>
  <c r="D97" i="38"/>
  <c r="B147"/>
  <c r="D100"/>
  <c r="B150"/>
  <c r="D141" i="36"/>
  <c r="F90"/>
  <c r="B152" i="38"/>
  <c r="D102"/>
  <c r="AC100" i="23"/>
  <c r="N30"/>
  <c r="D144" i="36"/>
  <c r="F93"/>
  <c r="D113" i="39"/>
  <c r="B169"/>
  <c r="N11" i="23"/>
  <c r="R10" i="39"/>
  <c r="U10" s="1"/>
  <c r="AR624" i="23"/>
  <c r="B140" i="38"/>
  <c r="D90"/>
  <c r="D93"/>
  <c r="B143"/>
  <c r="B139"/>
  <c r="D89"/>
  <c r="N419" i="23"/>
  <c r="N416"/>
  <c r="N414"/>
  <c r="N24"/>
  <c r="D91" i="38"/>
  <c r="B141"/>
  <c r="F100" i="36"/>
  <c r="D151"/>
  <c r="AR618" i="23"/>
  <c r="D103" i="38"/>
  <c r="B153"/>
  <c r="F84" i="36"/>
  <c r="D135"/>
  <c r="D141" i="23"/>
  <c r="N25"/>
  <c r="AR617"/>
  <c r="D146" i="36"/>
  <c r="F95"/>
  <c r="D142" i="23"/>
  <c r="D101" i="38"/>
  <c r="B151"/>
  <c r="D112" i="39"/>
  <c r="B168"/>
  <c r="L184" i="27"/>
  <c r="E183"/>
  <c r="N27" i="23"/>
  <c r="B160" i="39"/>
  <c r="D104"/>
  <c r="D138" i="23"/>
  <c r="O152" i="39"/>
  <c r="R152" s="1"/>
  <c r="R96"/>
  <c r="U37" s="1"/>
  <c r="X37"/>
  <c r="AC102" i="23"/>
  <c r="E179" i="27"/>
  <c r="L180"/>
  <c r="F91" i="36"/>
  <c r="D142"/>
  <c r="D106" i="39"/>
  <c r="B162"/>
  <c r="AR631" i="23"/>
  <c r="B158" i="39"/>
  <c r="D102"/>
  <c r="D136" i="36"/>
  <c r="F85"/>
  <c r="L196" i="27"/>
  <c r="E195"/>
  <c r="B148" i="38"/>
  <c r="D98"/>
  <c r="B155" i="39"/>
  <c r="D99"/>
  <c r="AR616" i="23"/>
  <c r="AC94"/>
  <c r="D133"/>
  <c r="AR620"/>
  <c r="F99" i="36"/>
  <c r="D150"/>
  <c r="B156" i="39"/>
  <c r="D100"/>
  <c r="D111"/>
  <c r="B167"/>
  <c r="E187" i="27"/>
  <c r="L188"/>
  <c r="B142" i="38"/>
  <c r="D92"/>
  <c r="D95"/>
  <c r="B145"/>
  <c r="N32" i="23"/>
  <c r="F86" i="36"/>
  <c r="D137"/>
  <c r="N26" i="23"/>
  <c r="D105" i="39"/>
  <c r="B161"/>
  <c r="L192" i="27"/>
  <c r="E191"/>
  <c r="D101" i="39"/>
  <c r="B157"/>
  <c r="D145" i="36"/>
  <c r="F94"/>
  <c r="D138"/>
  <c r="F87"/>
  <c r="D104" i="38"/>
  <c r="B154"/>
  <c r="D143" i="36"/>
  <c r="F92"/>
  <c r="D151" i="23"/>
  <c r="D115" i="39"/>
  <c r="B171"/>
  <c r="N29" i="23"/>
  <c r="D67"/>
  <c r="N67" s="1"/>
  <c r="N147"/>
  <c r="AR606"/>
  <c r="F98" i="36"/>
  <c r="D149"/>
  <c r="F83"/>
  <c r="D134"/>
  <c r="B159" i="39"/>
  <c r="D103"/>
  <c r="D116"/>
  <c r="B172"/>
  <c r="B164"/>
  <c r="D108"/>
  <c r="N31" i="23"/>
  <c r="D88" i="38"/>
  <c r="B138"/>
  <c r="B149"/>
  <c r="D99"/>
  <c r="D109" i="39"/>
  <c r="B165"/>
  <c r="F97" i="36"/>
  <c r="D148"/>
  <c r="N28" i="23"/>
  <c r="AC103"/>
  <c r="D147" i="36"/>
  <c r="F96"/>
  <c r="R66" i="39"/>
  <c r="D126" i="23"/>
  <c r="N6"/>
  <c r="AC95"/>
  <c r="F88" i="36"/>
  <c r="D139"/>
  <c r="N406" i="23"/>
  <c r="D137"/>
  <c r="B163" i="39"/>
  <c r="D107"/>
  <c r="B144" i="38"/>
  <c r="D94"/>
  <c r="D129" i="23"/>
  <c r="AC88"/>
  <c r="B170" i="39"/>
  <c r="D114"/>
  <c r="F89" i="36"/>
  <c r="D140"/>
  <c r="AC99" i="23"/>
  <c r="AR626"/>
  <c r="D110" i="39"/>
  <c r="B166"/>
  <c r="D87" i="38"/>
  <c r="B137"/>
  <c r="AC96" i="23"/>
  <c r="N33"/>
  <c r="D1830"/>
  <c r="D1938"/>
  <c r="D1950"/>
  <c r="D1866"/>
  <c r="D1962"/>
  <c r="D1998"/>
  <c r="D1986"/>
  <c r="D1818"/>
  <c r="D1806"/>
  <c r="D1926"/>
  <c r="D1878"/>
  <c r="D1902"/>
  <c r="D1974"/>
  <c r="D1890"/>
  <c r="D1914"/>
  <c r="D1842"/>
  <c r="N144" l="1"/>
  <c r="D66"/>
  <c r="N66" s="1"/>
  <c r="N136"/>
  <c r="B167" i="27"/>
  <c r="L168" s="1"/>
  <c r="N18" i="23"/>
  <c r="E199" i="27"/>
  <c r="E201" s="1"/>
  <c r="K201" s="1"/>
  <c r="L201" s="1"/>
  <c r="U28" s="1"/>
  <c r="T28" s="1"/>
  <c r="N130" i="23"/>
  <c r="N139"/>
  <c r="D69"/>
  <c r="N69" s="1"/>
  <c r="N143"/>
  <c r="B115" i="27"/>
  <c r="E115" s="1"/>
  <c r="N63" i="23"/>
  <c r="N23"/>
  <c r="B159" i="27"/>
  <c r="L160" s="1"/>
  <c r="B127"/>
  <c r="L128" s="1"/>
  <c r="N132" i="23"/>
  <c r="B143" i="27"/>
  <c r="E143" s="1"/>
  <c r="N131" i="23"/>
  <c r="L176" i="27"/>
  <c r="N51" i="23"/>
  <c r="B119" i="27"/>
  <c r="L120" s="1"/>
  <c r="B135"/>
  <c r="E135" s="1"/>
  <c r="N54" i="23"/>
  <c r="B155" i="27"/>
  <c r="E155" s="1"/>
  <c r="B139"/>
  <c r="L140" s="1"/>
  <c r="N21" i="23"/>
  <c r="N15"/>
  <c r="B131" i="27"/>
  <c r="E131" s="1"/>
  <c r="N8" i="23"/>
  <c r="N47"/>
  <c r="N55"/>
  <c r="B147" i="27"/>
  <c r="L148" s="1"/>
  <c r="N150" i="23"/>
  <c r="N128"/>
  <c r="D56"/>
  <c r="N56" s="1"/>
  <c r="D48"/>
  <c r="N48" s="1"/>
  <c r="N134"/>
  <c r="D73"/>
  <c r="N73" s="1"/>
  <c r="N145"/>
  <c r="D72"/>
  <c r="N72" s="1"/>
  <c r="N127"/>
  <c r="N140"/>
  <c r="D52"/>
  <c r="N52" s="1"/>
  <c r="N135"/>
  <c r="D68"/>
  <c r="N68" s="1"/>
  <c r="O89" i="36"/>
  <c r="Z38" s="1"/>
  <c r="F140"/>
  <c r="V65" i="41"/>
  <c r="F139" i="36"/>
  <c r="V64" i="41"/>
  <c r="O88" i="36"/>
  <c r="Z37" s="1"/>
  <c r="F148"/>
  <c r="O97"/>
  <c r="Z46" s="1"/>
  <c r="V73" i="41"/>
  <c r="V59"/>
  <c r="O83" i="36"/>
  <c r="F134"/>
  <c r="D154" i="38"/>
  <c r="F104"/>
  <c r="F95"/>
  <c r="D145"/>
  <c r="F111" i="39"/>
  <c r="D167"/>
  <c r="F99"/>
  <c r="D155"/>
  <c r="E184" i="27"/>
  <c r="E185"/>
  <c r="K185" s="1"/>
  <c r="L185" s="1"/>
  <c r="U24" s="1"/>
  <c r="T24" s="1"/>
  <c r="D62" i="23"/>
  <c r="N62" s="1"/>
  <c r="N142"/>
  <c r="D141" i="38"/>
  <c r="F91"/>
  <c r="D144"/>
  <c r="F94"/>
  <c r="F147" i="36"/>
  <c r="V72" i="41"/>
  <c r="O96" i="36"/>
  <c r="Z45" s="1"/>
  <c r="F99" i="38"/>
  <c r="D149"/>
  <c r="F138" i="36"/>
  <c r="O87"/>
  <c r="Z36" s="1"/>
  <c r="V63" i="41"/>
  <c r="O86" i="36"/>
  <c r="Z35" s="1"/>
  <c r="F137"/>
  <c r="V62" i="41"/>
  <c r="F102" i="39"/>
  <c r="D158"/>
  <c r="O91" i="36"/>
  <c r="Z40" s="1"/>
  <c r="V67" i="41"/>
  <c r="F142" i="36"/>
  <c r="F103" i="38"/>
  <c r="D153"/>
  <c r="F87"/>
  <c r="D137"/>
  <c r="F109" i="39"/>
  <c r="D165"/>
  <c r="F88" i="38"/>
  <c r="D138"/>
  <c r="V74" i="41"/>
  <c r="F149" i="36"/>
  <c r="O98"/>
  <c r="Z47" s="1"/>
  <c r="D171" i="39"/>
  <c r="F115"/>
  <c r="D157"/>
  <c r="F101"/>
  <c r="F105"/>
  <c r="D161"/>
  <c r="F92" i="38"/>
  <c r="D142"/>
  <c r="D148"/>
  <c r="F98"/>
  <c r="D58" i="23"/>
  <c r="N58" s="1"/>
  <c r="N138"/>
  <c r="V76" i="41"/>
  <c r="O100" i="36"/>
  <c r="Z49" s="1"/>
  <c r="F151"/>
  <c r="F93" i="38"/>
  <c r="D143"/>
  <c r="D169" i="39"/>
  <c r="F113"/>
  <c r="F102" i="38"/>
  <c r="D152"/>
  <c r="D150"/>
  <c r="F100"/>
  <c r="F97"/>
  <c r="D147"/>
  <c r="F110" i="39"/>
  <c r="D166"/>
  <c r="D49" i="23"/>
  <c r="N49" s="1"/>
  <c r="N129"/>
  <c r="F108" i="39"/>
  <c r="D164"/>
  <c r="F116"/>
  <c r="D172"/>
  <c r="D156"/>
  <c r="F100"/>
  <c r="D53" i="23"/>
  <c r="N53" s="1"/>
  <c r="N133"/>
  <c r="E197" i="27"/>
  <c r="K197" s="1"/>
  <c r="L197" s="1"/>
  <c r="U27" s="1"/>
  <c r="T27" s="1"/>
  <c r="E196"/>
  <c r="F104" i="39"/>
  <c r="D160"/>
  <c r="E163" i="27"/>
  <c r="L164"/>
  <c r="D140" i="38"/>
  <c r="F90"/>
  <c r="F103" i="39"/>
  <c r="D159"/>
  <c r="O92" i="36"/>
  <c r="Z41" s="1"/>
  <c r="F143"/>
  <c r="V68" i="41"/>
  <c r="E188" i="27"/>
  <c r="E189"/>
  <c r="K189" s="1"/>
  <c r="L189" s="1"/>
  <c r="U25" s="1"/>
  <c r="T25" s="1"/>
  <c r="E177"/>
  <c r="K177" s="1"/>
  <c r="L177" s="1"/>
  <c r="U22" s="1"/>
  <c r="T22" s="1"/>
  <c r="E176"/>
  <c r="D61" i="23"/>
  <c r="N61" s="1"/>
  <c r="N141"/>
  <c r="E111" i="27"/>
  <c r="L112"/>
  <c r="E123"/>
  <c r="L124"/>
  <c r="D57" i="23"/>
  <c r="N57" s="1"/>
  <c r="N137"/>
  <c r="D170" i="39"/>
  <c r="F114"/>
  <c r="D163"/>
  <c r="F107"/>
  <c r="D46" i="23"/>
  <c r="N46" s="1"/>
  <c r="N126"/>
  <c r="E151" i="27"/>
  <c r="L152"/>
  <c r="D71" i="23"/>
  <c r="N71" s="1"/>
  <c r="N151"/>
  <c r="F145" i="36"/>
  <c r="O94"/>
  <c r="Z43" s="1"/>
  <c r="V70" i="41"/>
  <c r="E193" i="27"/>
  <c r="K193" s="1"/>
  <c r="L193" s="1"/>
  <c r="U26" s="1"/>
  <c r="T26" s="1"/>
  <c r="E192"/>
  <c r="O99" i="36"/>
  <c r="Z48" s="1"/>
  <c r="F150"/>
  <c r="V75" i="41"/>
  <c r="O85" i="36"/>
  <c r="Z34" s="1"/>
  <c r="F136"/>
  <c r="V61" i="41"/>
  <c r="F106" i="39"/>
  <c r="D162"/>
  <c r="E181" i="27"/>
  <c r="K181" s="1"/>
  <c r="L181" s="1"/>
  <c r="U23" s="1"/>
  <c r="T23" s="1"/>
  <c r="E180"/>
  <c r="D168" i="39"/>
  <c r="F112"/>
  <c r="D151" i="38"/>
  <c r="F101"/>
  <c r="V71" i="41"/>
  <c r="F146" i="36"/>
  <c r="O95"/>
  <c r="Z44" s="1"/>
  <c r="F135"/>
  <c r="O84"/>
  <c r="Z33" s="1"/>
  <c r="V60" i="41"/>
  <c r="F89" i="38"/>
  <c r="D139"/>
  <c r="O93" i="36"/>
  <c r="Z42" s="1"/>
  <c r="F144"/>
  <c r="V69" i="41"/>
  <c r="V66"/>
  <c r="F141" i="36"/>
  <c r="O90"/>
  <c r="Z39" s="1"/>
  <c r="L172" i="27"/>
  <c r="E171"/>
  <c r="D146" i="38"/>
  <c r="F96"/>
  <c r="E167" i="27" l="1"/>
  <c r="E169" s="1"/>
  <c r="K169" s="1"/>
  <c r="L169" s="1"/>
  <c r="U20" s="1"/>
  <c r="T20" s="1"/>
  <c r="E200"/>
  <c r="L136"/>
  <c r="E159"/>
  <c r="E161" s="1"/>
  <c r="K161" s="1"/>
  <c r="L161" s="1"/>
  <c r="U18" s="1"/>
  <c r="T18" s="1"/>
  <c r="L116"/>
  <c r="E127"/>
  <c r="E128" s="1"/>
  <c r="L144"/>
  <c r="E139"/>
  <c r="E141" s="1"/>
  <c r="K141" s="1"/>
  <c r="L141" s="1"/>
  <c r="U13" s="1"/>
  <c r="T13" s="1"/>
  <c r="E147"/>
  <c r="E149" s="1"/>
  <c r="K149" s="1"/>
  <c r="L149" s="1"/>
  <c r="U15" s="1"/>
  <c r="T15" s="1"/>
  <c r="L156"/>
  <c r="E119"/>
  <c r="E120" s="1"/>
  <c r="L132"/>
  <c r="Y69" i="41"/>
  <c r="X69"/>
  <c r="F139" i="38"/>
  <c r="O89"/>
  <c r="O146" i="36"/>
  <c r="R95"/>
  <c r="Z20"/>
  <c r="E152" i="27"/>
  <c r="E153"/>
  <c r="K153" s="1"/>
  <c r="L153" s="1"/>
  <c r="U16" s="1"/>
  <c r="T16" s="1"/>
  <c r="E113"/>
  <c r="K113" s="1"/>
  <c r="L113" s="1"/>
  <c r="U6" s="1"/>
  <c r="T6" s="1"/>
  <c r="E112"/>
  <c r="O116" i="39"/>
  <c r="F172"/>
  <c r="O101"/>
  <c r="F157"/>
  <c r="Y62" i="41"/>
  <c r="X62"/>
  <c r="F141" i="38"/>
  <c r="O91"/>
  <c r="Z13" i="36"/>
  <c r="R88"/>
  <c r="O139"/>
  <c r="F146" i="38"/>
  <c r="O96"/>
  <c r="E136" i="27"/>
  <c r="E137"/>
  <c r="K137" s="1"/>
  <c r="L137" s="1"/>
  <c r="U12" s="1"/>
  <c r="T12" s="1"/>
  <c r="F168" i="39"/>
  <c r="O112"/>
  <c r="O150" i="36"/>
  <c r="Z24"/>
  <c r="R99"/>
  <c r="E132" i="27"/>
  <c r="E133"/>
  <c r="K133" s="1"/>
  <c r="L133" s="1"/>
  <c r="U11" s="1"/>
  <c r="T11" s="1"/>
  <c r="O114" i="39"/>
  <c r="F170"/>
  <c r="F156"/>
  <c r="O100"/>
  <c r="F169"/>
  <c r="O113"/>
  <c r="E157" i="27"/>
  <c r="K157" s="1"/>
  <c r="L157" s="1"/>
  <c r="U17" s="1"/>
  <c r="T17" s="1"/>
  <c r="E156"/>
  <c r="F165" i="39"/>
  <c r="O109"/>
  <c r="R91" i="36"/>
  <c r="Z16"/>
  <c r="O142"/>
  <c r="O99" i="38"/>
  <c r="F149"/>
  <c r="Z18" i="36"/>
  <c r="R93"/>
  <c r="O144"/>
  <c r="E116" i="27"/>
  <c r="E117"/>
  <c r="K117" s="1"/>
  <c r="L117" s="1"/>
  <c r="U7" s="1"/>
  <c r="T7" s="1"/>
  <c r="X71" i="41"/>
  <c r="Y71"/>
  <c r="O106" i="39"/>
  <c r="F162"/>
  <c r="O136" i="36"/>
  <c r="R85"/>
  <c r="Z10"/>
  <c r="E168" i="27"/>
  <c r="E125"/>
  <c r="K125" s="1"/>
  <c r="L125" s="1"/>
  <c r="U9" s="1"/>
  <c r="T9" s="1"/>
  <c r="E124"/>
  <c r="O143" i="36"/>
  <c r="R92"/>
  <c r="Z17"/>
  <c r="O103" i="39"/>
  <c r="F159"/>
  <c r="E165" i="27"/>
  <c r="K165" s="1"/>
  <c r="L165" s="1"/>
  <c r="U19" s="1"/>
  <c r="T19" s="1"/>
  <c r="E164"/>
  <c r="O108" i="39"/>
  <c r="F164"/>
  <c r="O110"/>
  <c r="F166"/>
  <c r="Z25" i="36"/>
  <c r="R100"/>
  <c r="O151"/>
  <c r="O98" i="38"/>
  <c r="F148"/>
  <c r="O115" i="39"/>
  <c r="F171"/>
  <c r="R86" i="36"/>
  <c r="Z11"/>
  <c r="O137"/>
  <c r="O138"/>
  <c r="R87"/>
  <c r="Z12"/>
  <c r="R96"/>
  <c r="O147"/>
  <c r="Z21"/>
  <c r="F144" i="38"/>
  <c r="O94"/>
  <c r="E145" i="27"/>
  <c r="K145" s="1"/>
  <c r="L145" s="1"/>
  <c r="U14" s="1"/>
  <c r="T14" s="1"/>
  <c r="E144"/>
  <c r="R97" i="36"/>
  <c r="Z22"/>
  <c r="O148"/>
  <c r="X64" i="41"/>
  <c r="Y64"/>
  <c r="X66"/>
  <c r="Y66"/>
  <c r="Z9" i="36"/>
  <c r="R84"/>
  <c r="O135"/>
  <c r="O104" i="39"/>
  <c r="F160"/>
  <c r="O97" i="38"/>
  <c r="F147"/>
  <c r="O102"/>
  <c r="F152"/>
  <c r="O149" i="36"/>
  <c r="R98"/>
  <c r="Z23"/>
  <c r="F154" i="38"/>
  <c r="O104"/>
  <c r="Y59" i="41"/>
  <c r="X59"/>
  <c r="O141" i="36"/>
  <c r="Z15"/>
  <c r="R90"/>
  <c r="X70" i="41"/>
  <c r="Y70"/>
  <c r="O100" i="38"/>
  <c r="F150"/>
  <c r="F142"/>
  <c r="O92"/>
  <c r="F138"/>
  <c r="O88"/>
  <c r="O103"/>
  <c r="F153"/>
  <c r="X63" i="41"/>
  <c r="Y63"/>
  <c r="O111" i="39"/>
  <c r="F167"/>
  <c r="Y73" i="41"/>
  <c r="X73"/>
  <c r="Y65"/>
  <c r="X65"/>
  <c r="E173" i="27"/>
  <c r="K173" s="1"/>
  <c r="L173" s="1"/>
  <c r="U21" s="1"/>
  <c r="T21" s="1"/>
  <c r="E172"/>
  <c r="Y60" i="41"/>
  <c r="X60"/>
  <c r="O101" i="38"/>
  <c r="F151"/>
  <c r="X61" i="41"/>
  <c r="Y61"/>
  <c r="X75"/>
  <c r="Y75"/>
  <c r="R94" i="36"/>
  <c r="O145"/>
  <c r="Z19"/>
  <c r="O107" i="39"/>
  <c r="F163"/>
  <c r="Y68" i="41"/>
  <c r="X68"/>
  <c r="F140" i="38"/>
  <c r="O90"/>
  <c r="F143"/>
  <c r="O93"/>
  <c r="Y76" i="41"/>
  <c r="X76"/>
  <c r="O105" i="39"/>
  <c r="F161"/>
  <c r="Y74" i="41"/>
  <c r="X74"/>
  <c r="F137" i="38"/>
  <c r="O87"/>
  <c r="X67" i="41"/>
  <c r="Y67"/>
  <c r="O102" i="39"/>
  <c r="F158"/>
  <c r="X72" i="41"/>
  <c r="Y72"/>
  <c r="O99" i="39"/>
  <c r="F155"/>
  <c r="O95" i="38"/>
  <c r="F145"/>
  <c r="O134" i="36"/>
  <c r="R83"/>
  <c r="Z8"/>
  <c r="R89"/>
  <c r="Z14"/>
  <c r="O140"/>
  <c r="E160" i="27" l="1"/>
  <c r="E140"/>
  <c r="E129"/>
  <c r="K129" s="1"/>
  <c r="L129" s="1"/>
  <c r="U10" s="1"/>
  <c r="T10" s="1"/>
  <c r="E148"/>
  <c r="E121"/>
  <c r="K121" s="1"/>
  <c r="L121" s="1"/>
  <c r="U8" s="1"/>
  <c r="T8" s="1"/>
  <c r="O154" i="38"/>
  <c r="R154" s="1"/>
  <c r="R104"/>
  <c r="AA26"/>
  <c r="AA16"/>
  <c r="R94"/>
  <c r="O144"/>
  <c r="R144" s="1"/>
  <c r="AL18" i="36"/>
  <c r="AN18" s="1"/>
  <c r="V42"/>
  <c r="U42"/>
  <c r="AB18"/>
  <c r="R144"/>
  <c r="R109" i="39"/>
  <c r="O165"/>
  <c r="R165" s="1"/>
  <c r="R100"/>
  <c r="O156"/>
  <c r="R156" s="1"/>
  <c r="V48" i="36"/>
  <c r="AB24"/>
  <c r="AL24"/>
  <c r="AN24" s="1"/>
  <c r="R150"/>
  <c r="U48"/>
  <c r="R112" i="39"/>
  <c r="O168"/>
  <c r="R168" s="1"/>
  <c r="U47" i="36"/>
  <c r="R149"/>
  <c r="AL23"/>
  <c r="AN23" s="1"/>
  <c r="V47"/>
  <c r="AB23"/>
  <c r="O160" i="39"/>
  <c r="R160" s="1"/>
  <c r="R104"/>
  <c r="AB21" i="36"/>
  <c r="AL21"/>
  <c r="AN21" s="1"/>
  <c r="R147"/>
  <c r="V45"/>
  <c r="U45"/>
  <c r="AL11"/>
  <c r="AN11" s="1"/>
  <c r="V35"/>
  <c r="AB11"/>
  <c r="U35"/>
  <c r="R137"/>
  <c r="O166" i="39"/>
  <c r="R166" s="1"/>
  <c r="R110"/>
  <c r="U34" i="36"/>
  <c r="AL10"/>
  <c r="AN10" s="1"/>
  <c r="V34"/>
  <c r="R136"/>
  <c r="AB10"/>
  <c r="R114" i="39"/>
  <c r="O170"/>
  <c r="R170" s="1"/>
  <c r="O172"/>
  <c r="R172" s="1"/>
  <c r="R116"/>
  <c r="R146" i="36"/>
  <c r="AL20"/>
  <c r="AN20" s="1"/>
  <c r="V44"/>
  <c r="AB20"/>
  <c r="U44"/>
  <c r="V38"/>
  <c r="AL14"/>
  <c r="AN14" s="1"/>
  <c r="U38"/>
  <c r="R140"/>
  <c r="AB14"/>
  <c r="V32"/>
  <c r="AL8"/>
  <c r="AN8" s="1"/>
  <c r="U32"/>
  <c r="R134"/>
  <c r="AB8"/>
  <c r="R90" i="38"/>
  <c r="AA12"/>
  <c r="O140"/>
  <c r="R140" s="1"/>
  <c r="R88"/>
  <c r="AA10"/>
  <c r="O138"/>
  <c r="R138" s="1"/>
  <c r="V33" i="36"/>
  <c r="R135"/>
  <c r="U33"/>
  <c r="AL9"/>
  <c r="AN9" s="1"/>
  <c r="AB9"/>
  <c r="R151"/>
  <c r="AL25"/>
  <c r="AN25" s="1"/>
  <c r="U49"/>
  <c r="AB25"/>
  <c r="V49"/>
  <c r="V40"/>
  <c r="AB16"/>
  <c r="U40"/>
  <c r="AL16"/>
  <c r="AN16" s="1"/>
  <c r="R142"/>
  <c r="O169" i="39"/>
  <c r="R169" s="1"/>
  <c r="R113"/>
  <c r="R96" i="38"/>
  <c r="AA18"/>
  <c r="O146"/>
  <c r="R146" s="1"/>
  <c r="R139" i="36"/>
  <c r="U37"/>
  <c r="AL13"/>
  <c r="V37"/>
  <c r="AB13"/>
  <c r="O141" i="38"/>
  <c r="R141" s="1"/>
  <c r="R91"/>
  <c r="AA13"/>
  <c r="R87"/>
  <c r="O137"/>
  <c r="R137" s="1"/>
  <c r="AA9"/>
  <c r="O143"/>
  <c r="R143" s="1"/>
  <c r="AA15"/>
  <c r="R93"/>
  <c r="AB19" i="36"/>
  <c r="V43"/>
  <c r="AL19"/>
  <c r="AN19" s="1"/>
  <c r="U43"/>
  <c r="R145"/>
  <c r="R92" i="38"/>
  <c r="AA14"/>
  <c r="O142"/>
  <c r="R142" s="1"/>
  <c r="U39" i="36"/>
  <c r="AL15"/>
  <c r="AN15" s="1"/>
  <c r="R141"/>
  <c r="AB15"/>
  <c r="V39"/>
  <c r="R89" i="38"/>
  <c r="O139"/>
  <c r="R139" s="1"/>
  <c r="AA11"/>
  <c r="R95"/>
  <c r="AA17"/>
  <c r="O145"/>
  <c r="R145" s="1"/>
  <c r="O158" i="39"/>
  <c r="R158" s="1"/>
  <c r="R102"/>
  <c r="R105"/>
  <c r="O161"/>
  <c r="R161" s="1"/>
  <c r="O163"/>
  <c r="R163" s="1"/>
  <c r="R107"/>
  <c r="R103" i="38"/>
  <c r="O153"/>
  <c r="R153" s="1"/>
  <c r="AA25"/>
  <c r="O150"/>
  <c r="R150" s="1"/>
  <c r="R100"/>
  <c r="AA22"/>
  <c r="O152"/>
  <c r="R152" s="1"/>
  <c r="R102"/>
  <c r="AA24"/>
  <c r="R115" i="39"/>
  <c r="O171"/>
  <c r="R171" s="1"/>
  <c r="AL17" i="36"/>
  <c r="AN17" s="1"/>
  <c r="V41"/>
  <c r="U41"/>
  <c r="AB17"/>
  <c r="R143"/>
  <c r="R106" i="39"/>
  <c r="O162"/>
  <c r="R162" s="1"/>
  <c r="O155"/>
  <c r="R155" s="1"/>
  <c r="R99"/>
  <c r="O151" i="38"/>
  <c r="R151" s="1"/>
  <c r="AA23"/>
  <c r="R101"/>
  <c r="O167" i="39"/>
  <c r="R167" s="1"/>
  <c r="R111"/>
  <c r="O147" i="38"/>
  <c r="R147" s="1"/>
  <c r="R97"/>
  <c r="AA19"/>
  <c r="AL22" i="36"/>
  <c r="AN22" s="1"/>
  <c r="AB22"/>
  <c r="U46"/>
  <c r="V46"/>
  <c r="R148"/>
  <c r="V36"/>
  <c r="AL12"/>
  <c r="AN12" s="1"/>
  <c r="U36"/>
  <c r="R138"/>
  <c r="AB12"/>
  <c r="R98" i="38"/>
  <c r="O148"/>
  <c r="R148" s="1"/>
  <c r="AA20"/>
  <c r="R108" i="39"/>
  <c r="O164"/>
  <c r="R164" s="1"/>
  <c r="O159"/>
  <c r="R159" s="1"/>
  <c r="R103"/>
  <c r="O149" i="38"/>
  <c r="R149" s="1"/>
  <c r="R99"/>
  <c r="AA21"/>
  <c r="R101" i="39"/>
  <c r="O157"/>
  <c r="R157" s="1"/>
  <c r="U42" l="1"/>
  <c r="V9" i="41"/>
  <c r="U49" i="39"/>
  <c r="V16" i="41"/>
  <c r="V45" i="38"/>
  <c r="AC20"/>
  <c r="AM20"/>
  <c r="AO20" s="1"/>
  <c r="AM19"/>
  <c r="AO19" s="1"/>
  <c r="V44"/>
  <c r="AC19"/>
  <c r="U40" i="39"/>
  <c r="V7" i="41"/>
  <c r="AM24" i="38"/>
  <c r="AO24" s="1"/>
  <c r="AC24"/>
  <c r="V15" i="41"/>
  <c r="U48" i="39"/>
  <c r="V40" i="38"/>
  <c r="AM15"/>
  <c r="AC15"/>
  <c r="U44" i="39"/>
  <c r="V11" i="41"/>
  <c r="AC10" i="38"/>
  <c r="AM10"/>
  <c r="AO10" s="1"/>
  <c r="V35"/>
  <c r="AM12"/>
  <c r="AO12" s="1"/>
  <c r="V37"/>
  <c r="AC12"/>
  <c r="V24" i="41"/>
  <c r="AM21" i="38"/>
  <c r="AO21" s="1"/>
  <c r="V46"/>
  <c r="AC21"/>
  <c r="V23" i="41"/>
  <c r="AN13" i="36"/>
  <c r="AN27" s="1"/>
  <c r="AL27"/>
  <c r="V18" i="41"/>
  <c r="U51" i="39"/>
  <c r="U45"/>
  <c r="V12" i="41"/>
  <c r="V20"/>
  <c r="AM26" i="38"/>
  <c r="AO26" s="1"/>
  <c r="AC26"/>
  <c r="U43" i="39"/>
  <c r="V10" i="41"/>
  <c r="AM11" i="38"/>
  <c r="AO11" s="1"/>
  <c r="V36"/>
  <c r="AC11"/>
  <c r="AC18"/>
  <c r="AM18"/>
  <c r="AO18" s="1"/>
  <c r="V43"/>
  <c r="V22" i="41"/>
  <c r="AM23" i="38"/>
  <c r="AO23" s="1"/>
  <c r="AC23"/>
  <c r="V42"/>
  <c r="AC17"/>
  <c r="AM17"/>
  <c r="AO17" s="1"/>
  <c r="V39"/>
  <c r="AM14"/>
  <c r="AO14" s="1"/>
  <c r="AC14"/>
  <c r="V38"/>
  <c r="AC13"/>
  <c r="AM13"/>
  <c r="AO13" s="1"/>
  <c r="V21" i="41"/>
  <c r="V8"/>
  <c r="U41" i="39"/>
  <c r="U52"/>
  <c r="V19" i="41"/>
  <c r="V14"/>
  <c r="U47" i="39"/>
  <c r="AM22" i="38"/>
  <c r="AO22" s="1"/>
  <c r="AC22"/>
  <c r="AM25"/>
  <c r="AO25" s="1"/>
  <c r="AC25"/>
  <c r="U46" i="39"/>
  <c r="V13" i="41"/>
  <c r="V34" i="38"/>
  <c r="AM9"/>
  <c r="AO9" s="1"/>
  <c r="AC9"/>
  <c r="V17" i="41"/>
  <c r="U50" i="39"/>
  <c r="AC16" i="38"/>
  <c r="V41"/>
  <c r="AM16"/>
  <c r="AO16" s="1"/>
  <c r="X21" i="41" l="1"/>
  <c r="Y21"/>
  <c r="X7"/>
  <c r="Y7"/>
  <c r="X13"/>
  <c r="Y13"/>
  <c r="Y10"/>
  <c r="X10"/>
  <c r="X24"/>
  <c r="Y24"/>
  <c r="X15"/>
  <c r="Y15"/>
  <c r="X9"/>
  <c r="Y9"/>
  <c r="X19"/>
  <c r="Y19"/>
  <c r="X8"/>
  <c r="Y8"/>
  <c r="Y17"/>
  <c r="X17"/>
  <c r="Y14"/>
  <c r="X14"/>
  <c r="Y12"/>
  <c r="X12"/>
  <c r="X23"/>
  <c r="Y23"/>
  <c r="Y18"/>
  <c r="X18"/>
  <c r="AM28" i="38"/>
  <c r="AO15"/>
  <c r="AO28" s="1"/>
  <c r="Y22" i="41"/>
  <c r="X22"/>
  <c r="Y20"/>
  <c r="X20"/>
  <c r="Y11"/>
  <c r="X11"/>
  <c r="Y16"/>
  <c r="X16"/>
  <c r="T43" i="6" l="1"/>
  <c r="D43" i="1" l="1"/>
  <c r="I43" s="1"/>
  <c r="K43" l="1"/>
  <c r="N43"/>
  <c r="O43" s="1"/>
  <c r="P43"/>
  <c r="R43" l="1"/>
  <c r="Q43"/>
  <c r="AH43"/>
  <c r="AU43" l="1"/>
  <c r="BK43"/>
  <c r="BL43" s="1"/>
  <c r="AP43"/>
  <c r="B443" i="23"/>
  <c r="B523" s="1"/>
  <c r="N443" l="1"/>
  <c r="B83" l="1"/>
  <c r="N523"/>
  <c r="B9" i="39"/>
  <c r="B65" s="1"/>
  <c r="D9" l="1"/>
  <c r="D65" s="1"/>
  <c r="AF603" i="23"/>
  <c r="B3"/>
  <c r="N3" s="1"/>
  <c r="N83"/>
  <c r="F9" i="39" l="1"/>
  <c r="F65" s="1"/>
  <c r="AR603" i="23"/>
  <c r="B603"/>
  <c r="N603" l="1"/>
  <c r="B123"/>
  <c r="O9" i="39"/>
  <c r="B43" i="23" l="1"/>
  <c r="N43" s="1"/>
  <c r="N123"/>
  <c r="R9" i="39"/>
  <c r="U9" s="1"/>
  <c r="Q9"/>
  <c r="Q65" s="1"/>
  <c r="X9"/>
  <c r="O65"/>
  <c r="R65" l="1"/>
  <c r="W8" i="36" l="1"/>
  <c r="W32" l="1"/>
  <c r="X32" s="1"/>
  <c r="X9" i="38"/>
  <c r="X8" i="36"/>
  <c r="W12" i="39"/>
  <c r="W10" i="36"/>
  <c r="W40" i="39" l="1"/>
  <c r="X40" s="1"/>
  <c r="X12"/>
  <c r="Y9" i="38"/>
  <c r="X34"/>
  <c r="Y34" s="1"/>
  <c r="W34" i="36"/>
  <c r="X34" s="1"/>
  <c r="X11" i="38"/>
  <c r="X10" i="36"/>
  <c r="W14" i="39"/>
  <c r="W9" i="36" l="1"/>
  <c r="W42" i="39"/>
  <c r="X42" s="1"/>
  <c r="X14"/>
  <c r="W11" i="36"/>
  <c r="X36" i="38"/>
  <c r="Y36" s="1"/>
  <c r="Y11"/>
  <c r="W12" i="36"/>
  <c r="W16" i="39" l="1"/>
  <c r="W36" i="36"/>
  <c r="X36" s="1"/>
  <c r="X12"/>
  <c r="X13" i="38"/>
  <c r="W33" i="36"/>
  <c r="X33" s="1"/>
  <c r="X10" i="38"/>
  <c r="W13" i="39"/>
  <c r="X9" i="36"/>
  <c r="W15" i="39"/>
  <c r="X12" i="38"/>
  <c r="W35" i="36"/>
  <c r="X35" s="1"/>
  <c r="X11"/>
  <c r="W13"/>
  <c r="X14" i="38" l="1"/>
  <c r="W37" i="36"/>
  <c r="X37" s="1"/>
  <c r="W17" i="39"/>
  <c r="X13" i="36"/>
  <c r="X38" i="38"/>
  <c r="Y38" s="1"/>
  <c r="Y13"/>
  <c r="X13" i="39"/>
  <c r="W41"/>
  <c r="X41" s="1"/>
  <c r="X37" i="38"/>
  <c r="Y37" s="1"/>
  <c r="Y12"/>
  <c r="X35"/>
  <c r="Y35" s="1"/>
  <c r="Y10"/>
  <c r="X15" i="39"/>
  <c r="W43"/>
  <c r="X43" s="1"/>
  <c r="W44"/>
  <c r="X44" s="1"/>
  <c r="X16"/>
  <c r="W14" i="36"/>
  <c r="W45" i="39" l="1"/>
  <c r="X45" s="1"/>
  <c r="X17"/>
  <c r="X14" i="36"/>
  <c r="W18" i="39"/>
  <c r="X15" i="38"/>
  <c r="W38" i="36"/>
  <c r="X38" s="1"/>
  <c r="Y14" i="38"/>
  <c r="X39"/>
  <c r="Y39" s="1"/>
  <c r="W15" i="36"/>
  <c r="W46" i="39" l="1"/>
  <c r="X46" s="1"/>
  <c r="X18"/>
  <c r="X15" i="36"/>
  <c r="X16" i="38"/>
  <c r="W39" i="36"/>
  <c r="X39" s="1"/>
  <c r="W19" i="39"/>
  <c r="X40" i="38"/>
  <c r="Y40" s="1"/>
  <c r="Y15"/>
  <c r="W16" i="36" l="1"/>
  <c r="X41" i="38"/>
  <c r="Y41" s="1"/>
  <c r="Y16"/>
  <c r="W47" i="39"/>
  <c r="X47" s="1"/>
  <c r="X19"/>
  <c r="X17" i="38" l="1"/>
  <c r="W20" i="39"/>
  <c r="W40" i="36"/>
  <c r="X40" s="1"/>
  <c r="X16"/>
  <c r="W17"/>
  <c r="X17" l="1"/>
  <c r="W41"/>
  <c r="X41" s="1"/>
  <c r="X18" i="38"/>
  <c r="W21" i="39"/>
  <c r="W48"/>
  <c r="X48" s="1"/>
  <c r="X20"/>
  <c r="W18" i="36"/>
  <c r="X42" i="38"/>
  <c r="Y42" s="1"/>
  <c r="Y17"/>
  <c r="W22" i="39" l="1"/>
  <c r="W42" i="36"/>
  <c r="X42" s="1"/>
  <c r="X18"/>
  <c r="X19" i="38"/>
  <c r="X21" i="39"/>
  <c r="W49"/>
  <c r="X49" s="1"/>
  <c r="W19" i="36"/>
  <c r="X43" i="38"/>
  <c r="Y43" s="1"/>
  <c r="Y18"/>
  <c r="X20" l="1"/>
  <c r="X19" i="36"/>
  <c r="W23" i="39"/>
  <c r="W43" i="36"/>
  <c r="X43" s="1"/>
  <c r="X44" i="38"/>
  <c r="Y44" s="1"/>
  <c r="Y19"/>
  <c r="W20" i="36"/>
  <c r="W50" i="39"/>
  <c r="X50" s="1"/>
  <c r="X22"/>
  <c r="W21" i="36" l="1"/>
  <c r="W44"/>
  <c r="X44" s="1"/>
  <c r="W24" i="39"/>
  <c r="X21" i="38"/>
  <c r="X20" i="36"/>
  <c r="W51" i="39"/>
  <c r="X51" s="1"/>
  <c r="X23"/>
  <c r="Y20" i="38"/>
  <c r="X45"/>
  <c r="Y45" s="1"/>
  <c r="X24" i="39" l="1"/>
  <c r="W52"/>
  <c r="X52" s="1"/>
  <c r="W22" i="36"/>
  <c r="W25" i="39"/>
  <c r="X25" s="1"/>
  <c r="W45" i="36"/>
  <c r="X45" s="1"/>
  <c r="X21"/>
  <c r="X22" i="38"/>
  <c r="Y22" s="1"/>
  <c r="X46"/>
  <c r="Y46" s="1"/>
  <c r="Y21"/>
  <c r="W46" i="36" l="1"/>
  <c r="X46" s="1"/>
  <c r="X22"/>
  <c r="W23"/>
  <c r="W47" l="1"/>
  <c r="X47" s="1"/>
  <c r="X23"/>
  <c r="W25" l="1"/>
  <c r="X25" l="1"/>
  <c r="W49"/>
  <c r="X49" s="1"/>
  <c r="W24"/>
  <c r="W48" l="1"/>
  <c r="X48" s="1"/>
  <c r="X24"/>
</calcChain>
</file>

<file path=xl/comments1.xml><?xml version="1.0" encoding="utf-8"?>
<comments xmlns="http://schemas.openxmlformats.org/spreadsheetml/2006/main">
  <authors>
    <author>Corporate User</author>
    <author>ot05219</author>
  </authors>
  <commentList>
    <comment ref="S5" authorId="0">
      <text>
        <r>
          <rPr>
            <b/>
            <sz val="8"/>
            <color indexed="81"/>
            <rFont val="Tahoma"/>
            <family val="2"/>
          </rPr>
          <t>Corporate User: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Weather data is in Lynch\Demand\mpktmp.xls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Additional growth due to Feb peak rather than Jan.  Seasonal custs are higher.</t>
        </r>
      </text>
    </comment>
    <comment ref="AM41" authorId="1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Probably acts more like a Holiday Dummy.</t>
        </r>
      </text>
    </comment>
  </commentList>
</comments>
</file>

<file path=xl/comments10.xml><?xml version="1.0" encoding="utf-8"?>
<comments xmlns="http://schemas.openxmlformats.org/spreadsheetml/2006/main">
  <authors>
    <author>ot05219</author>
  </authors>
  <commentList>
    <comment ref="H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Q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Included Chattahoochie generator.</t>
        </r>
      </text>
    </comment>
    <comment ref="H32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H5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Q8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Included Chattahoochie generator.</t>
        </r>
      </text>
    </comment>
    <comment ref="H110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H13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</commentList>
</comments>
</file>

<file path=xl/comments2.xml><?xml version="1.0" encoding="utf-8"?>
<comments xmlns="http://schemas.openxmlformats.org/spreadsheetml/2006/main">
  <authors>
    <author>Corporate User</author>
  </authors>
  <commentList>
    <comment ref="Y5" authorId="0">
      <text>
        <r>
          <rPr>
            <b/>
            <sz val="8"/>
            <color indexed="81"/>
            <rFont val="Tahoma"/>
            <family val="2"/>
          </rPr>
          <t>Corporate User:</t>
        </r>
        <r>
          <rPr>
            <sz val="8"/>
            <color indexed="81"/>
            <rFont val="Tahoma"/>
            <family val="2"/>
          </rPr>
          <t xml:space="preserve">
Weather data is in:
C:\Lynch\Demand\mpktmp.xls</t>
        </r>
      </text>
    </comment>
  </commentList>
</comments>
</file>

<file path=xl/comments3.xml><?xml version="1.0" encoding="utf-8"?>
<comments xmlns="http://schemas.openxmlformats.org/spreadsheetml/2006/main">
  <authors>
    <author>ot05219</author>
  </authors>
  <commentList>
    <comment ref="AG21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bad rain holding down actual load.</t>
        </r>
      </text>
    </comment>
  </commentList>
</comments>
</file>

<file path=xl/comments4.xml><?xml version="1.0" encoding="utf-8"?>
<comments xmlns="http://schemas.openxmlformats.org/spreadsheetml/2006/main">
  <authors>
    <author>ot05219</author>
  </authors>
  <commentList>
    <comment ref="V31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Time Share Chg-out removed!</t>
        </r>
      </text>
    </comment>
  </commentList>
</comments>
</file>

<file path=xl/comments5.xml><?xml version="1.0" encoding="utf-8"?>
<comments xmlns="http://schemas.openxmlformats.org/spreadsheetml/2006/main">
  <authors>
    <author>Lynch, Edward V</author>
  </authors>
  <commentList>
    <comment ref="AH45" authorId="0">
      <text>
        <r>
          <rPr>
            <b/>
            <sz val="8"/>
            <color indexed="81"/>
            <rFont val="Tahoma"/>
            <family val="2"/>
          </rPr>
          <t>Lynch, Edward V:</t>
        </r>
        <r>
          <rPr>
            <sz val="8"/>
            <color indexed="81"/>
            <rFont val="Tahoma"/>
            <family val="2"/>
          </rPr>
          <t xml:space="preserve">
Day after Labor Day.</t>
        </r>
      </text>
    </comment>
  </commentList>
</comments>
</file>

<file path=xl/comments6.xml><?xml version="1.0" encoding="utf-8"?>
<comments xmlns="http://schemas.openxmlformats.org/spreadsheetml/2006/main">
  <authors>
    <author>ot05219</author>
    <author>Lynch, Edward V</author>
  </authors>
  <commentList>
    <comment ref="Q8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Controllable MW before Interruption (history).</t>
        </r>
      </text>
    </comment>
    <comment ref="E32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Not an official "cut-off" but IS did drop due to fear of cut-off.</t>
        </r>
      </text>
    </comment>
    <comment ref="K32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Not an official "cut-off" but IS did drop due to fear of cut-off.</t>
        </r>
      </text>
    </comment>
    <comment ref="D39" authorId="1">
      <text>
        <r>
          <rPr>
            <b/>
            <sz val="8"/>
            <color indexed="81"/>
            <rFont val="Tahoma"/>
            <family val="2"/>
          </rPr>
          <t>Lynch, Edward V:</t>
        </r>
        <r>
          <rPr>
            <sz val="8"/>
            <color indexed="81"/>
            <rFont val="Tahoma"/>
            <family val="2"/>
          </rPr>
          <t xml:space="preserve">
-8 MW due to new SS cogen at Pacific Pride in Live Oak, FL.</t>
        </r>
      </text>
    </comment>
    <comment ref="S73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Shape of last full year of data is important for monthly forecast.</t>
        </r>
      </text>
    </comment>
    <comment ref="S113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Shape of last full year of data is important for monthly forecast.</t>
        </r>
      </text>
    </comment>
    <comment ref="T120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Buckeye SS Gen 10 MW removed from CST.</t>
        </r>
      </text>
    </comment>
    <comment ref="AQ160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Buy All/Sell All.</t>
        </r>
      </text>
    </comment>
    <comment ref="S166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It's important to discover average change from existing actuals in this year. Smoothing may occur.</t>
        </r>
      </text>
    </comment>
  </commentList>
</comments>
</file>

<file path=xl/comments7.xml><?xml version="1.0" encoding="utf-8"?>
<comments xmlns="http://schemas.openxmlformats.org/spreadsheetml/2006/main">
  <authors>
    <author>ot05219</author>
  </authors>
  <commentList>
    <comment ref="A400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Median Case using data from 1991-2011.</t>
        </r>
      </text>
    </comment>
    <comment ref="AI56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Buckeye SS increase (+10MW) and UCF SS Gen (+5MW).</t>
        </r>
      </text>
    </comment>
    <comment ref="AE566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C.F. Mining SS Generator (+55MW).</t>
        </r>
      </text>
    </comment>
  </commentList>
</comments>
</file>

<file path=xl/comments8.xml><?xml version="1.0" encoding="utf-8"?>
<comments xmlns="http://schemas.openxmlformats.org/spreadsheetml/2006/main">
  <authors>
    <author>ot05219</author>
  </authors>
  <commentList>
    <comment ref="H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Q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Includes Chattahoochie generator.</t>
        </r>
      </text>
    </comment>
    <comment ref="H31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Q82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Includes Chattahoochie generator.</t>
        </r>
      </text>
    </comment>
    <comment ref="H106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H133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</commentList>
</comments>
</file>

<file path=xl/comments9.xml><?xml version="1.0" encoding="utf-8"?>
<comments xmlns="http://schemas.openxmlformats.org/spreadsheetml/2006/main">
  <authors>
    <author>ot05219</author>
  </authors>
  <commentList>
    <comment ref="H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Q7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Included Chattahoochie generator.</t>
        </r>
      </text>
    </comment>
    <comment ref="H35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H63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H94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Q94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Included Chattahoochie generator.</t>
        </r>
      </text>
    </comment>
    <comment ref="H122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  <comment ref="H150" authorId="0">
      <text>
        <r>
          <rPr>
            <b/>
            <sz val="8"/>
            <color indexed="81"/>
            <rFont val="Tahoma"/>
            <family val="2"/>
          </rPr>
          <t>ot05219:</t>
        </r>
        <r>
          <rPr>
            <sz val="8"/>
            <color indexed="81"/>
            <rFont val="Tahoma"/>
            <family val="2"/>
          </rPr>
          <t xml:space="preserve">
SECI  total excluding IS contracts.</t>
        </r>
      </text>
    </comment>
  </commentList>
</comments>
</file>

<file path=xl/sharedStrings.xml><?xml version="1.0" encoding="utf-8"?>
<sst xmlns="http://schemas.openxmlformats.org/spreadsheetml/2006/main" count="3294" uniqueCount="637">
  <si>
    <t>TOTAL</t>
  </si>
  <si>
    <t>FIRM</t>
  </si>
  <si>
    <t>LM</t>
  </si>
  <si>
    <t>VR</t>
  </si>
  <si>
    <t>DAY OF</t>
  </si>
  <si>
    <t>RECORDED</t>
  </si>
  <si>
    <t>RETAIL</t>
  </si>
  <si>
    <t>NOT</t>
  </si>
  <si>
    <t>WGTD</t>
  </si>
  <si>
    <t>YEAR</t>
  </si>
  <si>
    <t>DATE / HOUR</t>
  </si>
  <si>
    <t>WEEK</t>
  </si>
  <si>
    <t>PEAK</t>
  </si>
  <si>
    <t>SERVED</t>
  </si>
  <si>
    <t>CURT.</t>
  </si>
  <si>
    <t>EXER.</t>
  </si>
  <si>
    <t>UNADJ.</t>
  </si>
  <si>
    <t>TEMP</t>
  </si>
  <si>
    <t>FRU</t>
  </si>
  <si>
    <t>SUMMARY OUTPUT</t>
  </si>
  <si>
    <t>SS</t>
  </si>
  <si>
    <t>Total</t>
  </si>
  <si>
    <t>Intercept</t>
  </si>
  <si>
    <t>CUSTOMERS</t>
  </si>
  <si>
    <t>I N T E R R U P T I B L E</t>
  </si>
  <si>
    <t>CURTAILABLE</t>
  </si>
  <si>
    <t>MW</t>
  </si>
  <si>
    <t>T O T A 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</si>
  <si>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</si>
  <si>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</si>
  <si>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</si>
  <si>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</si>
  <si>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</si>
  <si>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</si>
  <si>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</si>
  <si>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</si>
  <si>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</si>
  <si>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</si>
  <si>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</si>
  <si>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</si>
  <si>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INT.</t>
  </si>
  <si>
    <t>ACT.</t>
  </si>
  <si>
    <t>PHOS.</t>
  </si>
  <si>
    <t xml:space="preserve"> FIRM</t>
  </si>
  <si>
    <t>IS &amp; CS</t>
  </si>
  <si>
    <t>W</t>
  </si>
  <si>
    <t>I</t>
  </si>
  <si>
    <t>N</t>
  </si>
  <si>
    <t>T</t>
  </si>
  <si>
    <t>E</t>
  </si>
  <si>
    <t>R</t>
  </si>
  <si>
    <t>C S</t>
  </si>
  <si>
    <t>P H O S</t>
  </si>
  <si>
    <t>AVG</t>
  </si>
  <si>
    <t>VOLTAGE REDUCTION</t>
  </si>
  <si>
    <t>COMPANY USE</t>
  </si>
  <si>
    <t>SUM</t>
  </si>
  <si>
    <t>NON-DISP</t>
  </si>
  <si>
    <t>POTENTIAL</t>
  </si>
  <si>
    <t>DSM</t>
  </si>
  <si>
    <t>SYSTEM</t>
  </si>
  <si>
    <t>BEFORE</t>
  </si>
  <si>
    <t>DLC</t>
  </si>
  <si>
    <t>@ GENERATOR LEVEL</t>
  </si>
  <si>
    <t>@</t>
  </si>
  <si>
    <t>Generator</t>
  </si>
  <si>
    <t>IS/CS</t>
  </si>
  <si>
    <t>Dispatchable DSM - Commercial LM</t>
  </si>
  <si>
    <t>Dispatchable DSM - Standby Generation</t>
  </si>
  <si>
    <t>FIRM LOAD</t>
  </si>
  <si>
    <t>LOAD CONTROL EXERCISED</t>
  </si>
  <si>
    <t>WHOLE-</t>
  </si>
  <si>
    <t>BEFORE DSM</t>
  </si>
  <si>
    <t xml:space="preserve">Adj. for EDB </t>
  </si>
  <si>
    <t>HW</t>
  </si>
  <si>
    <t>SALE</t>
  </si>
  <si>
    <t>PROGRAMS</t>
  </si>
  <si>
    <t>COGEN</t>
  </si>
  <si>
    <t>(67/33)</t>
  </si>
  <si>
    <t>Recession</t>
  </si>
  <si>
    <t>Dummy</t>
  </si>
  <si>
    <t>Pred.</t>
  </si>
  <si>
    <t>Error</t>
  </si>
  <si>
    <t>Co. Use</t>
  </si>
  <si>
    <t>Diff</t>
  </si>
  <si>
    <t>FEBRUARY PEAK DEMAND COMPONENTS</t>
  </si>
  <si>
    <t>FIRM RETAIL UNADJUSTED DEMAND FORECAST - FEBRUARY</t>
  </si>
  <si>
    <t xml:space="preserve">SS </t>
  </si>
  <si>
    <t>DATE</t>
  </si>
  <si>
    <t>HR</t>
  </si>
  <si>
    <t>DOW</t>
  </si>
  <si>
    <t>SYS PK</t>
  </si>
  <si>
    <t>RETAIL PK</t>
  </si>
  <si>
    <t>LM,HW&amp;VR</t>
  </si>
  <si>
    <t>INTERR.</t>
  </si>
  <si>
    <t>FR CURT.</t>
  </si>
  <si>
    <t>5HR</t>
  </si>
  <si>
    <t>CUSTS</t>
  </si>
  <si>
    <t>PRED</t>
  </si>
  <si>
    <t>ERROR</t>
  </si>
  <si>
    <t>CO. USE</t>
  </si>
  <si>
    <t>MARCH PEAK DEMAND COMPONENTS</t>
  </si>
  <si>
    <t>FIRM RETAIL UNADJUSTED DEMAND FORECAST - MARCH</t>
  </si>
  <si>
    <t>OCTOBER PEAK DEMAND COMPONENTS</t>
  </si>
  <si>
    <t>NOVEMBER PEAK DEMAND COMPONENTS</t>
  </si>
  <si>
    <t>SEPTEMBER PEAK DEMAND COMPONENTS</t>
  </si>
  <si>
    <t>JULY PEAK DEMAND COMPONENTS</t>
  </si>
  <si>
    <t>JUNE PEAK DEMAND COMPONENTS</t>
  </si>
  <si>
    <t>MAY PEAK DEMAND COMPONENTS</t>
  </si>
  <si>
    <t>APRIL PEAK DEMAND COMPONENTS</t>
  </si>
  <si>
    <t>DECEMBER PEAK DEMAND COMPONENTS</t>
  </si>
  <si>
    <t>FIRM RETAIL UNADJUSTED DEMAND FORECAST - MAY</t>
  </si>
  <si>
    <t>FIRM RETAIL UNADJUSTED DEMAND FORECAST - OCTOBER</t>
  </si>
  <si>
    <t>FIRM RETAIL UNADJUSTED DEMAND FORECAST - NOVEMBER</t>
  </si>
  <si>
    <t>FIRM RETAIL UNADJUSTED DEMAND FORECAST - DECEMBER</t>
  </si>
  <si>
    <t>Hr/Wkend</t>
  </si>
  <si>
    <t>Regressed</t>
  </si>
  <si>
    <t>Firm</t>
  </si>
  <si>
    <t>Retail</t>
  </si>
  <si>
    <t>Unadj.</t>
  </si>
  <si>
    <t>Potential</t>
  </si>
  <si>
    <t>Non-Disp.</t>
  </si>
  <si>
    <t>before</t>
  </si>
  <si>
    <t>WHOLESALE</t>
  </si>
  <si>
    <t>Use</t>
  </si>
  <si>
    <t>System</t>
  </si>
  <si>
    <t>Year</t>
  </si>
  <si>
    <t>RETAIL IS/CS</t>
  </si>
  <si>
    <t>TOTAL SYSTEM FIRM</t>
  </si>
  <si>
    <t>Recession Dum</t>
  </si>
  <si>
    <t>Hr/Wkend Dum</t>
  </si>
  <si>
    <t>&amp; SBG</t>
  </si>
  <si>
    <t>Jan (Winter)</t>
  </si>
  <si>
    <t>Feb</t>
  </si>
  <si>
    <t>Mar</t>
  </si>
  <si>
    <t>Apr</t>
  </si>
  <si>
    <t>May</t>
  </si>
  <si>
    <t>Jun</t>
  </si>
  <si>
    <t>Jul</t>
  </si>
  <si>
    <t>Aug (Summer)</t>
  </si>
  <si>
    <t>Sep</t>
  </si>
  <si>
    <t>Oct</t>
  </si>
  <si>
    <t>Nov</t>
  </si>
  <si>
    <t>Dec</t>
  </si>
  <si>
    <t>Self-Service Cogen</t>
  </si>
  <si>
    <t>TOTAL DISPATCHABLE  DSM PROGRAMS (LM,VR &amp; Standby Generation) - note: Voltage Reduction November thru March</t>
  </si>
  <si>
    <t>Dispatchable DSM - Residential LM, Commercial LM and Standby Generation</t>
  </si>
  <si>
    <t>LM, VR</t>
  </si>
  <si>
    <t>Total System Demand before DLC - Percent of Load by Area</t>
  </si>
  <si>
    <t>Total system</t>
  </si>
  <si>
    <t>winter</t>
  </si>
  <si>
    <t>summer</t>
  </si>
  <si>
    <t>system</t>
  </si>
  <si>
    <t>less</t>
  </si>
  <si>
    <t>SECI</t>
  </si>
  <si>
    <t>Other</t>
  </si>
  <si>
    <t>by load area</t>
  </si>
  <si>
    <t>Demand by Load Area</t>
  </si>
  <si>
    <t>Winter</t>
  </si>
  <si>
    <t>Summer</t>
  </si>
  <si>
    <t>seci-fpc</t>
  </si>
  <si>
    <t>before dlc</t>
  </si>
  <si>
    <t>wholesale</t>
  </si>
  <si>
    <t>is/cs</t>
  </si>
  <si>
    <t>from multi-area model</t>
  </si>
  <si>
    <t>Suncoast</t>
  </si>
  <si>
    <t>other</t>
  </si>
  <si>
    <t>Hr dum</t>
  </si>
  <si>
    <t>Rec. Dum</t>
  </si>
  <si>
    <t>Custs</t>
  </si>
  <si>
    <t>Temp</t>
  </si>
  <si>
    <t>Variable:</t>
  </si>
  <si>
    <t>Coeff:</t>
  </si>
  <si>
    <t>se:</t>
  </si>
  <si>
    <t>r2 / se:</t>
  </si>
  <si>
    <t>F / df:</t>
  </si>
  <si>
    <t>ss_reg / ss_resid:</t>
  </si>
  <si>
    <t>t stat:</t>
  </si>
  <si>
    <t>TEMPERATURE VARIABLE : 5 HOUR AVERAGE , NORMAL TEMPERATURE : 25 YEAR AVERAGE</t>
  </si>
  <si>
    <t>History</t>
  </si>
  <si>
    <t>2Hr/24Hr</t>
  </si>
  <si>
    <t>Hr Dum</t>
  </si>
  <si>
    <t>Signifies lower peak due to early hr--assumes rain or DLC forcing Pk earlier than normal</t>
  </si>
  <si>
    <t>Hour Dum</t>
  </si>
  <si>
    <t>Inc all Whol</t>
  </si>
  <si>
    <t>30 Yr avg.</t>
  </si>
  <si>
    <t>SSR Adjmt</t>
  </si>
  <si>
    <t>RCusts w/</t>
  </si>
  <si>
    <t>SSR Custs</t>
  </si>
  <si>
    <t>% away</t>
  </si>
  <si>
    <t>in Month</t>
  </si>
  <si>
    <t>RCF</t>
  </si>
  <si>
    <t>&amp; TS &amp; SSR</t>
  </si>
  <si>
    <t>TEMPERATURE VARIABLE : 2/24 HOUR AVERAGE , NORMAL TEMPERATURE : 30 YEAR AVERAGE</t>
  </si>
  <si>
    <t>Yr-Yr Chg</t>
  </si>
  <si>
    <t>Yr-Yr Growth</t>
  </si>
  <si>
    <t>5Hr Avg</t>
  </si>
  <si>
    <t>CUSTS EDB</t>
  </si>
  <si>
    <t>TEMPERATURE VARIABLE : 2/24 HOUR AVERAGE , NORMAL TEMPERATURE : 27 YEAR AVERAGE (Morning Pks used)</t>
  </si>
  <si>
    <t>TEMPERATURE VARIABLE : 5 HOUR AVERAGE , NORMAL TEMPERATURE : 30 YEAR AVERAGE</t>
  </si>
  <si>
    <t>Hr Dummy=</t>
  </si>
  <si>
    <t>Date</t>
  </si>
  <si>
    <t>Hr</t>
  </si>
  <si>
    <t>R, C, I</t>
  </si>
  <si>
    <t>30 Year Normal</t>
  </si>
  <si>
    <t>Exercised</t>
  </si>
  <si>
    <t>Firm Retl</t>
  </si>
  <si>
    <t>Curtailed</t>
  </si>
  <si>
    <t>LM,SBG &amp;VR</t>
  </si>
  <si>
    <t>FIRM Retail</t>
  </si>
  <si>
    <t>PEAK DEMAND COMPONENTS - S U M M E R</t>
  </si>
  <si>
    <t>9/04/01</t>
  </si>
  <si>
    <t>TEMPERATURE VARIABLE : 5 HOUR AVERAGE , NORMAL TEMPERATURE  30 YEAR AVERAGE</t>
  </si>
  <si>
    <t>2Hr Avg</t>
  </si>
  <si>
    <t>2Hr Avg/24 Hr</t>
  </si>
  <si>
    <r>
      <t>RETAIL</t>
    </r>
    <r>
      <rPr>
        <b/>
        <sz val="8"/>
        <rFont val="Arial"/>
        <family val="2"/>
      </rPr>
      <t xml:space="preserve"> INTERRUPTIBLE/CURTAILABLE DEMAND FORECAST</t>
    </r>
  </si>
  <si>
    <t>The unavailability of hourly wholesale load and IS/CS loads prior to 1980 limits the number of observations in these models.</t>
  </si>
  <si>
    <t>The 30 year normal temperatures are:</t>
  </si>
  <si>
    <t>W I N T E R --  Peak Demand Components</t>
  </si>
  <si>
    <t>SYS REQ</t>
  </si>
  <si>
    <t>LF</t>
  </si>
  <si>
    <t>Capacity</t>
  </si>
  <si>
    <t xml:space="preserve">Available </t>
  </si>
  <si>
    <t>RM</t>
  </si>
  <si>
    <t>Retail Assumptions:</t>
  </si>
  <si>
    <t>Wholesale Assumptions:</t>
  </si>
  <si>
    <t>LT 210 KWh</t>
  </si>
  <si>
    <t>--&gt; are on SSR</t>
  </si>
  <si>
    <t>w/Co Use</t>
  </si>
  <si>
    <t>wadjmt</t>
  </si>
  <si>
    <t>W/A + Error</t>
  </si>
  <si>
    <t>Act FRU</t>
  </si>
  <si>
    <t>Pred w/Norm</t>
  </si>
  <si>
    <t>Pred</t>
  </si>
  <si>
    <t>AI</t>
  </si>
  <si>
    <t>AH</t>
  </si>
  <si>
    <t>2 Hr</t>
  </si>
  <si>
    <t>24 Hr</t>
  </si>
  <si>
    <t>Temp24</t>
  </si>
  <si>
    <t>Temp2</t>
  </si>
  <si>
    <t>Model Error</t>
  </si>
  <si>
    <t>SYSTEM Weighted</t>
  </si>
  <si>
    <t>TEMPERATURE VARIABLE : 2 + 24 HOUR AVERAGE , NORMAL TEMPERATURE : 30 YEAR AVERAGE</t>
  </si>
  <si>
    <t>Temp 2</t>
  </si>
  <si>
    <t>Recess Dum</t>
  </si>
  <si>
    <t>Wkend Dum</t>
  </si>
  <si>
    <t>ResCF</t>
  </si>
  <si>
    <t>9/18/02</t>
  </si>
  <si>
    <t>Loss</t>
  </si>
  <si>
    <t>Factor</t>
  </si>
  <si>
    <t>NONPHOS IS</t>
  </si>
  <si>
    <t>"Controllable"</t>
  </si>
  <si>
    <t>The last Actual year…makes a BIG difference with monthly Yr-over-Yr change.</t>
  </si>
  <si>
    <t xml:space="preserve">I S </t>
  </si>
  <si>
    <t>Generator Level</t>
  </si>
  <si>
    <t>TOTAL SYSTEM BEFORE DLC  (Total Retail + Company Use + Total Wholesale)</t>
  </si>
  <si>
    <t>2-Hr</t>
  </si>
  <si>
    <t>24-Hr</t>
  </si>
  <si>
    <t>5-Hr Average</t>
  </si>
  <si>
    <t>2/24 Hr</t>
  </si>
  <si>
    <t>2-Hr/24-Hr</t>
  </si>
  <si>
    <t>Winter Reserve Margin Review</t>
  </si>
  <si>
    <t>Summer Reserve Margin Review</t>
  </si>
  <si>
    <t>TOT SYS</t>
  </si>
  <si>
    <t>Co</t>
  </si>
  <si>
    <t>Dispatchable DSM - Residential LM @Generator</t>
  </si>
  <si>
    <t>SECI SUPL PEAKING DEMAND</t>
  </si>
  <si>
    <t>First Row #--&gt;</t>
  </si>
  <si>
    <t>Col Letter</t>
  </si>
  <si>
    <t>M</t>
  </si>
  <si>
    <t>B</t>
  </si>
  <si>
    <t>C</t>
  </si>
  <si>
    <t>D</t>
  </si>
  <si>
    <t>F</t>
  </si>
  <si>
    <t>G</t>
  </si>
  <si>
    <t>H</t>
  </si>
  <si>
    <t>J</t>
  </si>
  <si>
    <t>K</t>
  </si>
  <si>
    <t>L</t>
  </si>
  <si>
    <t>SALEFILE Input Area</t>
  </si>
  <si>
    <t>DLC Fcst</t>
  </si>
  <si>
    <t>WHOL F</t>
  </si>
  <si>
    <t>Sys Pre</t>
  </si>
  <si>
    <t>Sys</t>
  </si>
  <si>
    <t>Act</t>
  </si>
  <si>
    <t>Whole</t>
  </si>
  <si>
    <t>FR</t>
  </si>
  <si>
    <t>PR</t>
  </si>
  <si>
    <t>Muni</t>
  </si>
  <si>
    <t>SECI Contracts</t>
  </si>
  <si>
    <t>Interm</t>
  </si>
  <si>
    <t>SUPPL</t>
  </si>
  <si>
    <t>%</t>
  </si>
  <si>
    <t>SunCoast</t>
  </si>
  <si>
    <t>5-Hr Avg</t>
  </si>
  <si>
    <t>9/24/03</t>
  </si>
  <si>
    <r>
      <t>TEMPERATURE VARIABLE : 2/24 HOUR AVERAGE , NORMAL TEMPERATURE : 30 YEAR AVERAGE where TEMPERATURE &lt; 50</t>
    </r>
    <r>
      <rPr>
        <b/>
        <vertAlign val="superscript"/>
        <sz val="10"/>
        <rFont val="Arial"/>
        <family val="2"/>
      </rPr>
      <t>o</t>
    </r>
    <r>
      <rPr>
        <b/>
        <sz val="10"/>
        <rFont val="Arial"/>
        <family val="2"/>
      </rPr>
      <t xml:space="preserve"> F</t>
    </r>
  </si>
  <si>
    <t>Recorded IS &amp; CS Coincident Demands  (Meter Level)</t>
  </si>
  <si>
    <t>IS</t>
  </si>
  <si>
    <t>CS</t>
  </si>
  <si>
    <t>@ Meter</t>
  </si>
  <si>
    <t>Pk Hr Temp</t>
  </si>
  <si>
    <t>Weekend dum</t>
  </si>
  <si>
    <t>Weekend</t>
  </si>
  <si>
    <t>@gen</t>
  </si>
  <si>
    <t>TEMPERATURE VARIABLE : 5 HOUR AVERAGE , NORMAL TEMPERATURE : 30 YR AVG (1971-2000)</t>
  </si>
  <si>
    <t>CHATTAHOOCHIE STANDBY GENERATOR…REDUCES LOAD WHEN WE CALL ON IT.</t>
  </si>
  <si>
    <t>20 Yr Avg---&gt;</t>
  </si>
  <si>
    <r>
      <t>PEF TOTAL SYSTEM</t>
    </r>
    <r>
      <rPr>
        <b/>
        <sz val="10"/>
        <color indexed="10"/>
        <rFont val="Arial"/>
        <family val="2"/>
      </rPr>
      <t xml:space="preserve"> MINIMUM</t>
    </r>
    <r>
      <rPr>
        <b/>
        <sz val="10"/>
        <rFont val="Arial"/>
        <family val="2"/>
      </rPr>
      <t xml:space="preserve"> MONTHLY DEMANDS </t>
    </r>
  </si>
  <si>
    <t>Min/Max--&gt;</t>
  </si>
  <si>
    <t>MOCOINMW.xls</t>
  </si>
  <si>
    <t>Coincident MW</t>
  </si>
  <si>
    <t>EDB</t>
  </si>
  <si>
    <t>Adjusted</t>
  </si>
  <si>
    <t>Not incl in Model</t>
  </si>
  <si>
    <t>RETAIL Adj</t>
  </si>
  <si>
    <t>SSR &amp; EDB</t>
  </si>
  <si>
    <t>Projected Avg Growth (2005-10)--&gt;</t>
  </si>
  <si>
    <t>Historical Avg (1978-04)---&gt;</t>
  </si>
  <si>
    <t>9/02/04</t>
  </si>
  <si>
    <r>
      <t>Aug/</t>
    </r>
    <r>
      <rPr>
        <b/>
        <sz val="10"/>
        <color indexed="10"/>
        <rFont val="Arial"/>
        <family val="2"/>
      </rPr>
      <t>Sum</t>
    </r>
  </si>
  <si>
    <r>
      <t>Jan/</t>
    </r>
    <r>
      <rPr>
        <b/>
        <sz val="10"/>
        <color indexed="12"/>
        <rFont val="Arial"/>
        <family val="2"/>
      </rPr>
      <t>Winter</t>
    </r>
  </si>
  <si>
    <t>Forecast ROW in Monthly TAB</t>
  </si>
  <si>
    <t>is tricky.  Watch out!</t>
  </si>
  <si>
    <r>
      <t>Pking/</t>
    </r>
    <r>
      <rPr>
        <sz val="10"/>
        <color indexed="10"/>
        <rFont val="Arial"/>
        <family val="2"/>
      </rPr>
      <t>FR</t>
    </r>
  </si>
  <si>
    <t>Jan</t>
  </si>
  <si>
    <t>CUML.</t>
  </si>
  <si>
    <t>Aug</t>
  </si>
  <si>
    <t>30 Year Normal Weather Winter/Summer Design @ time of System coincident peak (Tampa, Orlando, Tallahassee).</t>
  </si>
  <si>
    <t>Peak Hr</t>
  </si>
  <si>
    <t>(Morning)</t>
  </si>
  <si>
    <t>(Afternoon)</t>
  </si>
  <si>
    <t>Meter Level</t>
  </si>
  <si>
    <t>1976-05</t>
  </si>
  <si>
    <t>Cntl-Shift-Enter</t>
  </si>
  <si>
    <t>9/19/05</t>
  </si>
  <si>
    <t>Timeshr Adjmt</t>
  </si>
  <si>
    <t>For the most part, the FRU monthly models are all structurely the same. Each is based on # of customers and temperature @ peak.</t>
  </si>
  <si>
    <t>The customer data uses EDB adjusted figures and applies an adjustment for the Time-Share chang-out to maintain consistency.  The</t>
  </si>
  <si>
    <t>latest customer forecast has been used.  A correction for SS Rate in each month was applied to account for those who are away.</t>
  </si>
  <si>
    <t>Separate models with normal weather (30 year average of Winter/Summer design temperature) for each month are assumed.</t>
  </si>
  <si>
    <t>Indicator, or "Dummy" variables are used in years when the hour of peak did not occur in a typical hour or weekday.</t>
  </si>
  <si>
    <t>Dummy variables are also used in years when a recession held down peak.</t>
  </si>
  <si>
    <t>Month</t>
  </si>
  <si>
    <t>Time</t>
  </si>
  <si>
    <t>ADJMT</t>
  </si>
  <si>
    <t>WPark</t>
  </si>
  <si>
    <t>Rec Dummy</t>
  </si>
  <si>
    <t>(CS Firm load is removed)</t>
  </si>
  <si>
    <t>Non-</t>
  </si>
  <si>
    <t>512 HOMESTEAD CONTRACT DEMANDS - Base Strata</t>
  </si>
  <si>
    <t>559 HMST - Interm Strata</t>
  </si>
  <si>
    <t>SPK</t>
  </si>
  <si>
    <t>WPK</t>
  </si>
  <si>
    <t>Prepared by:</t>
  </si>
  <si>
    <t>Date Prepared:</t>
  </si>
  <si>
    <t>Ed Lynch</t>
  </si>
  <si>
    <t>Date Approved:</t>
  </si>
  <si>
    <t>Since 1976:</t>
  </si>
  <si>
    <t>12 Morning Peaks</t>
  </si>
  <si>
    <t>Adjusted for Billing Lag</t>
  </si>
  <si>
    <t>9/25/06</t>
  </si>
  <si>
    <t>(…with summer weather)</t>
  </si>
  <si>
    <t>NO</t>
  </si>
  <si>
    <t>510-TALLAHASSEE CR3 BUY-BACK  DEMANDS</t>
  </si>
  <si>
    <t>C O M P O N E N T S   O F   W I N T E R   P E A K   C O I N C I D E N T  D E M A N D</t>
  </si>
  <si>
    <t>C O M P O N E N T S   O F   S U M M E R   C O I N C I D E N T   P E A K   D E M A N D</t>
  </si>
  <si>
    <t>Excess</t>
  </si>
  <si>
    <t>Reserv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</si>
  <si>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</si>
  <si>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</si>
  <si>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</si>
  <si>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</si>
  <si>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</si>
  <si>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</si>
  <si>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</si>
  <si>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</si>
  <si>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</si>
  <si>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df</t>
  </si>
  <si>
    <t>MS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</si>
  <si>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</si>
  <si>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</si>
  <si>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</si>
  <si>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</si>
  <si>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</si>
  <si>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</si>
  <si>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</si>
  <si>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</si>
  <si>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Weighted Temp</t>
  </si>
  <si>
    <t>Customers</t>
  </si>
  <si>
    <t>Recession D</t>
  </si>
  <si>
    <t>67/33</t>
  </si>
  <si>
    <t>DESIGN</t>
  </si>
  <si>
    <t>Variable</t>
  </si>
  <si>
    <t>Weekend/Hr D</t>
  </si>
  <si>
    <t>R, C, I, SPA</t>
  </si>
  <si>
    <t>R,C,I &amp; SPA</t>
  </si>
  <si>
    <t>Weather</t>
  </si>
  <si>
    <t>PEF absorbs GRU Losses</t>
  </si>
  <si>
    <t>Temperature</t>
  </si>
  <si>
    <t>Temp - 2Hr</t>
  </si>
  <si>
    <t>Temp - 24Hr</t>
  </si>
  <si>
    <t>Hr/Wkend D</t>
  </si>
  <si>
    <t>30 Yr Average (Afternoons)</t>
  </si>
  <si>
    <t>Firm CS is removed</t>
  </si>
  <si>
    <t>9/13/07</t>
  </si>
  <si>
    <t>TEMPERATURE VARIABLE : 5 HOUR AVERAGE , NORMAL TEMPERATURE : 30 YR AVG (afternoon Pks 1976-2007)</t>
  </si>
  <si>
    <t>2-Hr Avg</t>
  </si>
  <si>
    <t>2 Hr Avg</t>
  </si>
  <si>
    <t>ADJUSTED</t>
  </si>
  <si>
    <t>ALL Avail</t>
  </si>
  <si>
    <t>Hr/Wkday Dum</t>
  </si>
  <si>
    <t>Wkend/Hr</t>
  </si>
  <si>
    <t>Before</t>
  </si>
  <si>
    <t>After</t>
  </si>
  <si>
    <t>Total DLC Capability</t>
  </si>
  <si>
    <t>Wholesale</t>
  </si>
  <si>
    <t>@20%</t>
  </si>
  <si>
    <t>Hour. Dum</t>
  </si>
  <si>
    <t>5 Hr Temp</t>
  </si>
  <si>
    <t>Created:</t>
  </si>
  <si>
    <t>500-REEDY CREEK PR DEMAND</t>
  </si>
  <si>
    <t>not used, see below…</t>
  </si>
  <si>
    <t>9/8/08</t>
  </si>
  <si>
    <t>USED - Notice breaks in data to capture only afternoon peaks w/ summer weather.</t>
  </si>
  <si>
    <t>14-NSB PR DEMAND</t>
  </si>
  <si>
    <t>Total IS MW  w/ Phos growth in projected period</t>
  </si>
  <si>
    <t>Cummulative Change in Projected Phosphate IS Load</t>
  </si>
  <si>
    <t>X Variable 1</t>
  </si>
  <si>
    <t>X Variable 2</t>
  </si>
  <si>
    <t>X Variable 3</t>
  </si>
  <si>
    <t>'09-'19</t>
  </si>
  <si>
    <t>Winter Firm Peak Demand</t>
  </si>
  <si>
    <t>Summer Firm Peak Demand</t>
  </si>
  <si>
    <t>System Wtr/Sum Ratio</t>
  </si>
  <si>
    <t>Temp 2Hr</t>
  </si>
  <si>
    <t>9/22/09</t>
  </si>
  <si>
    <t>No VR assumed in Summer (Apr-Oct)</t>
  </si>
  <si>
    <t>Buckeye Self Service increase = +10MW on 1/2012  means drop in CS load.</t>
  </si>
  <si>
    <t>SSR Adj</t>
  </si>
  <si>
    <t>30 Yr Avg (1981-10)</t>
  </si>
  <si>
    <t>(1976-2010 Morning Peaks - 2 Hr Avg.)</t>
  </si>
  <si>
    <t>25 Yr. Avg of Morning Peaks</t>
  </si>
  <si>
    <t xml:space="preserve">Sample Period:  </t>
  </si>
  <si>
    <t>Sample Period:  Afternoon Peak Years Only between 1983 and 2010</t>
  </si>
  <si>
    <t>Recess dum</t>
  </si>
  <si>
    <t>30 yr Average (1981-10)</t>
  </si>
  <si>
    <t>(1979-10)</t>
  </si>
  <si>
    <t>Excludes 2 cold Mornings</t>
  </si>
  <si>
    <t>20  5-Hr Temps over 92 oF</t>
  </si>
  <si>
    <t>9/13/10</t>
  </si>
  <si>
    <t>30 yr Avg (1981-10)</t>
  </si>
  <si>
    <t>Recess</t>
  </si>
  <si>
    <t>Wkend  Dum</t>
  </si>
  <si>
    <t>30 yr Average (1981-2010)</t>
  </si>
  <si>
    <t>TEMPERATURE VARIABLE : 5 HR AVERAGE , NORMAL TEMPERATURE : 20 YR AVG - Afternoon Peaks w/ Summer weather</t>
  </si>
  <si>
    <r>
      <t>TEMPERATURE VARIABLE : 2/24 HOUR AVERAGE , NORMAL : 30 YR AVERAGE where TEMPERATURE &lt; 50</t>
    </r>
    <r>
      <rPr>
        <b/>
        <vertAlign val="superscript"/>
        <sz val="10"/>
        <rFont val="Arial"/>
        <family val="2"/>
      </rPr>
      <t>o</t>
    </r>
    <r>
      <rPr>
        <b/>
        <sz val="10"/>
        <rFont val="Arial"/>
        <family val="2"/>
      </rPr>
      <t xml:space="preserve"> F</t>
    </r>
  </si>
  <si>
    <t>27 years w/ 24Hr temps LT 50</t>
  </si>
  <si>
    <t>Sample Period : 1982 - 2010  (Cold Weather Peaks)</t>
  </si>
  <si>
    <t>May 2011 CASE - WINTER PEAK DEMAND BY LOAD AREA</t>
  </si>
  <si>
    <t>May 2011 CASE - SUMMER PEAK DEMAND BY LOAD AREA</t>
  </si>
  <si>
    <t>(Seasonal Peaks bolded)</t>
  </si>
  <si>
    <t>Hour</t>
  </si>
  <si>
    <t>537-SECI - Intermediate 150 MW 2014-2030</t>
  </si>
  <si>
    <t>555-SECI IS (CLAY-HAILE) - IST-1</t>
  </si>
  <si>
    <t>534-SECI BASE 250 MW Sale</t>
  </si>
  <si>
    <t>490-SECI Original 1995 AGREEMENT - 450 MW INTERM  = 300 MW 2011-2013 (Block 3 to Hines CC)</t>
  </si>
  <si>
    <t xml:space="preserve">536 SCP SECI PEAKING  WTR Pking - 2014-2020 (600) </t>
  </si>
  <si>
    <t>520  SECI FR VDP SALE (1/1/10-7/31/20)</t>
  </si>
  <si>
    <t>old is IST-Peacock</t>
  </si>
  <si>
    <t>535 SECI - Average 150 MW Sale</t>
  </si>
  <si>
    <t>538 SECI-Hines 200-500 CC</t>
  </si>
  <si>
    <t>533 SECI-Base 150 MW Sale</t>
  </si>
  <si>
    <t>Assumes GRU sale of 50 MW Base sale from 1/11-12/13.</t>
  </si>
  <si>
    <t>TYSP'11</t>
  </si>
  <si>
    <t>1</t>
  </si>
  <si>
    <t>2</t>
  </si>
  <si>
    <t>1-2</t>
  </si>
  <si>
    <t>Total System Firm Winter MW</t>
  </si>
  <si>
    <t>Total Wholesale Winter MW</t>
  </si>
  <si>
    <t>Total FIRM Retail Winter MW</t>
  </si>
  <si>
    <t>vs.</t>
  </si>
  <si>
    <t>MPlan</t>
  </si>
  <si>
    <t>Total System Firm Summer MW</t>
  </si>
  <si>
    <t>Total Wholesale Summer MW</t>
  </si>
  <si>
    <t>Total FIRM Retail Summer MW</t>
  </si>
  <si>
    <t>Assumes HST base 35 MW until 1/13 when it drops to 25 MW and Intermediate contract begins again at 15 MW.</t>
  </si>
  <si>
    <t>USED!!</t>
  </si>
  <si>
    <t>NOT USED…SEE BELOW!</t>
  </si>
  <si>
    <t>NOT USED!  See Below!</t>
  </si>
  <si>
    <t xml:space="preserve">             A summer Sale of 100 MW in the months of June-Sept 2017-2020 has been added.</t>
  </si>
  <si>
    <t>Assumes a Base 250MW sale from 1/14-5/16.  It drops to 50MW in 6/16-12/18.</t>
  </si>
  <si>
    <t>Assumes Palatka Replacement sale 150MW to SECI 1/12-12/13.</t>
  </si>
  <si>
    <t>SEP'11</t>
  </si>
  <si>
    <t>Assumes the end of SECI Supplemental contract 12/31/13.  This contract is partially replaced by one Winter only seasonal contract (100MW in Jan-Mar, Dec 2014; 600MW 2015-2030).</t>
  </si>
  <si>
    <t>Retail Load</t>
  </si>
  <si>
    <t>SEC Supl</t>
  </si>
  <si>
    <t>SEC CC</t>
  </si>
  <si>
    <t>FR Cust</t>
  </si>
  <si>
    <t>NF</t>
  </si>
  <si>
    <t>Company</t>
  </si>
  <si>
    <t>BRTW</t>
  </si>
  <si>
    <t>QCY</t>
  </si>
  <si>
    <t>RCID</t>
  </si>
  <si>
    <t>Peak - 2/6/09 HE 08:00</t>
  </si>
  <si>
    <t xml:space="preserve">Peak 2009 Load derived from RA Reports SysTransLoad = Total Gen - Total Tie + WDRF = 11269 - (-942) + 24 = </t>
  </si>
  <si>
    <t>not updated</t>
  </si>
  <si>
    <t>BASE Contract</t>
  </si>
  <si>
    <t>xx-SECI (spec)</t>
  </si>
  <si>
    <t>09 - SEPA  FIRMING MW (Incl in FR Total)</t>
  </si>
  <si>
    <t xml:space="preserve">519 - GRU   </t>
  </si>
  <si>
    <t>540 - Winter Park Base</t>
  </si>
  <si>
    <t>Both ended in 2010!!</t>
  </si>
  <si>
    <t>493 &amp; 495 OLD QUINCY &amp; BARTOW FR DEMANDS</t>
  </si>
  <si>
    <t>ended in 2010</t>
  </si>
  <si>
    <t>39/39.4 FMPA PR &amp; Losses Service DEMANDS</t>
  </si>
  <si>
    <t>Total System less (Retail IS + Retail DLC + Wholesale IS) + Chattah generator</t>
  </si>
  <si>
    <t>TOTAL RETAIL FIRM</t>
  </si>
  <si>
    <t>TOTAL WHOLESALE FIRM</t>
  </si>
  <si>
    <t>Non-SECI MW</t>
  </si>
  <si>
    <t>SEPA, CHATTAHOOCHEE, WILLISTON &amp; MT DORA</t>
  </si>
  <si>
    <t>TOTAL RETAIL LESS RETAIL IS/CS, LM, SBG, VR &amp; CHANGE IN SS COGEN &amp; NONDISP MW</t>
  </si>
  <si>
    <t>TOTAL WHOLESALE BEFORE DLC  (SECI Firm + SECI-IS + MUNI PR + FR)</t>
  </si>
  <si>
    <t>TOTAL MUNI PR BEFORE DLC  (NO FR)</t>
  </si>
  <si>
    <t xml:space="preserve">TOTAL FR </t>
  </si>
  <si>
    <t>XXXXXXX</t>
  </si>
  <si>
    <t>XXXXXXXXXX</t>
  </si>
  <si>
    <t>Q</t>
  </si>
  <si>
    <t>S</t>
  </si>
  <si>
    <t>U</t>
  </si>
  <si>
    <t>V</t>
  </si>
  <si>
    <t>X</t>
  </si>
  <si>
    <t>Y</t>
  </si>
  <si>
    <t>Z</t>
  </si>
  <si>
    <t>AA</t>
  </si>
  <si>
    <t>AB</t>
  </si>
  <si>
    <r>
      <t xml:space="preserve">WHOLESALE </t>
    </r>
    <r>
      <rPr>
        <b/>
        <sz val="10"/>
        <color rgb="FFFF0000"/>
        <rFont val="Arial"/>
        <family val="2"/>
      </rPr>
      <t>RECORDED</t>
    </r>
    <r>
      <rPr>
        <b/>
        <sz val="10"/>
        <rFont val="Arial"/>
        <family val="2"/>
      </rPr>
      <t xml:space="preserve"> DEMAND (w/Contract Sales)</t>
    </r>
  </si>
  <si>
    <r>
      <t xml:space="preserve">SYSTEM NET </t>
    </r>
    <r>
      <rPr>
        <b/>
        <sz val="10"/>
        <color rgb="FFFF0000"/>
        <rFont val="Arial"/>
        <family val="2"/>
      </rPr>
      <t>RECORDED</t>
    </r>
    <r>
      <rPr>
        <b/>
        <sz val="10"/>
        <rFont val="Arial"/>
        <family val="2"/>
      </rPr>
      <t xml:space="preserve"> DEMAND (w/Contract Sales)</t>
    </r>
  </si>
  <si>
    <t>9/12/11</t>
  </si>
  <si>
    <t>x</t>
  </si>
  <si>
    <t>(Factors x Native MW) (SEC-Base &amp; CC, TAL-CR3, Hmst-B, WP @ a % of CD at min hr)</t>
  </si>
  <si>
    <t>X Variable 4</t>
  </si>
  <si>
    <t>Wkend Sun</t>
  </si>
  <si>
    <t>Wkend Sat</t>
  </si>
  <si>
    <t>NOT USED</t>
  </si>
  <si>
    <t>Sample Period:  Afternoon Peak Years Only between 1983 and 2011</t>
  </si>
  <si>
    <t>Sample Period:  1983-2011</t>
  </si>
  <si>
    <t>SEE BELOW!!</t>
  </si>
  <si>
    <t>-  21 Afternoon peak Temps</t>
  </si>
  <si>
    <t>22 Afternoon Peaks (21 with Summertime weather)</t>
  </si>
  <si>
    <r>
      <t xml:space="preserve">496-WILLISTON </t>
    </r>
    <r>
      <rPr>
        <b/>
        <sz val="10"/>
        <color rgb="FFFF0000"/>
        <rFont val="Arial"/>
        <family val="2"/>
      </rPr>
      <t>FR DEMAND</t>
    </r>
  </si>
  <si>
    <r>
      <t xml:space="preserve">502-CHATTAHOOCHEE </t>
    </r>
    <r>
      <rPr>
        <b/>
        <sz val="10"/>
        <color rgb="FFFF0000"/>
        <rFont val="Arial"/>
        <family val="2"/>
      </rPr>
      <t>FR DEMAND</t>
    </r>
  </si>
  <si>
    <t>TOTAL SECI FIRM  (No IS Contract-Rate Code 555)</t>
  </si>
  <si>
    <t>Updated 5/23/12</t>
  </si>
  <si>
    <t>Minimum load projection updated in May 2012.</t>
  </si>
  <si>
    <t>'2013-'18</t>
  </si>
  <si>
    <t>( Revised to incorp IS\CS\SS. 7/5/12)</t>
  </si>
  <si>
    <t>532 SECI 1995 Agreementt - System Combined Cycle CC 2011-2013</t>
  </si>
  <si>
    <t>FALL 2013 FORECAST</t>
  </si>
  <si>
    <t>TYSP 2013</t>
  </si>
  <si>
    <t>FALL 2013</t>
  </si>
  <si>
    <t>CF201309: Col BC</t>
  </si>
  <si>
    <t>13_EDB_Adjmt.xlsx</t>
  </si>
  <si>
    <t>CF201309</t>
  </si>
  <si>
    <t>TYSP'13</t>
  </si>
  <si>
    <t>Fall'13</t>
  </si>
  <si>
    <t>Includes Co Use thru 6/13</t>
  </si>
  <si>
    <t>ADJ.</t>
  </si>
  <si>
    <t>Sample Period:  1984-2013</t>
  </si>
  <si>
    <t>Winter Peaks only - Used in SEP'13F</t>
  </si>
  <si>
    <t xml:space="preserve">NOT USED </t>
  </si>
  <si>
    <t>USED FOR SEP'13 FORECAST!</t>
  </si>
  <si>
    <t>Sample Period:  Morning Peak Years Only between 1980 and 2013</t>
  </si>
  <si>
    <t>USED FOR SEP'13 FCST</t>
  </si>
  <si>
    <t>ADJ</t>
  </si>
  <si>
    <t>Sample Period:  1992-2013</t>
  </si>
  <si>
    <t>9/4/12</t>
  </si>
  <si>
    <t>FIRM RETAILDEMAND FORECAST - S U M M E R</t>
  </si>
  <si>
    <t>Sample Period : 1992 - 2012</t>
  </si>
  <si>
    <t>Total Cumulative Non-Dispatchable MW Reduction Forecast (at the Generator)</t>
  </si>
  <si>
    <t>Updated 7/20/13 DSM Scenario</t>
  </si>
  <si>
    <r>
      <t>INCREMENTAL NON-DISPATCHABLE CONSERVATION (from 2013) PROGRAMS (</t>
    </r>
    <r>
      <rPr>
        <b/>
        <sz val="10"/>
        <color indexed="10"/>
        <rFont val="Arial"/>
        <family val="2"/>
      </rPr>
      <t>INCL SELF-SERVICE COGEN CHANGE)</t>
    </r>
  </si>
  <si>
    <t>F I R M   R E T A I L   A D J U S T E D    D E M A N D   F O R C A S T  -  W I N T E R    P E A K</t>
  </si>
  <si>
    <t>FIRM RETAIL DEMAND FORECAST - W I N T E R</t>
  </si>
  <si>
    <t>Act FR</t>
  </si>
  <si>
    <t>FIRM RETAIL - Before Incremental Nondispatchable DSM or DLC</t>
  </si>
  <si>
    <t>(from '13)</t>
  </si>
  <si>
    <t>570 NSB PEAKING PR DEMANDS</t>
  </si>
  <si>
    <r>
      <t xml:space="preserve">560 - MT DORA </t>
    </r>
    <r>
      <rPr>
        <b/>
        <sz val="10"/>
        <color rgb="FFFF0000"/>
        <rFont val="Arial Narrow"/>
        <family val="2"/>
      </rPr>
      <t xml:space="preserve">FR DEMANDS </t>
    </r>
  </si>
  <si>
    <r>
      <t>TOTAL WHOLESALE</t>
    </r>
    <r>
      <rPr>
        <b/>
        <sz val="10"/>
        <color rgb="FFFF0000"/>
        <rFont val="Arial"/>
        <family val="2"/>
      </rPr>
      <t xml:space="preserve"> </t>
    </r>
    <r>
      <rPr>
        <b/>
        <u/>
        <sz val="10"/>
        <color rgb="FFFF0000"/>
        <rFont val="Arial"/>
        <family val="2"/>
      </rPr>
      <t>LESS</t>
    </r>
    <r>
      <rPr>
        <b/>
        <sz val="10"/>
        <color rgb="FFFF0000"/>
        <rFont val="Arial"/>
        <family val="2"/>
      </rPr>
      <t xml:space="preserve"> SECI-IS + CHATTAHOOCHEE GENERATOR</t>
    </r>
  </si>
  <si>
    <t>Yellow Cols are NOT comparable</t>
  </si>
  <si>
    <t>TYSP13</t>
  </si>
  <si>
    <t>Econ scenario: Moody's Analytics JUL 2013 Forecast for Florida economy.</t>
  </si>
  <si>
    <t>Demographic Data: UF-BEBR March 2013 Popul Projection by County.  2010 Census data has been incorporated.</t>
  </si>
  <si>
    <t xml:space="preserve">Self Service generation at Buckeye (10 MW), UCF (5.5) are incorporated (2012) and Pacific Pride (8 MW; 2013) into this forecast.  </t>
  </si>
  <si>
    <t>Incorporates all known contract info as of 10/02/13</t>
  </si>
  <si>
    <t>TAL contract terminated after Dec'12.</t>
  </si>
  <si>
    <t>Assumes Winter Park Base Sale (40MW) ends on 12/2013.</t>
  </si>
  <si>
    <r>
      <t xml:space="preserve">Assumptions: </t>
    </r>
    <r>
      <rPr>
        <b/>
        <sz val="10"/>
        <rFont val="Arial"/>
        <family val="2"/>
      </rPr>
      <t xml:space="preserve"> FALL 2013 FOF/GFF FORECAST</t>
    </r>
  </si>
  <si>
    <t>Concurring Manager:</t>
  </si>
  <si>
    <t>Incorporates Retail Forecast developed in Sept 2013.</t>
  </si>
  <si>
    <t>FIRM RETAIL DEMAND FORECAST - S U M M E R</t>
  </si>
  <si>
    <t>Wtr/Summer</t>
  </si>
  <si>
    <t>Ratio</t>
  </si>
  <si>
    <r>
      <t xml:space="preserve">TOTAL RETAIL BEFORE DLC  (Inc. COMPANY USE, </t>
    </r>
    <r>
      <rPr>
        <b/>
        <sz val="10"/>
        <color rgb="FFFF0000"/>
        <rFont val="Arial"/>
        <family val="2"/>
      </rPr>
      <t xml:space="preserve">NO </t>
    </r>
    <r>
      <rPr>
        <b/>
        <u/>
        <sz val="10"/>
        <color rgb="FFFF0000"/>
        <rFont val="Arial"/>
        <family val="2"/>
      </rPr>
      <t>INCREMENTAL EE or SS COGEN HAS BEEN REMOVED</t>
    </r>
    <r>
      <rPr>
        <b/>
        <sz val="10"/>
        <rFont val="Arial"/>
        <family val="2"/>
      </rPr>
      <t>)</t>
    </r>
  </si>
  <si>
    <r>
      <t xml:space="preserve">TOTAL RETAIL BEFORE DLC  (NO COMPANY USE, Cumulative </t>
    </r>
    <r>
      <rPr>
        <b/>
        <u/>
        <sz val="10"/>
        <rFont val="Arial"/>
        <family val="2"/>
      </rPr>
      <t>INCREMENTAL EE &amp; SS COGEN HAS BEEN REMOVED</t>
    </r>
    <r>
      <rPr>
        <b/>
        <sz val="10"/>
        <rFont val="Arial"/>
        <family val="2"/>
      </rPr>
      <t>)</t>
    </r>
  </si>
  <si>
    <t>Total Cumulative Non-Dispatchable MW Reduction Forecast (Diff from TYSP13)</t>
  </si>
  <si>
    <t>FIRM RETAIL  DEMAND FORECAST - APRIL</t>
  </si>
  <si>
    <t>FIRM RETAIL DEMAND FORECAST - JUN</t>
  </si>
  <si>
    <t>FIRM RETAIL DEMAND FORECAST - SEPTEMBER</t>
  </si>
  <si>
    <t>Sample Period : 1994 - 2011; ONLY Afternoon Peaks w/ Summer Weather</t>
  </si>
  <si>
    <t>Dum</t>
  </si>
  <si>
    <t>Recess D</t>
  </si>
  <si>
    <t>Wkend D</t>
  </si>
  <si>
    <t>Sample Period : 1992 - 2010  (Cold Weather Peaks)</t>
  </si>
  <si>
    <t>Cum'l</t>
  </si>
  <si>
    <t>???</t>
  </si>
  <si>
    <t>SECI Interruptible contract (15 MW) terminates on 12/31/13;</t>
  </si>
  <si>
    <t>SECI CC Option 250 MW from 6/16 - 5/19 is dropped.</t>
  </si>
  <si>
    <t>Assumes Reedy Creek…Restructured (Gas tolling) to 60 MW for 1/13-12/16.</t>
  </si>
  <si>
    <t>Assumes Reedy Creek (BASE Sale).  Restructured (1/25/12) to various MW for 1/13-12/16.</t>
  </si>
  <si>
    <t>499 - RCU-System Interm (Gas Index Contract)</t>
  </si>
  <si>
    <t>Chg in Cuml</t>
  </si>
  <si>
    <t>SPRING 2013</t>
  </si>
  <si>
    <t>10/23/2013</t>
  </si>
  <si>
    <t>Cols B, D &amp; E are NOT Comprarable!!</t>
  </si>
  <si>
    <t>TOTAL RETAIL Before DLC or Incremental EE</t>
  </si>
  <si>
    <t>Sys Wtd (1981-2010)</t>
  </si>
  <si>
    <t>R/C/I/G</t>
  </si>
  <si>
    <t>DSM values have been incorporated as assumed in the July 16, 2013 files.  Voltage Reduction: 1.25% of Retail MW pre-DLC.</t>
  </si>
  <si>
    <t>SECI "restructured '95" Interm goes from 150 MW in 2011 to 2013 to 200 MW 6/2016 up to 500 in 1/19.  Stays at this level thru 2030.</t>
  </si>
  <si>
    <t xml:space="preserve">Assumes Chattahoochee, Williston and SEPA support contracts continue to 2030. Mt Dora ends on 12/16. </t>
  </si>
  <si>
    <t>Assumes NSB contract 25MW until 2030.                           An NSB Seasonal Peaking contract of 20MW (MAX) will apply in 8 months of 2013-2014.</t>
  </si>
  <si>
    <t>FIRM RETAIL ADJUSTED DEMAND FORECAST - JULY</t>
  </si>
  <si>
    <t>Not used</t>
  </si>
  <si>
    <t>CF_201309</t>
  </si>
  <si>
    <t>Jse Merino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</si>
</sst>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0"/>
    <numFmt numFmtId="167" formatCode="0.0000"/>
    <numFmt numFmtId="168" formatCode="0.0%"/>
    <numFmt numFmtId="169" formatCode="mm/dd/yy\ hh:mm"/>
    <numFmt numFmtId="170" formatCode="_(* #,##0.0_);_(* \(#,##0.0\);_(* &quot;-&quot;??_);_(@_)"/>
    <numFmt numFmtId="171" formatCode="_(* #,##0_);_(* \(#,##0\);_(* &quot;-&quot;??_);_(@_)"/>
    <numFmt numFmtId="172" formatCode="#,##0.0_);\(#,##0.0\)"/>
    <numFmt numFmtId="173" formatCode="mm/dd/yy"/>
    <numFmt numFmtId="174" formatCode="#,##0.0"/>
    <numFmt numFmtId="175" formatCode="m/d/yy"/>
    <numFmt numFmtId="176" formatCode="#,##0.000_);\(#,##0.000\)"/>
    <numFmt numFmtId="177" formatCode="#,##0.0000_);\(#,##0.0000\)"/>
    <numFmt numFmtId="178" formatCode="General_)"/>
    <numFmt numFmtId="179" formatCode="[$-409]mmm\-yy;@"/>
    <numFmt numFmtId="180" formatCode="#,##0.0_);[Red]\(#,##0.0\)"/>
    <numFmt numFmtId="181" formatCode="m/d/yy;@"/>
    <numFmt numFmtId="182" formatCode="[$-409]mmmm\-yy;@"/>
  </numFmts>
  <fonts count="109">
    <font>
      <sz val="10"/>
      <name val="MS Sans Serif"/>
    </font>
    <font>
      <sz val="10"/>
      <color theme="1"/>
      <name val="Arial"/>
      <family val="2"/>
    </font>
    <font>
      <b/>
      <sz val="10"/>
      <name val="MS Sans Serif"/>
      <family val="2"/>
    </font>
    <font>
      <i/>
      <sz val="10"/>
      <name val="MS Sans Serif"/>
      <family val="2"/>
    </font>
    <font>
      <sz val="10"/>
      <name val="MS Sans Serif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sz val="10"/>
      <color indexed="9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10"/>
      <color indexed="8"/>
      <name val="Arial"/>
      <family val="2"/>
    </font>
    <font>
      <sz val="8"/>
      <color indexed="56"/>
      <name val="Arial"/>
      <family val="2"/>
    </font>
    <font>
      <b/>
      <sz val="8"/>
      <color indexed="56"/>
      <name val="Arial"/>
      <family val="2"/>
    </font>
    <font>
      <u val="singleAccounting"/>
      <sz val="10"/>
      <name val="Arial"/>
      <family val="2"/>
    </font>
    <font>
      <i/>
      <sz val="10"/>
      <name val="Arial"/>
      <family val="2"/>
    </font>
    <font>
      <sz val="10"/>
      <color indexed="16"/>
      <name val="MS Sans Serif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b/>
      <sz val="10"/>
      <color indexed="9"/>
      <name val="MS Sans Serif"/>
      <family val="2"/>
    </font>
    <font>
      <sz val="10"/>
      <color indexed="9"/>
      <name val="MS Sans Serif"/>
      <family val="2"/>
    </font>
    <font>
      <i/>
      <sz val="10"/>
      <color indexed="9"/>
      <name val="MS Sans Serif"/>
      <family val="2"/>
    </font>
    <font>
      <b/>
      <sz val="10"/>
      <name val="MS Sans Serif"/>
      <family val="2"/>
    </font>
    <font>
      <b/>
      <sz val="10"/>
      <color indexed="9"/>
      <name val="Arial"/>
      <family val="2"/>
    </font>
    <font>
      <b/>
      <sz val="10"/>
      <color indexed="48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indexed="48"/>
      <name val="MS Sans Serif"/>
      <family val="2"/>
    </font>
    <font>
      <b/>
      <sz val="10"/>
      <color indexed="10"/>
      <name val="MS Sans Serif"/>
      <family val="2"/>
    </font>
    <font>
      <sz val="10"/>
      <color indexed="22"/>
      <name val="MS Sans Serif"/>
      <family val="2"/>
    </font>
    <font>
      <b/>
      <sz val="8"/>
      <color indexed="5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8"/>
      <color indexed="14"/>
      <name val="Arial"/>
      <family val="2"/>
    </font>
    <font>
      <sz val="10"/>
      <color indexed="10"/>
      <name val="MS Sans Serif"/>
      <family val="2"/>
    </font>
    <font>
      <b/>
      <sz val="8"/>
      <color indexed="17"/>
      <name val="Arial"/>
      <family val="2"/>
    </font>
    <font>
      <sz val="10"/>
      <color indexed="12"/>
      <name val="Arial"/>
      <family val="2"/>
    </font>
    <font>
      <u/>
      <sz val="10"/>
      <name val="MS Sans Serif"/>
      <family val="2"/>
    </font>
    <font>
      <sz val="9"/>
      <name val="Arial Narrow"/>
      <family val="2"/>
    </font>
    <font>
      <b/>
      <sz val="10"/>
      <color indexed="12"/>
      <name val="MS Sans Serif"/>
      <family val="2"/>
    </font>
    <font>
      <sz val="8"/>
      <name val="MS Sans Serif"/>
      <family val="2"/>
    </font>
    <font>
      <u/>
      <sz val="7.5"/>
      <color indexed="12"/>
      <name val="MS Sans Serif"/>
      <family val="2"/>
    </font>
    <font>
      <sz val="10"/>
      <color indexed="10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u/>
      <sz val="8"/>
      <name val="Arial Narrow"/>
      <family val="2"/>
    </font>
    <font>
      <b/>
      <u/>
      <sz val="10"/>
      <name val="Arial Narrow"/>
      <family val="2"/>
    </font>
    <font>
      <b/>
      <u/>
      <sz val="8.5"/>
      <name val="Arial Narrow"/>
      <family val="2"/>
    </font>
    <font>
      <b/>
      <u/>
      <sz val="10"/>
      <name val="Arial"/>
      <family val="2"/>
    </font>
    <font>
      <u/>
      <sz val="7.5"/>
      <name val="MS Sans Serif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9"/>
      <name val="Arial"/>
      <family val="2"/>
    </font>
    <font>
      <b/>
      <sz val="10"/>
      <color indexed="12"/>
      <name val="Arial"/>
      <family val="2"/>
    </font>
    <font>
      <sz val="10"/>
      <color indexed="61"/>
      <name val="Arial"/>
      <family val="2"/>
    </font>
    <font>
      <sz val="10"/>
      <color indexed="61"/>
      <name val="MS Sans Serif"/>
      <family val="2"/>
    </font>
    <font>
      <sz val="10"/>
      <color indexed="61"/>
      <name val="Arial"/>
      <family val="2"/>
    </font>
    <font>
      <u/>
      <sz val="10"/>
      <name val="MS Sans Serif"/>
      <family val="2"/>
    </font>
    <font>
      <sz val="10"/>
      <color indexed="81"/>
      <name val="Tahoma"/>
      <family val="2"/>
    </font>
    <font>
      <i/>
      <sz val="10"/>
      <name val="MS Sans Serif"/>
      <family val="2"/>
    </font>
    <font>
      <b/>
      <sz val="10"/>
      <color indexed="48"/>
      <name val="MS Sans Serif"/>
      <family val="2"/>
    </font>
    <font>
      <sz val="10"/>
      <name val="Arial"/>
      <family val="2"/>
    </font>
    <font>
      <sz val="10"/>
      <name val="MS Sans Serif"/>
      <family val="2"/>
    </font>
    <font>
      <b/>
      <u/>
      <sz val="10"/>
      <name val="MS Sans Serif"/>
      <family val="2"/>
    </font>
    <font>
      <b/>
      <i/>
      <sz val="10"/>
      <name val="MS Sans Serif"/>
      <family val="2"/>
    </font>
    <font>
      <sz val="9"/>
      <color indexed="81"/>
      <name val="Tahoma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3" tint="-0.499984740745262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9"/>
      <color indexed="10"/>
      <name val="Arial"/>
      <family val="2"/>
    </font>
    <font>
      <sz val="9"/>
      <color rgb="FFFF0000"/>
      <name val="Arial"/>
      <family val="2"/>
    </font>
    <font>
      <sz val="10"/>
      <color rgb="FFFF0000"/>
      <name val="MS Sans Serif"/>
      <family val="2"/>
    </font>
    <font>
      <sz val="8.5"/>
      <name val="MS Sans Serif"/>
      <family val="2"/>
    </font>
    <font>
      <b/>
      <u/>
      <sz val="10"/>
      <color rgb="FFFF0000"/>
      <name val="MS Sans Serif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b/>
      <sz val="10"/>
      <color rgb="FFFF0000"/>
      <name val="MS Sans Serif"/>
      <family val="2"/>
    </font>
    <font>
      <b/>
      <sz val="11"/>
      <name val="Arial Narrow"/>
      <family val="2"/>
    </font>
    <font>
      <sz val="8"/>
      <color theme="3" tint="0.3999755851924192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10"/>
      <name val="Arial"/>
      <family val="2"/>
    </font>
    <font>
      <sz val="9"/>
      <color indexed="8"/>
      <name val="Arial"/>
      <family val="2"/>
    </font>
    <font>
      <b/>
      <sz val="9"/>
      <name val="MS Sans Serif"/>
      <family val="2"/>
    </font>
    <font>
      <i/>
      <sz val="9"/>
      <name val="MS Sans Serif"/>
      <family val="2"/>
    </font>
    <font>
      <sz val="9"/>
      <name val="MS Sans Serif"/>
      <family val="2"/>
    </font>
    <font>
      <b/>
      <sz val="9"/>
      <color indexed="10"/>
      <name val="MS Sans Serif"/>
      <family val="2"/>
    </font>
    <font>
      <sz val="9"/>
      <color indexed="22"/>
      <name val="MS Sans Serif"/>
      <family val="2"/>
    </font>
    <font>
      <i/>
      <sz val="9"/>
      <name val="Arial"/>
      <family val="2"/>
    </font>
    <font>
      <sz val="9"/>
      <color indexed="48"/>
      <name val="MS Sans Serif"/>
      <family val="2"/>
    </font>
    <font>
      <sz val="9"/>
      <color indexed="16"/>
      <name val="Arial"/>
      <family val="2"/>
    </font>
    <font>
      <sz val="9"/>
      <color indexed="12"/>
      <name val="Arial"/>
      <family val="2"/>
    </font>
    <font>
      <sz val="9"/>
      <color indexed="61"/>
      <name val="Arial"/>
      <family val="2"/>
    </font>
    <font>
      <b/>
      <u/>
      <sz val="10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gray0625"/>
    </fill>
    <fill>
      <patternFill patternType="gray0625">
        <fgColor indexed="8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>
        <bgColor rgb="FFFFFF00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40" fontId="4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9" fontId="4" fillId="0" borderId="0" applyFont="0" applyFill="0" applyBorder="0" applyAlignment="0" applyProtection="0"/>
  </cellStyleXfs>
  <cellXfs count="1679">
    <xf numFmtId="0" fontId="0" fillId="0" borderId="0" xfId="0"/>
    <xf numFmtId="0" fontId="0" fillId="0" borderId="0" xfId="0" applyFill="1" applyBorder="1" applyAlignment="1"/>
    <xf numFmtId="0" fontId="7" fillId="0" borderId="0" xfId="0" applyFont="1" applyBorder="1" applyAlignment="1">
      <alignment horizontal="center"/>
    </xf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Continuous"/>
    </xf>
    <xf numFmtId="1" fontId="11" fillId="0" borderId="0" xfId="0" applyNumberFormat="1" applyFont="1" applyAlignment="1">
      <alignment horizontal="centerContinuous"/>
    </xf>
    <xf numFmtId="0" fontId="11" fillId="0" borderId="0" xfId="0" applyFont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1" fontId="12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left"/>
    </xf>
    <xf numFmtId="1" fontId="12" fillId="0" borderId="0" xfId="0" quotePrefix="1" applyNumberFormat="1" applyFont="1" applyAlignment="1">
      <alignment horizontal="center"/>
    </xf>
    <xf numFmtId="0" fontId="10" fillId="0" borderId="0" xfId="0" applyFont="1" applyBorder="1" applyAlignment="1">
      <alignment horizontal="centerContinuous"/>
    </xf>
    <xf numFmtId="1" fontId="10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4" fontId="11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0" fontId="10" fillId="0" borderId="0" xfId="0" quotePrefix="1" applyFont="1" applyAlignment="1">
      <alignment horizontal="left"/>
    </xf>
    <xf numFmtId="2" fontId="10" fillId="0" borderId="0" xfId="0" applyNumberFormat="1" applyFont="1" applyAlignment="1">
      <alignment horizontal="center"/>
    </xf>
    <xf numFmtId="1" fontId="10" fillId="0" borderId="0" xfId="0" applyNumberFormat="1" applyFont="1"/>
    <xf numFmtId="1" fontId="7" fillId="0" borderId="0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0" borderId="0" xfId="0" applyBorder="1"/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6" fillId="0" borderId="0" xfId="0" quotePrefix="1" applyFont="1" applyBorder="1" applyAlignment="1">
      <alignment horizontal="left"/>
    </xf>
    <xf numFmtId="0" fontId="6" fillId="0" borderId="0" xfId="0" applyFont="1" applyBorder="1" applyAlignment="1"/>
    <xf numFmtId="0" fontId="7" fillId="0" borderId="1" xfId="0" quotePrefix="1" applyFont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1" fontId="8" fillId="2" borderId="0" xfId="0" applyNumberFormat="1" applyFont="1" applyFill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0" fontId="5" fillId="3" borderId="0" xfId="0" applyFont="1" applyFill="1" applyBorder="1" applyAlignment="1">
      <alignment horizontal="centerContinuous"/>
    </xf>
    <xf numFmtId="0" fontId="11" fillId="0" borderId="0" xfId="0" applyFont="1" applyBorder="1" applyAlignment="1">
      <alignment horizontal="centerContinuous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64" fontId="10" fillId="0" borderId="0" xfId="0" applyNumberFormat="1" applyFont="1" applyBorder="1"/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164" fontId="17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" fontId="10" fillId="0" borderId="0" xfId="0" applyNumberFormat="1" applyFont="1" applyBorder="1"/>
    <xf numFmtId="0" fontId="10" fillId="0" borderId="0" xfId="0" applyFont="1" applyAlignment="1"/>
    <xf numFmtId="1" fontId="11" fillId="0" borderId="0" xfId="0" applyNumberFormat="1" applyFont="1" applyAlignment="1"/>
    <xf numFmtId="0" fontId="5" fillId="0" borderId="0" xfId="0" quotePrefix="1" applyFont="1" applyBorder="1" applyAlignment="1">
      <alignment horizontal="left"/>
    </xf>
    <xf numFmtId="0" fontId="10" fillId="0" borderId="0" xfId="0" quotePrefix="1" applyFont="1" applyBorder="1" applyAlignment="1">
      <alignment horizontal="left"/>
    </xf>
    <xf numFmtId="0" fontId="13" fillId="0" borderId="0" xfId="0" applyFont="1" applyBorder="1"/>
    <xf numFmtId="0" fontId="5" fillId="0" borderId="0" xfId="0" applyFont="1" applyFill="1" applyBorder="1" applyAlignment="1">
      <alignment horizontal="centerContinuous"/>
    </xf>
    <xf numFmtId="0" fontId="20" fillId="0" borderId="0" xfId="0" quotePrefix="1" applyFont="1" applyAlignment="1">
      <alignment horizontal="centerContinuous"/>
    </xf>
    <xf numFmtId="0" fontId="20" fillId="0" borderId="0" xfId="0" applyFont="1" applyAlignment="1">
      <alignment horizontal="center"/>
    </xf>
    <xf numFmtId="1" fontId="21" fillId="0" borderId="0" xfId="0" applyNumberFormat="1" applyFont="1" applyAlignment="1">
      <alignment horizontal="center"/>
    </xf>
    <xf numFmtId="164" fontId="20" fillId="0" borderId="0" xfId="0" applyNumberFormat="1" applyFont="1" applyFill="1" applyAlignment="1"/>
    <xf numFmtId="164" fontId="18" fillId="0" borderId="0" xfId="0" applyNumberFormat="1" applyFont="1" applyFill="1" applyAlignment="1"/>
    <xf numFmtId="164" fontId="11" fillId="0" borderId="0" xfId="0" applyNumberFormat="1" applyFont="1" applyAlignment="1"/>
    <xf numFmtId="164" fontId="21" fillId="0" borderId="0" xfId="0" applyNumberFormat="1" applyFont="1" applyAlignment="1"/>
    <xf numFmtId="164" fontId="10" fillId="0" borderId="0" xfId="0" applyNumberFormat="1" applyFont="1" applyAlignment="1"/>
    <xf numFmtId="0" fontId="20" fillId="0" borderId="0" xfId="0" applyFont="1" applyAlignment="1"/>
    <xf numFmtId="164" fontId="20" fillId="0" borderId="0" xfId="0" applyNumberFormat="1" applyFont="1" applyAlignment="1"/>
    <xf numFmtId="164" fontId="20" fillId="0" borderId="0" xfId="0" quotePrefix="1" applyNumberFormat="1" applyFont="1" applyAlignment="1"/>
    <xf numFmtId="0" fontId="10" fillId="0" borderId="2" xfId="0" applyFont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1" fontId="5" fillId="0" borderId="0" xfId="0" applyNumberFormat="1" applyFont="1" applyFill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9" fontId="10" fillId="0" borderId="0" xfId="0" applyNumberFormat="1" applyFont="1" applyAlignment="1">
      <alignment horizontal="right"/>
    </xf>
    <xf numFmtId="9" fontId="11" fillId="0" borderId="0" xfId="0" applyNumberFormat="1" applyFont="1" applyAlignment="1">
      <alignment horizontal="right"/>
    </xf>
    <xf numFmtId="0" fontId="10" fillId="0" borderId="2" xfId="0" applyFont="1" applyBorder="1" applyAlignment="1">
      <alignment horizontal="right"/>
    </xf>
    <xf numFmtId="0" fontId="11" fillId="0" borderId="2" xfId="0" applyFont="1" applyBorder="1" applyAlignment="1">
      <alignment horizontal="right"/>
    </xf>
    <xf numFmtId="164" fontId="24" fillId="0" borderId="0" xfId="0" applyNumberFormat="1" applyFont="1" applyAlignment="1"/>
    <xf numFmtId="0" fontId="24" fillId="0" borderId="0" xfId="0" quotePrefix="1" applyFont="1" applyAlignment="1">
      <alignment horizontal="center"/>
    </xf>
    <xf numFmtId="0" fontId="24" fillId="0" borderId="2" xfId="0" applyFont="1" applyBorder="1" applyAlignment="1">
      <alignment horizontal="right"/>
    </xf>
    <xf numFmtId="1" fontId="24" fillId="0" borderId="0" xfId="0" applyNumberFormat="1" applyFont="1" applyFill="1" applyAlignment="1">
      <alignment horizontal="center"/>
    </xf>
    <xf numFmtId="0" fontId="24" fillId="0" borderId="2" xfId="0" applyFont="1" applyFill="1" applyBorder="1" applyAlignment="1">
      <alignment horizontal="center"/>
    </xf>
    <xf numFmtId="0" fontId="23" fillId="0" borderId="0" xfId="0" applyFont="1"/>
    <xf numFmtId="0" fontId="24" fillId="0" borderId="0" xfId="0" applyFont="1" applyBorder="1" applyAlignment="1">
      <alignment horizontal="centerContinuous"/>
    </xf>
    <xf numFmtId="0" fontId="23" fillId="0" borderId="0" xfId="0" applyFont="1" applyBorder="1" applyAlignment="1">
      <alignment horizontal="centerContinuous"/>
    </xf>
    <xf numFmtId="0" fontId="23" fillId="0" borderId="0" xfId="0" applyFont="1" applyBorder="1"/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4" fontId="23" fillId="0" borderId="0" xfId="0" applyNumberFormat="1" applyFont="1" applyAlignment="1">
      <alignment horizontal="center"/>
    </xf>
    <xf numFmtId="0" fontId="23" fillId="0" borderId="0" xfId="0" applyFont="1" applyBorder="1" applyAlignment="1">
      <alignment horizontal="center"/>
    </xf>
    <xf numFmtId="1" fontId="23" fillId="0" borderId="0" xfId="0" applyNumberFormat="1" applyFont="1" applyBorder="1" applyAlignment="1">
      <alignment horizontal="center"/>
    </xf>
    <xf numFmtId="164" fontId="23" fillId="0" borderId="0" xfId="0" applyNumberFormat="1" applyFont="1" applyBorder="1" applyAlignment="1">
      <alignment horizontal="center"/>
    </xf>
    <xf numFmtId="0" fontId="8" fillId="0" borderId="3" xfId="9" applyBorder="1"/>
    <xf numFmtId="0" fontId="8" fillId="0" borderId="0" xfId="9" applyAlignment="1"/>
    <xf numFmtId="0" fontId="8" fillId="0" borderId="0" xfId="9" applyAlignment="1">
      <alignment horizontal="center"/>
    </xf>
    <xf numFmtId="0" fontId="7" fillId="0" borderId="3" xfId="10" applyFont="1" applyBorder="1" applyAlignment="1">
      <alignment horizontal="right"/>
    </xf>
    <xf numFmtId="37" fontId="15" fillId="0" borderId="0" xfId="9" applyNumberFormat="1" applyFont="1"/>
    <xf numFmtId="169" fontId="7" fillId="0" borderId="0" xfId="10" quotePrefix="1" applyNumberFormat="1" applyFont="1" applyBorder="1" applyAlignment="1">
      <alignment horizontal="left" vertical="center" indent="1"/>
    </xf>
    <xf numFmtId="1" fontId="7" fillId="0" borderId="0" xfId="9" applyNumberFormat="1" applyFont="1" applyBorder="1" applyAlignment="1">
      <alignment horizontal="center"/>
    </xf>
    <xf numFmtId="37" fontId="8" fillId="0" borderId="0" xfId="4" applyNumberFormat="1" applyAlignment="1">
      <alignment horizontal="center"/>
    </xf>
    <xf numFmtId="37" fontId="8" fillId="0" borderId="0" xfId="4" applyNumberFormat="1"/>
    <xf numFmtId="37" fontId="9" fillId="0" borderId="0" xfId="4" applyNumberFormat="1" applyFont="1"/>
    <xf numFmtId="164" fontId="7" fillId="0" borderId="0" xfId="10" applyNumberFormat="1" applyFont="1" applyBorder="1" applyAlignment="1">
      <alignment horizontal="right" vertical="center"/>
    </xf>
    <xf numFmtId="37" fontId="8" fillId="0" borderId="0" xfId="9" applyNumberFormat="1"/>
    <xf numFmtId="0" fontId="8" fillId="0" borderId="0" xfId="9"/>
    <xf numFmtId="164" fontId="7" fillId="0" borderId="0" xfId="10" applyNumberFormat="1" applyFont="1" applyBorder="1" applyAlignment="1">
      <alignment vertical="center"/>
    </xf>
    <xf numFmtId="164" fontId="8" fillId="0" borderId="0" xfId="9" applyNumberFormat="1"/>
    <xf numFmtId="37" fontId="8" fillId="0" borderId="0" xfId="9" applyNumberFormat="1" applyAlignment="1">
      <alignment horizontal="center"/>
    </xf>
    <xf numFmtId="0" fontId="9" fillId="0" borderId="0" xfId="9" applyFont="1"/>
    <xf numFmtId="0" fontId="0" fillId="0" borderId="0" xfId="0" quotePrefix="1" applyFill="1" applyBorder="1" applyAlignment="1">
      <alignment horizontal="left"/>
    </xf>
    <xf numFmtId="0" fontId="8" fillId="0" borderId="0" xfId="9" applyBorder="1"/>
    <xf numFmtId="0" fontId="7" fillId="0" borderId="0" xfId="0" quotePrefix="1" applyFont="1" applyFill="1" applyBorder="1" applyAlignment="1">
      <alignment horizontal="left"/>
    </xf>
    <xf numFmtId="38" fontId="8" fillId="0" borderId="0" xfId="9" applyNumberFormat="1" applyBorder="1"/>
    <xf numFmtId="0" fontId="9" fillId="0" borderId="3" xfId="9" quotePrefix="1" applyFont="1" applyBorder="1" applyAlignment="1">
      <alignment horizontal="center"/>
    </xf>
    <xf numFmtId="171" fontId="0" fillId="0" borderId="0" xfId="1" applyNumberFormat="1" applyFont="1" applyAlignment="1">
      <alignment vertical="center"/>
    </xf>
    <xf numFmtId="171" fontId="7" fillId="0" borderId="0" xfId="10" applyNumberFormat="1" applyFont="1" applyBorder="1" applyAlignment="1">
      <alignment horizontal="right" vertical="center"/>
    </xf>
    <xf numFmtId="171" fontId="0" fillId="0" borderId="0" xfId="1" applyNumberFormat="1" applyFont="1" applyBorder="1" applyAlignment="1">
      <alignment vertical="center"/>
    </xf>
    <xf numFmtId="171" fontId="27" fillId="0" borderId="0" xfId="1" applyNumberFormat="1" applyFont="1" applyAlignment="1">
      <alignment vertical="center"/>
    </xf>
    <xf numFmtId="0" fontId="7" fillId="0" borderId="0" xfId="9" applyFont="1"/>
    <xf numFmtId="0" fontId="8" fillId="0" borderId="0" xfId="9" quotePrefix="1" applyFont="1" applyAlignment="1">
      <alignment horizontal="left"/>
    </xf>
    <xf numFmtId="0" fontId="9" fillId="0" borderId="0" xfId="9" quotePrefix="1" applyFont="1" applyBorder="1" applyAlignment="1">
      <alignment horizontal="center"/>
    </xf>
    <xf numFmtId="0" fontId="16" fillId="0" borderId="0" xfId="9" quotePrefix="1" applyFont="1" applyAlignment="1">
      <alignment horizontal="left"/>
    </xf>
    <xf numFmtId="0" fontId="8" fillId="0" borderId="3" xfId="8" applyBorder="1" applyAlignment="1">
      <alignment horizontal="center"/>
    </xf>
    <xf numFmtId="0" fontId="8" fillId="0" borderId="3" xfId="8" applyBorder="1"/>
    <xf numFmtId="0" fontId="8" fillId="0" borderId="0" xfId="8" applyAlignment="1">
      <alignment horizontal="center"/>
    </xf>
    <xf numFmtId="0" fontId="8" fillId="0" borderId="0" xfId="8"/>
    <xf numFmtId="0" fontId="9" fillId="0" borderId="0" xfId="8" quotePrefix="1" applyFont="1" applyAlignment="1">
      <alignment horizontal="left"/>
    </xf>
    <xf numFmtId="0" fontId="8" fillId="0" borderId="0" xfId="8" quotePrefix="1" applyAlignment="1">
      <alignment horizontal="center"/>
    </xf>
    <xf numFmtId="0" fontId="8" fillId="0" borderId="3" xfId="8" quotePrefix="1" applyBorder="1" applyAlignment="1">
      <alignment horizontal="center"/>
    </xf>
    <xf numFmtId="0" fontId="8" fillId="0" borderId="3" xfId="8" applyFont="1" applyBorder="1" applyAlignment="1">
      <alignment horizontal="center"/>
    </xf>
    <xf numFmtId="0" fontId="8" fillId="0" borderId="0" xfId="8" applyBorder="1"/>
    <xf numFmtId="173" fontId="8" fillId="0" borderId="0" xfId="8" applyNumberFormat="1" applyAlignment="1">
      <alignment horizontal="center"/>
    </xf>
    <xf numFmtId="0" fontId="8" fillId="0" borderId="0" xfId="8" applyBorder="1" applyAlignment="1">
      <alignment horizontal="center"/>
    </xf>
    <xf numFmtId="3" fontId="8" fillId="0" borderId="0" xfId="3" applyNumberFormat="1" applyBorder="1" applyAlignment="1">
      <alignment horizontal="center"/>
    </xf>
    <xf numFmtId="3" fontId="8" fillId="0" borderId="0" xfId="8" applyNumberFormat="1" applyAlignment="1">
      <alignment horizontal="center"/>
    </xf>
    <xf numFmtId="3" fontId="8" fillId="0" borderId="0" xfId="3" applyNumberFormat="1" applyAlignment="1">
      <alignment horizontal="center"/>
    </xf>
    <xf numFmtId="0" fontId="8" fillId="0" borderId="0" xfId="8" applyFill="1" applyBorder="1" applyAlignment="1"/>
    <xf numFmtId="174" fontId="8" fillId="0" borderId="0" xfId="3" applyNumberFormat="1" applyAlignment="1">
      <alignment horizontal="center"/>
    </xf>
    <xf numFmtId="1" fontId="8" fillId="0" borderId="0" xfId="8" applyNumberFormat="1"/>
    <xf numFmtId="3" fontId="8" fillId="0" borderId="0" xfId="8" applyNumberFormat="1"/>
    <xf numFmtId="173" fontId="8" fillId="0" borderId="0" xfId="8" applyNumberFormat="1" applyBorder="1" applyAlignment="1">
      <alignment horizontal="center"/>
    </xf>
    <xf numFmtId="164" fontId="8" fillId="0" borderId="0" xfId="8" applyNumberFormat="1" applyFont="1" applyBorder="1" applyAlignment="1">
      <alignment horizontal="center"/>
    </xf>
    <xf numFmtId="0" fontId="29" fillId="0" borderId="0" xfId="8" applyFont="1" applyFill="1" applyBorder="1" applyAlignment="1">
      <alignment horizontal="centerContinuous"/>
    </xf>
    <xf numFmtId="0" fontId="29" fillId="0" borderId="0" xfId="8" applyFont="1" applyFill="1" applyBorder="1" applyAlignment="1">
      <alignment horizontal="center"/>
    </xf>
    <xf numFmtId="164" fontId="8" fillId="0" borderId="0" xfId="8" applyNumberFormat="1"/>
    <xf numFmtId="164" fontId="8" fillId="0" borderId="0" xfId="8" applyNumberFormat="1" applyAlignment="1">
      <alignment horizontal="center"/>
    </xf>
    <xf numFmtId="0" fontId="9" fillId="0" borderId="0" xfId="8" applyFont="1" applyAlignment="1">
      <alignment horizontal="center"/>
    </xf>
    <xf numFmtId="164" fontId="9" fillId="0" borderId="0" xfId="8" applyNumberFormat="1" applyFont="1" applyBorder="1" applyAlignment="1">
      <alignment horizontal="center"/>
    </xf>
    <xf numFmtId="0" fontId="9" fillId="0" borderId="0" xfId="9" applyFont="1" applyAlignment="1">
      <alignment horizontal="right" vertical="justify"/>
    </xf>
    <xf numFmtId="0" fontId="8" fillId="0" borderId="0" xfId="9" applyAlignment="1">
      <alignment vertical="justify"/>
    </xf>
    <xf numFmtId="37" fontId="7" fillId="0" borderId="0" xfId="4" applyNumberFormat="1" applyFont="1"/>
    <xf numFmtId="0" fontId="9" fillId="0" borderId="0" xfId="9" quotePrefix="1" applyFont="1" applyAlignment="1">
      <alignment horizontal="left"/>
    </xf>
    <xf numFmtId="0" fontId="8" fillId="0" borderId="0" xfId="9" applyAlignment="1">
      <alignment horizontal="center" vertical="justify"/>
    </xf>
    <xf numFmtId="0" fontId="7" fillId="0" borderId="0" xfId="10" applyFont="1" applyBorder="1" applyAlignment="1">
      <alignment horizontal="center" vertical="justify"/>
    </xf>
    <xf numFmtId="0" fontId="7" fillId="0" borderId="0" xfId="9" applyFont="1" applyAlignment="1">
      <alignment horizontal="center" vertical="justify"/>
    </xf>
    <xf numFmtId="0" fontId="7" fillId="0" borderId="0" xfId="10" quotePrefix="1" applyFont="1" applyBorder="1" applyAlignment="1">
      <alignment horizontal="center" vertical="justify"/>
    </xf>
    <xf numFmtId="0" fontId="8" fillId="0" borderId="0" xfId="9" applyAlignment="1">
      <alignment horizontal="right" vertical="justify"/>
    </xf>
    <xf numFmtId="0" fontId="8" fillId="0" borderId="0" xfId="9" quotePrefix="1" applyAlignment="1">
      <alignment horizontal="right" vertical="justify"/>
    </xf>
    <xf numFmtId="0" fontId="7" fillId="0" borderId="0" xfId="10" applyFont="1" applyBorder="1" applyAlignment="1">
      <alignment horizontal="right" vertical="justify"/>
    </xf>
    <xf numFmtId="0" fontId="8" fillId="0" borderId="0" xfId="9" applyFont="1" applyAlignment="1">
      <alignment horizontal="right" vertical="justify"/>
    </xf>
    <xf numFmtId="0" fontId="8" fillId="0" borderId="0" xfId="9" quotePrefix="1" applyFont="1" applyAlignment="1">
      <alignment horizontal="right" vertical="justify"/>
    </xf>
    <xf numFmtId="0" fontId="7" fillId="0" borderId="3" xfId="10" applyFont="1" applyBorder="1" applyAlignment="1">
      <alignment horizontal="center" vertical="justify"/>
    </xf>
    <xf numFmtId="0" fontId="7" fillId="0" borderId="3" xfId="10" applyFont="1" applyBorder="1" applyAlignment="1">
      <alignment horizontal="left" vertical="justify" indent="1"/>
    </xf>
    <xf numFmtId="0" fontId="7" fillId="0" borderId="3" xfId="10" applyFont="1" applyBorder="1" applyAlignment="1">
      <alignment horizontal="right" vertical="justify"/>
    </xf>
    <xf numFmtId="0" fontId="9" fillId="0" borderId="3" xfId="10" applyFont="1" applyBorder="1" applyAlignment="1">
      <alignment horizontal="right" vertical="justify"/>
    </xf>
    <xf numFmtId="1" fontId="8" fillId="0" borderId="0" xfId="8" applyNumberFormat="1" applyAlignment="1">
      <alignment horizontal="center"/>
    </xf>
    <xf numFmtId="37" fontId="8" fillId="0" borderId="0" xfId="9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3" fontId="0" fillId="0" borderId="0" xfId="0" applyNumberFormat="1" applyBorder="1"/>
    <xf numFmtId="1" fontId="0" fillId="0" borderId="0" xfId="0" applyNumberFormat="1" applyBorder="1"/>
    <xf numFmtId="1" fontId="0" fillId="0" borderId="1" xfId="0" applyNumberFormat="1" applyBorder="1"/>
    <xf numFmtId="0" fontId="9" fillId="0" borderId="0" xfId="0" quotePrefix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4" fontId="28" fillId="0" borderId="0" xfId="8" applyNumberFormat="1" applyFont="1" applyBorder="1" applyAlignment="1">
      <alignment horizontal="center"/>
    </xf>
    <xf numFmtId="14" fontId="8" fillId="0" borderId="0" xfId="8" applyNumberFormat="1" applyAlignment="1">
      <alignment horizontal="center"/>
    </xf>
    <xf numFmtId="0" fontId="8" fillId="0" borderId="3" xfId="8" quotePrefix="1" applyFont="1" applyBorder="1" applyAlignment="1">
      <alignment horizontal="center"/>
    </xf>
    <xf numFmtId="0" fontId="8" fillId="0" borderId="0" xfId="6"/>
    <xf numFmtId="0" fontId="8" fillId="0" borderId="0" xfId="6" quotePrefix="1" applyAlignment="1">
      <alignment horizontal="left"/>
    </xf>
    <xf numFmtId="164" fontId="8" fillId="0" borderId="0" xfId="6" applyNumberFormat="1"/>
    <xf numFmtId="0" fontId="8" fillId="0" borderId="0" xfId="6" applyFont="1"/>
    <xf numFmtId="164" fontId="10" fillId="0" borderId="0" xfId="0" applyNumberFormat="1" applyFont="1" applyFill="1" applyBorder="1" applyAlignment="1"/>
    <xf numFmtId="0" fontId="10" fillId="0" borderId="0" xfId="0" quotePrefix="1" applyFont="1" applyBorder="1" applyAlignment="1"/>
    <xf numFmtId="164" fontId="18" fillId="0" borderId="0" xfId="0" applyNumberFormat="1" applyFont="1" applyFill="1" applyBorder="1" applyAlignment="1"/>
    <xf numFmtId="164" fontId="11" fillId="0" borderId="0" xfId="0" applyNumberFormat="1" applyFont="1" applyBorder="1" applyAlignment="1"/>
    <xf numFmtId="164" fontId="10" fillId="0" borderId="0" xfId="0" applyNumberFormat="1" applyFont="1" applyBorder="1" applyAlignment="1"/>
    <xf numFmtId="165" fontId="7" fillId="0" borderId="0" xfId="0" applyNumberFormat="1" applyFont="1" applyBorder="1" applyAlignment="1">
      <alignment horizontal="center"/>
    </xf>
    <xf numFmtId="167" fontId="7" fillId="0" borderId="0" xfId="0" applyNumberFormat="1" applyFont="1" applyBorder="1" applyAlignment="1">
      <alignment horizontal="center"/>
    </xf>
    <xf numFmtId="3" fontId="4" fillId="0" borderId="0" xfId="1" applyNumberFormat="1" applyBorder="1"/>
    <xf numFmtId="167" fontId="19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quotePrefix="1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8" fillId="0" borderId="3" xfId="7" applyBorder="1"/>
    <xf numFmtId="0" fontId="9" fillId="0" borderId="3" xfId="7" applyFont="1" applyBorder="1"/>
    <xf numFmtId="0" fontId="8" fillId="0" borderId="3" xfId="7" applyFill="1" applyBorder="1"/>
    <xf numFmtId="0" fontId="8" fillId="0" borderId="0" xfId="7" applyAlignment="1">
      <alignment horizontal="center"/>
    </xf>
    <xf numFmtId="0" fontId="8" fillId="0" borderId="0" xfId="7"/>
    <xf numFmtId="0" fontId="9" fillId="0" borderId="0" xfId="7" applyFont="1"/>
    <xf numFmtId="0" fontId="8" fillId="4" borderId="0" xfId="7" applyFill="1"/>
    <xf numFmtId="0" fontId="8" fillId="0" borderId="0" xfId="7" quotePrefix="1" applyFont="1" applyAlignment="1">
      <alignment horizontal="left"/>
    </xf>
    <xf numFmtId="0" fontId="8" fillId="0" borderId="0" xfId="7" quotePrefix="1" applyAlignment="1">
      <alignment horizontal="center"/>
    </xf>
    <xf numFmtId="0" fontId="9" fillId="0" borderId="0" xfId="7" applyFont="1" applyAlignment="1">
      <alignment horizontal="center"/>
    </xf>
    <xf numFmtId="0" fontId="8" fillId="0" borderId="0" xfId="7" applyAlignment="1">
      <alignment horizontal="right"/>
    </xf>
    <xf numFmtId="0" fontId="8" fillId="0" borderId="1" xfId="7" applyBorder="1" applyAlignment="1">
      <alignment horizontal="center"/>
    </xf>
    <xf numFmtId="0" fontId="8" fillId="0" borderId="1" xfId="7" quotePrefix="1" applyBorder="1" applyAlignment="1">
      <alignment horizontal="center"/>
    </xf>
    <xf numFmtId="0" fontId="8" fillId="0" borderId="1" xfId="7" applyBorder="1" applyAlignment="1">
      <alignment horizontal="right"/>
    </xf>
    <xf numFmtId="0" fontId="8" fillId="0" borderId="1" xfId="7" applyBorder="1"/>
    <xf numFmtId="0" fontId="8" fillId="4" borderId="1" xfId="7" applyFill="1" applyBorder="1"/>
    <xf numFmtId="1" fontId="8" fillId="0" borderId="0" xfId="7" applyNumberFormat="1" applyAlignment="1">
      <alignment horizontal="center"/>
    </xf>
    <xf numFmtId="1" fontId="8" fillId="0" borderId="0" xfId="7" applyNumberFormat="1"/>
    <xf numFmtId="0" fontId="7" fillId="0" borderId="0" xfId="7" applyFont="1" applyBorder="1" applyAlignment="1">
      <alignment horizontal="center"/>
    </xf>
    <xf numFmtId="10" fontId="8" fillId="0" borderId="0" xfId="7" applyNumberFormat="1" applyBorder="1" applyAlignment="1">
      <alignment horizontal="center"/>
    </xf>
    <xf numFmtId="10" fontId="7" fillId="0" borderId="0" xfId="7" applyNumberFormat="1" applyFont="1" applyBorder="1" applyAlignment="1">
      <alignment horizontal="center"/>
    </xf>
    <xf numFmtId="10" fontId="8" fillId="0" borderId="0" xfId="7" applyNumberFormat="1" applyAlignment="1">
      <alignment horizontal="center"/>
    </xf>
    <xf numFmtId="0" fontId="7" fillId="0" borderId="0" xfId="7" applyFont="1"/>
    <xf numFmtId="1" fontId="0" fillId="0" borderId="0" xfId="0" applyNumberFormat="1"/>
    <xf numFmtId="168" fontId="4" fillId="0" borderId="0" xfId="11" applyNumberFormat="1"/>
    <xf numFmtId="1" fontId="9" fillId="0" borderId="0" xfId="7" applyNumberFormat="1" applyFont="1" applyAlignment="1">
      <alignment horizontal="center"/>
    </xf>
    <xf numFmtId="1" fontId="7" fillId="0" borderId="0" xfId="7" applyNumberFormat="1" applyFont="1" applyAlignment="1">
      <alignment horizontal="center"/>
    </xf>
    <xf numFmtId="1" fontId="9" fillId="0" borderId="0" xfId="7" applyNumberFormat="1" applyFont="1"/>
    <xf numFmtId="10" fontId="9" fillId="0" borderId="0" xfId="11" applyNumberFormat="1" applyFont="1" applyAlignment="1">
      <alignment horizontal="center"/>
    </xf>
    <xf numFmtId="1" fontId="7" fillId="4" borderId="0" xfId="7" applyNumberFormat="1" applyFont="1" applyFill="1" applyAlignment="1">
      <alignment horizontal="center"/>
    </xf>
    <xf numFmtId="10" fontId="7" fillId="4" borderId="0" xfId="11" applyNumberFormat="1" applyFont="1" applyFill="1" applyAlignment="1">
      <alignment horizontal="center"/>
    </xf>
    <xf numFmtId="0" fontId="8" fillId="0" borderId="7" xfId="7" applyBorder="1" applyAlignment="1">
      <alignment horizontal="center"/>
    </xf>
    <xf numFmtId="1" fontId="8" fillId="0" borderId="7" xfId="7" applyNumberFormat="1" applyBorder="1" applyAlignment="1">
      <alignment horizontal="center"/>
    </xf>
    <xf numFmtId="1" fontId="7" fillId="0" borderId="7" xfId="7" applyNumberFormat="1" applyFont="1" applyBorder="1" applyAlignment="1">
      <alignment horizontal="center"/>
    </xf>
    <xf numFmtId="1" fontId="8" fillId="0" borderId="7" xfId="7" applyNumberFormat="1" applyBorder="1"/>
    <xf numFmtId="0" fontId="9" fillId="0" borderId="7" xfId="7" applyFont="1" applyBorder="1" applyAlignment="1">
      <alignment horizontal="center"/>
    </xf>
    <xf numFmtId="0" fontId="8" fillId="0" borderId="7" xfId="7" applyBorder="1"/>
    <xf numFmtId="1" fontId="7" fillId="4" borderId="7" xfId="7" applyNumberFormat="1" applyFont="1" applyFill="1" applyBorder="1" applyAlignment="1">
      <alignment horizontal="center"/>
    </xf>
    <xf numFmtId="10" fontId="7" fillId="4" borderId="7" xfId="11" applyNumberFormat="1" applyFont="1" applyFill="1" applyBorder="1" applyAlignment="1">
      <alignment horizontal="center"/>
    </xf>
    <xf numFmtId="0" fontId="8" fillId="0" borderId="0" xfId="7" applyFill="1"/>
    <xf numFmtId="1" fontId="19" fillId="0" borderId="0" xfId="7" applyNumberFormat="1" applyFont="1" applyAlignment="1">
      <alignment horizontal="center"/>
    </xf>
    <xf numFmtId="0" fontId="35" fillId="0" borderId="0" xfId="7" applyFont="1" applyAlignment="1">
      <alignment horizontal="center"/>
    </xf>
    <xf numFmtId="1" fontId="35" fillId="0" borderId="0" xfId="7" applyNumberFormat="1" applyFont="1" applyAlignment="1">
      <alignment horizontal="center"/>
    </xf>
    <xf numFmtId="1" fontId="35" fillId="0" borderId="0" xfId="7" applyNumberFormat="1" applyFont="1"/>
    <xf numFmtId="10" fontId="35" fillId="0" borderId="0" xfId="11" applyNumberFormat="1" applyFont="1" applyAlignment="1">
      <alignment horizontal="center"/>
    </xf>
    <xf numFmtId="0" fontId="35" fillId="0" borderId="0" xfId="7" applyFont="1"/>
    <xf numFmtId="1" fontId="19" fillId="4" borderId="0" xfId="7" applyNumberFormat="1" applyFont="1" applyFill="1" applyAlignment="1">
      <alignment horizontal="center"/>
    </xf>
    <xf numFmtId="10" fontId="19" fillId="4" borderId="0" xfId="11" applyNumberFormat="1" applyFont="1" applyFill="1" applyAlignment="1">
      <alignment horizontal="center"/>
    </xf>
    <xf numFmtId="0" fontId="9" fillId="0" borderId="3" xfId="9" quotePrefix="1" applyFont="1" applyBorder="1" applyAlignment="1">
      <alignment horizontal="left"/>
    </xf>
    <xf numFmtId="0" fontId="8" fillId="0" borderId="0" xfId="9" applyFont="1"/>
    <xf numFmtId="0" fontId="8" fillId="0" borderId="8" xfId="9" quotePrefix="1" applyFont="1" applyBorder="1" applyAlignment="1">
      <alignment horizontal="right"/>
    </xf>
    <xf numFmtId="0" fontId="7" fillId="0" borderId="8" xfId="9" quotePrefix="1" applyFont="1" applyBorder="1" applyAlignment="1">
      <alignment horizontal="right"/>
    </xf>
    <xf numFmtId="0" fontId="7" fillId="0" borderId="8" xfId="9" applyFont="1" applyBorder="1" applyAlignment="1">
      <alignment horizontal="right"/>
    </xf>
    <xf numFmtId="0" fontId="37" fillId="0" borderId="8" xfId="0" applyFont="1" applyFill="1" applyBorder="1" applyAlignment="1">
      <alignment horizontal="right"/>
    </xf>
    <xf numFmtId="2" fontId="34" fillId="0" borderId="8" xfId="0" applyNumberFormat="1" applyFont="1" applyFill="1" applyBorder="1" applyAlignment="1">
      <alignment horizontal="right"/>
    </xf>
    <xf numFmtId="2" fontId="34" fillId="0" borderId="8" xfId="0" applyNumberFormat="1" applyFont="1" applyBorder="1" applyAlignment="1">
      <alignment horizontal="right"/>
    </xf>
    <xf numFmtId="166" fontId="34" fillId="0" borderId="8" xfId="0" applyNumberFormat="1" applyFont="1" applyBorder="1" applyAlignment="1">
      <alignment horizontal="right"/>
    </xf>
    <xf numFmtId="164" fontId="34" fillId="0" borderId="8" xfId="0" applyNumberFormat="1" applyFont="1" applyBorder="1" applyAlignment="1">
      <alignment horizontal="right"/>
    </xf>
    <xf numFmtId="0" fontId="37" fillId="0" borderId="8" xfId="0" quotePrefix="1" applyFont="1" applyFill="1" applyBorder="1" applyAlignment="1">
      <alignment horizontal="right"/>
    </xf>
    <xf numFmtId="167" fontId="38" fillId="0" borderId="8" xfId="0" applyNumberFormat="1" applyFont="1" applyFill="1" applyBorder="1" applyAlignment="1">
      <alignment horizontal="right"/>
    </xf>
    <xf numFmtId="167" fontId="38" fillId="0" borderId="8" xfId="0" applyNumberFormat="1" applyFont="1" applyBorder="1" applyAlignment="1">
      <alignment horizontal="right"/>
    </xf>
    <xf numFmtId="166" fontId="38" fillId="0" borderId="8" xfId="0" applyNumberFormat="1" applyFont="1" applyBorder="1" applyAlignment="1">
      <alignment horizontal="right"/>
    </xf>
    <xf numFmtId="167" fontId="40" fillId="0" borderId="8" xfId="0" applyNumberFormat="1" applyFont="1" applyFill="1" applyBorder="1" applyAlignment="1">
      <alignment horizontal="right"/>
    </xf>
    <xf numFmtId="167" fontId="40" fillId="0" borderId="8" xfId="0" applyNumberFormat="1" applyFont="1" applyBorder="1" applyAlignment="1">
      <alignment horizontal="right"/>
    </xf>
    <xf numFmtId="0" fontId="41" fillId="0" borderId="8" xfId="0" applyFont="1" applyBorder="1" applyAlignment="1">
      <alignment horizontal="right"/>
    </xf>
    <xf numFmtId="0" fontId="37" fillId="0" borderId="8" xfId="0" quotePrefix="1" applyFont="1" applyBorder="1" applyAlignment="1">
      <alignment horizontal="right"/>
    </xf>
    <xf numFmtId="0" fontId="38" fillId="0" borderId="8" xfId="0" applyFont="1" applyBorder="1" applyAlignment="1">
      <alignment horizontal="right"/>
    </xf>
    <xf numFmtId="0" fontId="38" fillId="0" borderId="8" xfId="0" quotePrefix="1" applyFont="1" applyFill="1" applyBorder="1" applyAlignment="1">
      <alignment horizontal="right"/>
    </xf>
    <xf numFmtId="2" fontId="39" fillId="0" borderId="8" xfId="0" applyNumberFormat="1" applyFont="1" applyFill="1" applyBorder="1" applyAlignment="1">
      <alignment horizontal="right"/>
    </xf>
    <xf numFmtId="0" fontId="7" fillId="0" borderId="0" xfId="9" applyFont="1" applyBorder="1" applyAlignment="1">
      <alignment horizontal="center"/>
    </xf>
    <xf numFmtId="0" fontId="8" fillId="0" borderId="0" xfId="8" applyFont="1" applyAlignment="1">
      <alignment horizontal="center"/>
    </xf>
    <xf numFmtId="0" fontId="7" fillId="0" borderId="0" xfId="9" applyFont="1" applyBorder="1" applyAlignment="1">
      <alignment horizontal="right"/>
    </xf>
    <xf numFmtId="164" fontId="34" fillId="0" borderId="0" xfId="0" applyNumberFormat="1" applyFont="1" applyBorder="1" applyAlignment="1">
      <alignment horizontal="right"/>
    </xf>
    <xf numFmtId="167" fontId="38" fillId="0" borderId="0" xfId="0" applyNumberFormat="1" applyFont="1" applyBorder="1" applyAlignment="1">
      <alignment horizontal="right"/>
    </xf>
    <xf numFmtId="0" fontId="41" fillId="0" borderId="0" xfId="0" applyFont="1" applyBorder="1" applyAlignment="1">
      <alignment horizontal="right"/>
    </xf>
    <xf numFmtId="2" fontId="39" fillId="0" borderId="0" xfId="0" applyNumberFormat="1" applyFont="1" applyFill="1" applyBorder="1" applyAlignment="1">
      <alignment horizontal="right"/>
    </xf>
    <xf numFmtId="0" fontId="7" fillId="0" borderId="0" xfId="9" quotePrefix="1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right"/>
    </xf>
    <xf numFmtId="2" fontId="34" fillId="0" borderId="0" xfId="0" applyNumberFormat="1" applyFont="1" applyBorder="1" applyAlignment="1">
      <alignment horizontal="right"/>
    </xf>
    <xf numFmtId="166" fontId="34" fillId="0" borderId="0" xfId="0" applyNumberFormat="1" applyFont="1" applyBorder="1" applyAlignment="1">
      <alignment horizontal="right"/>
    </xf>
    <xf numFmtId="167" fontId="38" fillId="0" borderId="0" xfId="0" applyNumberFormat="1" applyFont="1" applyFill="1" applyBorder="1" applyAlignment="1">
      <alignment horizontal="right"/>
    </xf>
    <xf numFmtId="166" fontId="38" fillId="0" borderId="0" xfId="0" applyNumberFormat="1" applyFont="1" applyBorder="1" applyAlignment="1">
      <alignment horizontal="right"/>
    </xf>
    <xf numFmtId="167" fontId="40" fillId="0" borderId="0" xfId="0" applyNumberFormat="1" applyFont="1" applyFill="1" applyBorder="1" applyAlignment="1">
      <alignment horizontal="right"/>
    </xf>
    <xf numFmtId="167" fontId="40" fillId="0" borderId="0" xfId="0" applyNumberFormat="1" applyFont="1" applyBorder="1" applyAlignment="1">
      <alignment horizontal="right"/>
    </xf>
    <xf numFmtId="0" fontId="38" fillId="0" borderId="0" xfId="0" applyFont="1" applyBorder="1" applyAlignment="1">
      <alignment horizontal="right"/>
    </xf>
    <xf numFmtId="0" fontId="4" fillId="0" borderId="8" xfId="0" applyFont="1" applyFill="1" applyBorder="1" applyAlignment="1">
      <alignment horizontal="right"/>
    </xf>
    <xf numFmtId="0" fontId="4" fillId="0" borderId="8" xfId="0" quotePrefix="1" applyFont="1" applyFill="1" applyBorder="1" applyAlignment="1">
      <alignment horizontal="right"/>
    </xf>
    <xf numFmtId="0" fontId="4" fillId="0" borderId="8" xfId="0" quotePrefix="1" applyFont="1" applyBorder="1" applyAlignment="1">
      <alignment horizontal="right"/>
    </xf>
    <xf numFmtId="164" fontId="7" fillId="0" borderId="0" xfId="8" applyNumberFormat="1" applyFont="1" applyAlignment="1">
      <alignment horizontal="center"/>
    </xf>
    <xf numFmtId="0" fontId="7" fillId="0" borderId="0" xfId="8" applyFont="1" applyAlignment="1">
      <alignment horizontal="center"/>
    </xf>
    <xf numFmtId="0" fontId="19" fillId="0" borderId="3" xfId="8" quotePrefix="1" applyFont="1" applyBorder="1" applyAlignment="1">
      <alignment horizontal="center"/>
    </xf>
    <xf numFmtId="3" fontId="19" fillId="0" borderId="0" xfId="3" applyNumberFormat="1" applyFont="1" applyAlignment="1">
      <alignment horizontal="center"/>
    </xf>
    <xf numFmtId="0" fontId="19" fillId="0" borderId="0" xfId="8" applyFont="1" applyAlignment="1">
      <alignment horizontal="center"/>
    </xf>
    <xf numFmtId="0" fontId="7" fillId="0" borderId="9" xfId="9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164" fontId="31" fillId="0" borderId="0" xfId="0" applyNumberFormat="1" applyFont="1" applyBorder="1" applyAlignment="1">
      <alignment horizontal="right"/>
    </xf>
    <xf numFmtId="167" fontId="32" fillId="0" borderId="0" xfId="0" applyNumberFormat="1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167" fontId="34" fillId="0" borderId="8" xfId="0" applyNumberFormat="1" applyFont="1" applyBorder="1" applyAlignment="1">
      <alignment horizontal="right"/>
    </xf>
    <xf numFmtId="0" fontId="8" fillId="0" borderId="0" xfId="8" applyFont="1"/>
    <xf numFmtId="0" fontId="19" fillId="0" borderId="0" xfId="9" applyFont="1" applyBorder="1"/>
    <xf numFmtId="167" fontId="40" fillId="0" borderId="9" xfId="0" applyNumberFormat="1" applyFont="1" applyBorder="1" applyAlignment="1">
      <alignment horizontal="right"/>
    </xf>
    <xf numFmtId="0" fontId="38" fillId="0" borderId="9" xfId="0" applyFont="1" applyBorder="1" applyAlignment="1">
      <alignment horizontal="right"/>
    </xf>
    <xf numFmtId="0" fontId="7" fillId="0" borderId="0" xfId="9" applyFont="1" applyBorder="1"/>
    <xf numFmtId="0" fontId="7" fillId="0" borderId="3" xfId="8" applyFont="1" applyBorder="1" applyAlignment="1">
      <alignment horizontal="center"/>
    </xf>
    <xf numFmtId="3" fontId="7" fillId="0" borderId="0" xfId="3" applyNumberFormat="1" applyFont="1" applyAlignment="1">
      <alignment horizontal="center"/>
    </xf>
    <xf numFmtId="0" fontId="11" fillId="0" borderId="0" xfId="0" quotePrefix="1" applyFont="1" applyAlignment="1">
      <alignment horizontal="left"/>
    </xf>
    <xf numFmtId="0" fontId="8" fillId="0" borderId="0" xfId="6" quotePrefix="1" applyFont="1" applyAlignment="1">
      <alignment horizontal="left"/>
    </xf>
    <xf numFmtId="0" fontId="8" fillId="0" borderId="0" xfId="8" quotePrefix="1" applyFont="1" applyAlignment="1">
      <alignment horizontal="left"/>
    </xf>
    <xf numFmtId="165" fontId="34" fillId="0" borderId="8" xfId="0" applyNumberFormat="1" applyFont="1" applyBorder="1" applyAlignment="1">
      <alignment horizontal="right"/>
    </xf>
    <xf numFmtId="0" fontId="8" fillId="0" borderId="0" xfId="8" quotePrefix="1" applyFont="1" applyAlignment="1">
      <alignment horizontal="right"/>
    </xf>
    <xf numFmtId="164" fontId="9" fillId="0" borderId="0" xfId="8" applyNumberFormat="1" applyFont="1" applyAlignment="1">
      <alignment horizontal="center"/>
    </xf>
    <xf numFmtId="0" fontId="9" fillId="0" borderId="3" xfId="8" applyFont="1" applyBorder="1" applyAlignment="1">
      <alignment horizontal="center"/>
    </xf>
    <xf numFmtId="0" fontId="8" fillId="0" borderId="0" xfId="8" quotePrefix="1" applyFont="1" applyAlignment="1">
      <alignment horizontal="center"/>
    </xf>
    <xf numFmtId="0" fontId="10" fillId="0" borderId="0" xfId="0" applyFont="1" applyFill="1" applyBorder="1" applyAlignment="1">
      <alignment horizontal="centerContinuous"/>
    </xf>
    <xf numFmtId="0" fontId="11" fillId="0" borderId="0" xfId="0" applyFont="1" applyFill="1" applyBorder="1" applyAlignment="1">
      <alignment horizontal="centerContinuous"/>
    </xf>
    <xf numFmtId="1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quotePrefix="1" applyFont="1" applyAlignment="1">
      <alignment horizontal="right"/>
    </xf>
    <xf numFmtId="0" fontId="20" fillId="0" borderId="0" xfId="0" quotePrefix="1" applyFont="1" applyAlignment="1">
      <alignment horizontal="left"/>
    </xf>
    <xf numFmtId="171" fontId="8" fillId="0" borderId="0" xfId="9" applyNumberFormat="1"/>
    <xf numFmtId="0" fontId="5" fillId="0" borderId="0" xfId="0" quotePrefix="1" applyFont="1" applyAlignment="1">
      <alignment horizontal="center"/>
    </xf>
    <xf numFmtId="3" fontId="0" fillId="0" borderId="0" xfId="0" applyNumberFormat="1"/>
    <xf numFmtId="0" fontId="0" fillId="0" borderId="0" xfId="0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28" fillId="0" borderId="0" xfId="8" applyFont="1"/>
    <xf numFmtId="0" fontId="7" fillId="0" borderId="3" xfId="8" quotePrefix="1" applyFont="1" applyBorder="1" applyAlignment="1">
      <alignment horizontal="center"/>
    </xf>
    <xf numFmtId="1" fontId="28" fillId="0" borderId="0" xfId="7" applyNumberFormat="1" applyFont="1" applyAlignment="1">
      <alignment horizontal="center"/>
    </xf>
    <xf numFmtId="1" fontId="7" fillId="0" borderId="1" xfId="0" applyNumberFormat="1" applyFont="1" applyBorder="1" applyAlignment="1">
      <alignment horizontal="center"/>
    </xf>
    <xf numFmtId="175" fontId="8" fillId="0" borderId="0" xfId="8" applyNumberFormat="1" applyAlignment="1">
      <alignment horizontal="center"/>
    </xf>
    <xf numFmtId="0" fontId="16" fillId="0" borderId="0" xfId="0" quotePrefix="1" applyFont="1" applyBorder="1" applyAlignment="1">
      <alignment horizontal="left"/>
    </xf>
    <xf numFmtId="0" fontId="8" fillId="0" borderId="3" xfId="8" quotePrefix="1" applyFont="1" applyBorder="1" applyAlignment="1">
      <alignment horizontal="left"/>
    </xf>
    <xf numFmtId="164" fontId="7" fillId="0" borderId="1" xfId="0" applyNumberFormat="1" applyFont="1" applyBorder="1" applyAlignment="1">
      <alignment horizontal="center"/>
    </xf>
    <xf numFmtId="10" fontId="0" fillId="0" borderId="0" xfId="11" applyNumberFormat="1" applyFont="1"/>
    <xf numFmtId="37" fontId="9" fillId="0" borderId="0" xfId="4" applyNumberFormat="1" applyFont="1" applyFill="1"/>
    <xf numFmtId="3" fontId="7" fillId="0" borderId="1" xfId="0" applyNumberFormat="1" applyFont="1" applyBorder="1" applyAlignment="1">
      <alignment horizontal="center"/>
    </xf>
    <xf numFmtId="3" fontId="7" fillId="0" borderId="1" xfId="0" quotePrefix="1" applyNumberFormat="1" applyFont="1" applyBorder="1" applyAlignment="1">
      <alignment horizontal="center"/>
    </xf>
    <xf numFmtId="3" fontId="7" fillId="2" borderId="0" xfId="0" applyNumberFormat="1" applyFont="1" applyFill="1" applyBorder="1" applyAlignment="1">
      <alignment horizontal="center"/>
    </xf>
    <xf numFmtId="0" fontId="9" fillId="0" borderId="0" xfId="9" applyFont="1" applyBorder="1" applyAlignment="1">
      <alignment horizontal="left"/>
    </xf>
    <xf numFmtId="0" fontId="8" fillId="0" borderId="0" xfId="9" quotePrefix="1" applyFont="1" applyAlignment="1">
      <alignment horizontal="center" vertical="justify"/>
    </xf>
    <xf numFmtId="37" fontId="9" fillId="0" borderId="0" xfId="4" applyNumberFormat="1" applyFont="1" applyAlignment="1">
      <alignment horizontal="right"/>
    </xf>
    <xf numFmtId="164" fontId="7" fillId="0" borderId="0" xfId="0" applyNumberFormat="1" applyFont="1" applyAlignment="1">
      <alignment horizontal="center"/>
    </xf>
    <xf numFmtId="1" fontId="28" fillId="0" borderId="0" xfId="8" applyNumberFormat="1" applyFont="1" applyAlignment="1">
      <alignment horizontal="center"/>
    </xf>
    <xf numFmtId="0" fontId="7" fillId="0" borderId="0" xfId="0" applyFont="1" applyAlignment="1">
      <alignment horizontal="center"/>
    </xf>
    <xf numFmtId="164" fontId="28" fillId="0" borderId="0" xfId="8" applyNumberFormat="1" applyFont="1" applyAlignment="1">
      <alignment horizontal="center"/>
    </xf>
    <xf numFmtId="0" fontId="8" fillId="0" borderId="3" xfId="9" applyFont="1" applyBorder="1" applyAlignment="1">
      <alignment horizontal="center"/>
    </xf>
    <xf numFmtId="0" fontId="28" fillId="0" borderId="0" xfId="9" applyFont="1" applyAlignment="1">
      <alignment horizontal="center"/>
    </xf>
    <xf numFmtId="164" fontId="7" fillId="0" borderId="0" xfId="0" applyNumberFormat="1" applyFont="1"/>
    <xf numFmtId="0" fontId="22" fillId="0" borderId="0" xfId="0" applyFont="1" applyAlignment="1">
      <alignment horizontal="center"/>
    </xf>
    <xf numFmtId="38" fontId="7" fillId="0" borderId="0" xfId="1" applyNumberFormat="1" applyFont="1" applyAlignment="1">
      <alignment horizontal="center"/>
    </xf>
    <xf numFmtId="0" fontId="8" fillId="0" borderId="3" xfId="9" applyFont="1" applyBorder="1"/>
    <xf numFmtId="37" fontId="7" fillId="0" borderId="0" xfId="10" applyNumberFormat="1" applyFont="1" applyBorder="1" applyAlignment="1">
      <alignment horizontal="right" vertical="center"/>
    </xf>
    <xf numFmtId="0" fontId="8" fillId="0" borderId="0" xfId="9" applyFont="1" applyAlignment="1">
      <alignment horizontal="center"/>
    </xf>
    <xf numFmtId="0" fontId="8" fillId="0" borderId="0" xfId="9" quotePrefix="1" applyFont="1" applyAlignment="1">
      <alignment horizontal="center"/>
    </xf>
    <xf numFmtId="0" fontId="7" fillId="0" borderId="3" xfId="10" quotePrefix="1" applyFont="1" applyBorder="1" applyAlignment="1">
      <alignment horizontal="center"/>
    </xf>
    <xf numFmtId="0" fontId="9" fillId="0" borderId="0" xfId="9" applyFont="1" applyAlignment="1">
      <alignment horizontal="center"/>
    </xf>
    <xf numFmtId="176" fontId="15" fillId="0" borderId="0" xfId="9" applyNumberFormat="1" applyFont="1"/>
    <xf numFmtId="37" fontId="7" fillId="0" borderId="0" xfId="9" applyNumberFormat="1" applyFont="1"/>
    <xf numFmtId="0" fontId="9" fillId="0" borderId="0" xfId="9" applyFont="1" applyAlignment="1">
      <alignment horizontal="left"/>
    </xf>
    <xf numFmtId="0" fontId="9" fillId="0" borderId="0" xfId="9" quotePrefix="1" applyFont="1" applyAlignment="1">
      <alignment horizontal="left" vertical="justify"/>
    </xf>
    <xf numFmtId="0" fontId="8" fillId="0" borderId="0" xfId="9" applyFont="1" applyAlignment="1"/>
    <xf numFmtId="0" fontId="7" fillId="0" borderId="3" xfId="10" applyFont="1" applyBorder="1" applyAlignment="1">
      <alignment horizontal="center"/>
    </xf>
    <xf numFmtId="0" fontId="8" fillId="0" borderId="0" xfId="8" applyFont="1" applyBorder="1" applyAlignment="1">
      <alignment horizontal="center"/>
    </xf>
    <xf numFmtId="38" fontId="8" fillId="0" borderId="0" xfId="9" applyNumberFormat="1" applyAlignment="1">
      <alignment horizontal="center"/>
    </xf>
    <xf numFmtId="0" fontId="9" fillId="0" borderId="0" xfId="9" applyFont="1" applyBorder="1" applyAlignment="1">
      <alignment horizontal="center"/>
    </xf>
    <xf numFmtId="0" fontId="16" fillId="0" borderId="0" xfId="9" applyFont="1" applyBorder="1"/>
    <xf numFmtId="0" fontId="8" fillId="0" borderId="0" xfId="9" quotePrefix="1" applyFont="1" applyBorder="1" applyAlignment="1">
      <alignment horizontal="left"/>
    </xf>
    <xf numFmtId="0" fontId="36" fillId="0" borderId="0" xfId="9" applyFont="1" applyBorder="1" applyAlignment="1">
      <alignment horizontal="center"/>
    </xf>
    <xf numFmtId="0" fontId="8" fillId="0" borderId="9" xfId="9" quotePrefix="1" applyFont="1" applyBorder="1" applyAlignment="1">
      <alignment horizontal="left"/>
    </xf>
    <xf numFmtId="0" fontId="16" fillId="0" borderId="10" xfId="9" quotePrefix="1" applyFont="1" applyBorder="1" applyAlignment="1">
      <alignment horizontal="left"/>
    </xf>
    <xf numFmtId="0" fontId="21" fillId="0" borderId="0" xfId="9" quotePrefix="1" applyFont="1" applyBorder="1" applyAlignment="1">
      <alignment horizontal="center"/>
    </xf>
    <xf numFmtId="37" fontId="8" fillId="0" borderId="0" xfId="8" applyNumberFormat="1" applyAlignment="1">
      <alignment horizontal="center"/>
    </xf>
    <xf numFmtId="10" fontId="28" fillId="0" borderId="0" xfId="9" applyNumberFormat="1" applyFont="1" applyAlignment="1">
      <alignment horizontal="center"/>
    </xf>
    <xf numFmtId="37" fontId="15" fillId="0" borderId="0" xfId="9" applyNumberFormat="1" applyFont="1" applyAlignment="1">
      <alignment horizontal="center"/>
    </xf>
    <xf numFmtId="176" fontId="15" fillId="0" borderId="0" xfId="9" applyNumberFormat="1" applyFont="1" applyAlignment="1">
      <alignment horizontal="center"/>
    </xf>
    <xf numFmtId="0" fontId="21" fillId="0" borderId="0" xfId="9" applyFont="1" applyBorder="1" applyAlignment="1">
      <alignment horizontal="center"/>
    </xf>
    <xf numFmtId="38" fontId="8" fillId="0" borderId="0" xfId="1" applyNumberFormat="1" applyFont="1" applyAlignment="1">
      <alignment horizontal="center"/>
    </xf>
    <xf numFmtId="174" fontId="8" fillId="5" borderId="0" xfId="3" applyNumberFormat="1" applyFill="1" applyAlignment="1">
      <alignment horizontal="center"/>
    </xf>
    <xf numFmtId="0" fontId="9" fillId="0" borderId="3" xfId="8" quotePrefix="1" applyFont="1" applyBorder="1" applyAlignment="1">
      <alignment horizontal="center"/>
    </xf>
    <xf numFmtId="164" fontId="38" fillId="0" borderId="8" xfId="0" applyNumberFormat="1" applyFont="1" applyBorder="1" applyAlignment="1">
      <alignment horizontal="right"/>
    </xf>
    <xf numFmtId="0" fontId="7" fillId="0" borderId="0" xfId="8" applyFont="1" applyBorder="1"/>
    <xf numFmtId="0" fontId="7" fillId="0" borderId="0" xfId="8" applyFont="1"/>
    <xf numFmtId="0" fontId="28" fillId="0" borderId="0" xfId="8" applyFont="1" applyBorder="1" applyAlignment="1">
      <alignment horizontal="center"/>
    </xf>
    <xf numFmtId="3" fontId="0" fillId="0" borderId="0" xfId="0" applyNumberFormat="1" applyAlignment="1">
      <alignment horizontal="center"/>
    </xf>
    <xf numFmtId="38" fontId="0" fillId="0" borderId="0" xfId="1" applyNumberFormat="1" applyFont="1" applyFill="1" applyBorder="1" applyAlignment="1">
      <alignment horizontal="center"/>
    </xf>
    <xf numFmtId="38" fontId="8" fillId="0" borderId="0" xfId="8" applyNumberFormat="1" applyAlignment="1">
      <alignment horizontal="center"/>
    </xf>
    <xf numFmtId="0" fontId="34" fillId="0" borderId="0" xfId="0" quotePrefix="1" applyFont="1" applyAlignment="1">
      <alignment horizontal="left"/>
    </xf>
    <xf numFmtId="0" fontId="15" fillId="0" borderId="0" xfId="8" applyFont="1" applyAlignment="1">
      <alignment horizontal="center"/>
    </xf>
    <xf numFmtId="38" fontId="15" fillId="0" borderId="0" xfId="1" applyNumberFormat="1" applyFont="1" applyAlignment="1">
      <alignment horizontal="center"/>
    </xf>
    <xf numFmtId="37" fontId="15" fillId="0" borderId="0" xfId="8" applyNumberFormat="1" applyFont="1" applyAlignment="1">
      <alignment horizontal="center"/>
    </xf>
    <xf numFmtId="0" fontId="8" fillId="5" borderId="0" xfId="8" applyFill="1" applyAlignment="1">
      <alignment horizontal="center"/>
    </xf>
    <xf numFmtId="3" fontId="7" fillId="0" borderId="0" xfId="3" applyNumberFormat="1" applyFont="1" applyBorder="1" applyAlignment="1">
      <alignment horizontal="center"/>
    </xf>
    <xf numFmtId="38" fontId="8" fillId="0" borderId="0" xfId="9" applyNumberFormat="1" applyBorder="1" applyAlignment="1">
      <alignment horizontal="center"/>
    </xf>
    <xf numFmtId="0" fontId="8" fillId="0" borderId="0" xfId="9" applyBorder="1" applyAlignment="1">
      <alignment horizontal="center"/>
    </xf>
    <xf numFmtId="0" fontId="8" fillId="0" borderId="0" xfId="9" applyFont="1" applyAlignment="1">
      <alignment horizontal="center" vertical="justify"/>
    </xf>
    <xf numFmtId="0" fontId="26" fillId="0" borderId="0" xfId="0" quotePrefix="1" applyFont="1" applyFill="1" applyBorder="1" applyAlignment="1">
      <alignment horizontal="center"/>
    </xf>
    <xf numFmtId="0" fontId="7" fillId="0" borderId="0" xfId="0" applyFont="1" applyFill="1" applyBorder="1" applyAlignment="1"/>
    <xf numFmtId="0" fontId="9" fillId="0" borderId="0" xfId="9" quotePrefix="1" applyFont="1" applyFill="1" applyAlignment="1">
      <alignment horizontal="left" vertical="justify"/>
    </xf>
    <xf numFmtId="0" fontId="9" fillId="0" borderId="0" xfId="9" applyFont="1" applyFill="1" applyAlignment="1">
      <alignment vertical="justify"/>
    </xf>
    <xf numFmtId="0" fontId="9" fillId="0" borderId="0" xfId="8" quotePrefix="1" applyFont="1" applyBorder="1" applyAlignment="1">
      <alignment horizontal="left"/>
    </xf>
    <xf numFmtId="173" fontId="7" fillId="0" borderId="0" xfId="10" quotePrefix="1" applyNumberFormat="1" applyFont="1" applyBorder="1" applyAlignment="1">
      <alignment horizontal="left" vertical="center" indent="1"/>
    </xf>
    <xf numFmtId="37" fontId="28" fillId="0" borderId="0" xfId="4" applyNumberFormat="1" applyFont="1" applyAlignment="1">
      <alignment horizontal="center"/>
    </xf>
    <xf numFmtId="173" fontId="7" fillId="0" borderId="1" xfId="10" quotePrefix="1" applyNumberFormat="1" applyFont="1" applyBorder="1" applyAlignment="1">
      <alignment horizontal="left" vertical="center" indent="1"/>
    </xf>
    <xf numFmtId="0" fontId="22" fillId="0" borderId="1" xfId="0" applyFont="1" applyBorder="1" applyAlignment="1">
      <alignment horizontal="center"/>
    </xf>
    <xf numFmtId="38" fontId="7" fillId="0" borderId="1" xfId="1" applyNumberFormat="1" applyFont="1" applyBorder="1" applyAlignment="1">
      <alignment horizontal="center"/>
    </xf>
    <xf numFmtId="37" fontId="8" fillId="0" borderId="1" xfId="4" applyNumberFormat="1" applyBorder="1" applyAlignment="1">
      <alignment horizontal="center"/>
    </xf>
    <xf numFmtId="0" fontId="9" fillId="0" borderId="0" xfId="9" applyFont="1" applyAlignment="1">
      <alignment horizontal="center" vertical="justify"/>
    </xf>
    <xf numFmtId="0" fontId="9" fillId="0" borderId="3" xfId="10" applyFont="1" applyBorder="1" applyAlignment="1">
      <alignment horizontal="center" vertical="justify"/>
    </xf>
    <xf numFmtId="37" fontId="9" fillId="0" borderId="0" xfId="4" applyNumberFormat="1" applyFont="1" applyAlignment="1">
      <alignment horizontal="center"/>
    </xf>
    <xf numFmtId="37" fontId="9" fillId="0" borderId="1" xfId="4" applyNumberFormat="1" applyFont="1" applyBorder="1" applyAlignment="1">
      <alignment horizontal="center"/>
    </xf>
    <xf numFmtId="3" fontId="8" fillId="0" borderId="1" xfId="8" applyNumberFormat="1" applyBorder="1" applyAlignment="1">
      <alignment horizontal="center"/>
    </xf>
    <xf numFmtId="3" fontId="8" fillId="0" borderId="0" xfId="8" applyNumberFormat="1" applyBorder="1" applyAlignment="1">
      <alignment horizontal="center"/>
    </xf>
    <xf numFmtId="38" fontId="7" fillId="0" borderId="0" xfId="1" applyNumberFormat="1" applyFont="1" applyBorder="1" applyAlignment="1">
      <alignment horizontal="center"/>
    </xf>
    <xf numFmtId="3" fontId="15" fillId="0" borderId="0" xfId="10" applyNumberFormat="1" applyFont="1" applyBorder="1" applyAlignment="1">
      <alignment horizontal="center" vertical="center"/>
    </xf>
    <xf numFmtId="38" fontId="7" fillId="0" borderId="0" xfId="9" applyNumberFormat="1" applyFont="1"/>
    <xf numFmtId="173" fontId="8" fillId="0" borderId="0" xfId="8" quotePrefix="1" applyNumberFormat="1" applyFont="1" applyBorder="1" applyAlignment="1">
      <alignment horizontal="center"/>
    </xf>
    <xf numFmtId="0" fontId="8" fillId="0" borderId="0" xfId="8" applyAlignment="1">
      <alignment horizontal="left"/>
    </xf>
    <xf numFmtId="3" fontId="9" fillId="0" borderId="0" xfId="8" applyNumberFormat="1" applyFont="1" applyAlignment="1">
      <alignment horizontal="center"/>
    </xf>
    <xf numFmtId="1" fontId="7" fillId="0" borderId="0" xfId="8" applyNumberFormat="1" applyFont="1" applyAlignment="1">
      <alignment horizontal="center"/>
    </xf>
    <xf numFmtId="164" fontId="28" fillId="0" borderId="0" xfId="0" applyNumberFormat="1" applyFont="1" applyAlignment="1">
      <alignment horizontal="center"/>
    </xf>
    <xf numFmtId="164" fontId="8" fillId="5" borderId="0" xfId="8" applyNumberFormat="1" applyFill="1" applyAlignment="1">
      <alignment horizontal="center"/>
    </xf>
    <xf numFmtId="0" fontId="7" fillId="0" borderId="1" xfId="8" applyFont="1" applyBorder="1" applyAlignment="1">
      <alignment horizontal="center"/>
    </xf>
    <xf numFmtId="173" fontId="7" fillId="0" borderId="1" xfId="8" applyNumberFormat="1" applyFont="1" applyBorder="1" applyAlignment="1">
      <alignment horizontal="center"/>
    </xf>
    <xf numFmtId="3" fontId="7" fillId="0" borderId="1" xfId="3" applyNumberFormat="1" applyFont="1" applyBorder="1" applyAlignment="1">
      <alignment horizontal="center"/>
    </xf>
    <xf numFmtId="3" fontId="7" fillId="0" borderId="1" xfId="8" applyNumberFormat="1" applyFont="1" applyBorder="1" applyAlignment="1">
      <alignment horizontal="center"/>
    </xf>
    <xf numFmtId="0" fontId="10" fillId="0" borderId="0" xfId="0" quotePrefix="1" applyFont="1" applyBorder="1" applyAlignment="1">
      <alignment horizontal="centerContinuous"/>
    </xf>
    <xf numFmtId="164" fontId="20" fillId="0" borderId="0" xfId="0" quotePrefix="1" applyNumberFormat="1" applyFont="1" applyBorder="1" applyAlignment="1"/>
    <xf numFmtId="164" fontId="24" fillId="0" borderId="0" xfId="0" applyNumberFormat="1" applyFont="1" applyBorder="1" applyAlignment="1"/>
    <xf numFmtId="0" fontId="7" fillId="2" borderId="0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21" fillId="0" borderId="0" xfId="0" applyFont="1" applyAlignment="1">
      <alignment horizontal="centerContinuous"/>
    </xf>
    <xf numFmtId="164" fontId="45" fillId="0" borderId="0" xfId="0" applyNumberFormat="1" applyFont="1" applyAlignment="1"/>
    <xf numFmtId="0" fontId="21" fillId="0" borderId="0" xfId="0" quotePrefix="1" applyFont="1" applyAlignment="1">
      <alignment horizontal="center"/>
    </xf>
    <xf numFmtId="0" fontId="21" fillId="0" borderId="2" xfId="0" applyFont="1" applyBorder="1" applyAlignment="1">
      <alignment horizontal="right"/>
    </xf>
    <xf numFmtId="1" fontId="45" fillId="0" borderId="0" xfId="0" applyNumberFormat="1" applyFont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3" fontId="46" fillId="0" borderId="0" xfId="1" applyNumberFormat="1" applyFont="1" applyBorder="1"/>
    <xf numFmtId="0" fontId="8" fillId="0" borderId="0" xfId="9" quotePrefix="1" applyFont="1" applyAlignment="1">
      <alignment horizontal="right"/>
    </xf>
    <xf numFmtId="0" fontId="47" fillId="0" borderId="0" xfId="0" quotePrefix="1" applyFont="1" applyAlignment="1"/>
    <xf numFmtId="0" fontId="9" fillId="0" borderId="0" xfId="0" applyFont="1" applyBorder="1" applyAlignment="1">
      <alignment horizontal="center"/>
    </xf>
    <xf numFmtId="0" fontId="9" fillId="0" borderId="3" xfId="8" quotePrefix="1" applyFont="1" applyBorder="1" applyAlignment="1">
      <alignment horizontal="left"/>
    </xf>
    <xf numFmtId="168" fontId="0" fillId="0" borderId="0" xfId="11" applyNumberFormat="1" applyFont="1"/>
    <xf numFmtId="0" fontId="49" fillId="0" borderId="0" xfId="0" quotePrefix="1" applyFont="1" applyAlignment="1">
      <alignment horizontal="center"/>
    </xf>
    <xf numFmtId="0" fontId="49" fillId="0" borderId="0" xfId="0" applyFont="1" applyAlignment="1">
      <alignment horizontal="center"/>
    </xf>
    <xf numFmtId="0" fontId="49" fillId="0" borderId="0" xfId="0" applyFont="1"/>
    <xf numFmtId="0" fontId="49" fillId="0" borderId="0" xfId="0" applyFont="1" applyBorder="1" applyAlignment="1">
      <alignment horizontal="center"/>
    </xf>
    <xf numFmtId="38" fontId="9" fillId="0" borderId="11" xfId="9" quotePrefix="1" applyNumberFormat="1" applyFont="1" applyBorder="1" applyAlignment="1">
      <alignment horizontal="center"/>
    </xf>
    <xf numFmtId="1" fontId="48" fillId="2" borderId="0" xfId="0" applyNumberFormat="1" applyFont="1" applyFill="1" applyBorder="1" applyAlignment="1">
      <alignment horizontal="center"/>
    </xf>
    <xf numFmtId="1" fontId="7" fillId="5" borderId="0" xfId="0" applyNumberFormat="1" applyFont="1" applyFill="1" applyBorder="1" applyAlignment="1">
      <alignment horizontal="center"/>
    </xf>
    <xf numFmtId="10" fontId="0" fillId="0" borderId="0" xfId="11" applyNumberFormat="1" applyFont="1" applyBorder="1"/>
    <xf numFmtId="168" fontId="0" fillId="0" borderId="0" xfId="11" applyNumberFormat="1" applyFont="1" applyBorder="1"/>
    <xf numFmtId="3" fontId="50" fillId="0" borderId="0" xfId="0" quotePrefix="1" applyNumberFormat="1" applyFont="1" applyBorder="1" applyAlignment="1">
      <alignment horizontal="left"/>
    </xf>
    <xf numFmtId="0" fontId="28" fillId="0" borderId="0" xfId="9" quotePrefix="1" applyFont="1" applyAlignment="1">
      <alignment horizontal="left"/>
    </xf>
    <xf numFmtId="38" fontId="8" fillId="0" borderId="0" xfId="1" applyNumberFormat="1" applyFont="1"/>
    <xf numFmtId="0" fontId="9" fillId="0" borderId="3" xfId="8" applyFont="1" applyBorder="1" applyAlignment="1">
      <alignment horizontal="left"/>
    </xf>
    <xf numFmtId="0" fontId="8" fillId="0" borderId="0" xfId="9" applyBorder="1" applyAlignment="1">
      <alignment horizontal="center" vertical="justify"/>
    </xf>
    <xf numFmtId="0" fontId="9" fillId="0" borderId="0" xfId="0" applyFont="1"/>
    <xf numFmtId="0" fontId="8" fillId="0" borderId="0" xfId="9" applyFont="1" applyAlignment="1">
      <alignment horizontal="right"/>
    </xf>
    <xf numFmtId="0" fontId="0" fillId="0" borderId="0" xfId="0" applyAlignment="1">
      <alignment horizontal="right"/>
    </xf>
    <xf numFmtId="37" fontId="7" fillId="0" borderId="0" xfId="9" applyNumberFormat="1" applyFont="1" applyBorder="1" applyAlignment="1">
      <alignment horizontal="center"/>
    </xf>
    <xf numFmtId="37" fontId="7" fillId="0" borderId="0" xfId="9" applyNumberFormat="1" applyFont="1" applyAlignment="1">
      <alignment horizontal="center"/>
    </xf>
    <xf numFmtId="0" fontId="8" fillId="5" borderId="0" xfId="9" applyFill="1" applyAlignment="1">
      <alignment horizontal="center"/>
    </xf>
    <xf numFmtId="164" fontId="0" fillId="0" borderId="0" xfId="0" applyNumberFormat="1"/>
    <xf numFmtId="0" fontId="8" fillId="0" borderId="12" xfId="9" applyBorder="1" applyAlignment="1">
      <alignment horizontal="center"/>
    </xf>
    <xf numFmtId="0" fontId="8" fillId="5" borderId="0" xfId="9" quotePrefix="1" applyFont="1" applyFill="1" applyAlignment="1">
      <alignment horizontal="center"/>
    </xf>
    <xf numFmtId="2" fontId="7" fillId="0" borderId="0" xfId="0" applyNumberFormat="1" applyFont="1" applyAlignment="1">
      <alignment horizontal="center"/>
    </xf>
    <xf numFmtId="3" fontId="8" fillId="5" borderId="0" xfId="3" applyNumberFormat="1" applyFill="1" applyAlignment="1">
      <alignment horizontal="center"/>
    </xf>
    <xf numFmtId="0" fontId="8" fillId="0" borderId="8" xfId="8" applyFont="1" applyBorder="1" applyAlignment="1">
      <alignment horizontal="right"/>
    </xf>
    <xf numFmtId="3" fontId="8" fillId="0" borderId="0" xfId="9" applyNumberFormat="1"/>
    <xf numFmtId="2" fontId="7" fillId="0" borderId="0" xfId="0" applyNumberFormat="1" applyFont="1"/>
    <xf numFmtId="0" fontId="8" fillId="5" borderId="0" xfId="8" applyFill="1"/>
    <xf numFmtId="0" fontId="8" fillId="0" borderId="0" xfId="8" applyFill="1"/>
    <xf numFmtId="0" fontId="7" fillId="5" borderId="0" xfId="9" quotePrefix="1" applyFont="1" applyFill="1" applyBorder="1" applyAlignment="1">
      <alignment horizontal="right"/>
    </xf>
    <xf numFmtId="0" fontId="9" fillId="5" borderId="0" xfId="9" applyFont="1" applyFill="1" applyBorder="1" applyAlignment="1">
      <alignment horizontal="left"/>
    </xf>
    <xf numFmtId="0" fontId="7" fillId="5" borderId="0" xfId="9" applyFont="1" applyFill="1" applyBorder="1" applyAlignment="1">
      <alignment horizontal="right"/>
    </xf>
    <xf numFmtId="0" fontId="0" fillId="5" borderId="0" xfId="0" applyFill="1"/>
    <xf numFmtId="0" fontId="8" fillId="0" borderId="3" xfId="9" quotePrefix="1" applyFont="1" applyBorder="1" applyAlignment="1">
      <alignment horizontal="center"/>
    </xf>
    <xf numFmtId="3" fontId="8" fillId="0" borderId="0" xfId="8" quotePrefix="1" applyNumberFormat="1" applyFont="1" applyAlignment="1">
      <alignment horizontal="center"/>
    </xf>
    <xf numFmtId="0" fontId="0" fillId="0" borderId="3" xfId="0" applyBorder="1" applyAlignment="1">
      <alignment horizontal="right"/>
    </xf>
    <xf numFmtId="0" fontId="8" fillId="0" borderId="3" xfId="9" applyFont="1" applyBorder="1" applyAlignment="1">
      <alignment horizontal="right"/>
    </xf>
    <xf numFmtId="0" fontId="8" fillId="5" borderId="3" xfId="9" quotePrefix="1" applyFont="1" applyFill="1" applyBorder="1" applyAlignment="1">
      <alignment horizontal="center"/>
    </xf>
    <xf numFmtId="0" fontId="8" fillId="0" borderId="3" xfId="9" quotePrefix="1" applyFont="1" applyBorder="1" applyAlignment="1">
      <alignment horizontal="left"/>
    </xf>
    <xf numFmtId="165" fontId="38" fillId="0" borderId="8" xfId="0" applyNumberFormat="1" applyFont="1" applyBorder="1" applyAlignment="1">
      <alignment horizontal="right"/>
    </xf>
    <xf numFmtId="2" fontId="38" fillId="0" borderId="8" xfId="0" applyNumberFormat="1" applyFont="1" applyBorder="1" applyAlignment="1">
      <alignment horizontal="right"/>
    </xf>
    <xf numFmtId="2" fontId="38" fillId="0" borderId="8" xfId="0" applyNumberFormat="1" applyFont="1" applyFill="1" applyBorder="1" applyAlignment="1">
      <alignment horizontal="right"/>
    </xf>
    <xf numFmtId="0" fontId="0" fillId="0" borderId="3" xfId="0" applyBorder="1" applyAlignment="1">
      <alignment horizontal="left"/>
    </xf>
    <xf numFmtId="1" fontId="8" fillId="5" borderId="0" xfId="8" applyNumberFormat="1" applyFill="1"/>
    <xf numFmtId="164" fontId="8" fillId="0" borderId="0" xfId="9" applyNumberFormat="1" applyFont="1"/>
    <xf numFmtId="38" fontId="7" fillId="0" borderId="0" xfId="9" applyNumberFormat="1" applyFont="1" applyBorder="1"/>
    <xf numFmtId="0" fontId="8" fillId="5" borderId="0" xfId="9" applyFill="1" applyBorder="1"/>
    <xf numFmtId="3" fontId="8" fillId="5" borderId="0" xfId="8" applyNumberFormat="1" applyFill="1" applyAlignment="1">
      <alignment horizontal="center"/>
    </xf>
    <xf numFmtId="165" fontId="34" fillId="0" borderId="8" xfId="0" applyNumberFormat="1" applyFont="1" applyFill="1" applyBorder="1" applyAlignment="1">
      <alignment horizontal="right"/>
    </xf>
    <xf numFmtId="1" fontId="8" fillId="5" borderId="0" xfId="8" applyNumberFormat="1" applyFill="1" applyAlignment="1">
      <alignment horizontal="center"/>
    </xf>
    <xf numFmtId="38" fontId="7" fillId="0" borderId="0" xfId="8" applyNumberFormat="1" applyFont="1"/>
    <xf numFmtId="2" fontId="38" fillId="0" borderId="9" xfId="0" applyNumberFormat="1" applyFont="1" applyBorder="1" applyAlignment="1">
      <alignment horizontal="right"/>
    </xf>
    <xf numFmtId="165" fontId="34" fillId="0" borderId="9" xfId="0" applyNumberFormat="1" applyFont="1" applyBorder="1" applyAlignment="1">
      <alignment horizontal="right"/>
    </xf>
    <xf numFmtId="38" fontId="8" fillId="0" borderId="0" xfId="8" applyNumberFormat="1"/>
    <xf numFmtId="3" fontId="7" fillId="0" borderId="0" xfId="3" applyNumberFormat="1" applyFont="1" applyFill="1" applyAlignment="1">
      <alignment horizontal="center"/>
    </xf>
    <xf numFmtId="37" fontId="7" fillId="0" borderId="0" xfId="8" applyNumberFormat="1" applyFont="1" applyAlignment="1">
      <alignment horizontal="center"/>
    </xf>
    <xf numFmtId="164" fontId="48" fillId="0" borderId="0" xfId="0" applyNumberFormat="1" applyFont="1" applyAlignment="1">
      <alignment horizontal="center"/>
    </xf>
    <xf numFmtId="164" fontId="48" fillId="0" borderId="1" xfId="0" applyNumberFormat="1" applyFont="1" applyBorder="1" applyAlignment="1">
      <alignment horizontal="center"/>
    </xf>
    <xf numFmtId="0" fontId="8" fillId="0" borderId="0" xfId="8" applyFont="1" applyBorder="1"/>
    <xf numFmtId="0" fontId="37" fillId="0" borderId="0" xfId="0" applyFont="1" applyFill="1" applyBorder="1" applyAlignment="1"/>
    <xf numFmtId="3" fontId="8" fillId="0" borderId="0" xfId="3" applyNumberFormat="1" applyFont="1" applyBorder="1" applyAlignment="1">
      <alignment horizontal="center"/>
    </xf>
    <xf numFmtId="0" fontId="37" fillId="0" borderId="0" xfId="0" applyFont="1" applyFill="1" applyBorder="1" applyAlignment="1">
      <alignment horizontal="right"/>
    </xf>
    <xf numFmtId="2" fontId="38" fillId="0" borderId="0" xfId="0" applyNumberFormat="1" applyFont="1" applyFill="1" applyBorder="1" applyAlignment="1">
      <alignment horizontal="right"/>
    </xf>
    <xf numFmtId="0" fontId="37" fillId="0" borderId="0" xfId="0" quotePrefix="1" applyFont="1" applyFill="1" applyBorder="1" applyAlignment="1">
      <alignment horizontal="right"/>
    </xf>
    <xf numFmtId="167" fontId="46" fillId="0" borderId="0" xfId="0" applyNumberFormat="1" applyFont="1" applyFill="1" applyBorder="1" applyAlignment="1">
      <alignment horizontal="right"/>
    </xf>
    <xf numFmtId="38" fontId="7" fillId="0" borderId="0" xfId="1" applyNumberFormat="1" applyFont="1" applyFill="1" applyBorder="1" applyAlignment="1">
      <alignment horizontal="center"/>
    </xf>
    <xf numFmtId="164" fontId="10" fillId="0" borderId="0" xfId="0" quotePrefix="1" applyNumberFormat="1" applyFont="1" applyBorder="1" applyAlignment="1"/>
    <xf numFmtId="0" fontId="10" fillId="0" borderId="0" xfId="0" quotePrefix="1" applyFont="1" applyAlignment="1">
      <alignment horizontal="centerContinuous"/>
    </xf>
    <xf numFmtId="164" fontId="10" fillId="0" borderId="0" xfId="0" quotePrefix="1" applyNumberFormat="1" applyFont="1" applyAlignment="1"/>
    <xf numFmtId="167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" fontId="21" fillId="0" borderId="0" xfId="0" quotePrefix="1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3" fontId="4" fillId="0" borderId="0" xfId="1" applyNumberFormat="1" applyBorder="1" applyAlignment="1">
      <alignment horizontal="center"/>
    </xf>
    <xf numFmtId="3" fontId="4" fillId="0" borderId="1" xfId="1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8" fontId="9" fillId="0" borderId="0" xfId="1" applyNumberFormat="1" applyFont="1"/>
    <xf numFmtId="38" fontId="8" fillId="0" borderId="1" xfId="9" applyNumberFormat="1" applyBorder="1" applyAlignment="1">
      <alignment horizontal="center"/>
    </xf>
    <xf numFmtId="0" fontId="11" fillId="0" borderId="3" xfId="10" applyFont="1" applyBorder="1" applyAlignment="1">
      <alignment horizontal="center" vertical="justify"/>
    </xf>
    <xf numFmtId="3" fontId="38" fillId="0" borderId="0" xfId="1" applyNumberFormat="1" applyFont="1" applyBorder="1"/>
    <xf numFmtId="0" fontId="48" fillId="0" borderId="0" xfId="9" applyFont="1" applyBorder="1" applyAlignment="1">
      <alignment horizontal="center"/>
    </xf>
    <xf numFmtId="2" fontId="8" fillId="0" borderId="0" xfId="9" applyNumberFormat="1"/>
    <xf numFmtId="1" fontId="8" fillId="0" borderId="0" xfId="9" applyNumberFormat="1"/>
    <xf numFmtId="3" fontId="48" fillId="2" borderId="0" xfId="0" applyNumberFormat="1" applyFont="1" applyFill="1" applyBorder="1" applyAlignment="1">
      <alignment horizontal="center"/>
    </xf>
    <xf numFmtId="0" fontId="16" fillId="0" borderId="0" xfId="6" quotePrefix="1" applyFont="1" applyAlignment="1">
      <alignment horizontal="left"/>
    </xf>
    <xf numFmtId="0" fontId="16" fillId="0" borderId="0" xfId="0" quotePrefix="1" applyFont="1" applyBorder="1" applyAlignment="1">
      <alignment horizontal="center"/>
    </xf>
    <xf numFmtId="3" fontId="7" fillId="0" borderId="0" xfId="0" quotePrefix="1" applyNumberFormat="1" applyFont="1" applyBorder="1" applyAlignment="1">
      <alignment horizontal="left"/>
    </xf>
    <xf numFmtId="3" fontId="55" fillId="0" borderId="0" xfId="0" applyNumberFormat="1" applyFont="1" applyBorder="1" applyAlignment="1">
      <alignment horizontal="center"/>
    </xf>
    <xf numFmtId="0" fontId="7" fillId="0" borderId="0" xfId="0" applyFont="1"/>
    <xf numFmtId="0" fontId="55" fillId="5" borderId="14" xfId="0" applyFont="1" applyFill="1" applyBorder="1"/>
    <xf numFmtId="0" fontId="56" fillId="0" borderId="0" xfId="0" applyFont="1" applyAlignment="1">
      <alignment horizontal="right"/>
    </xf>
    <xf numFmtId="1" fontId="7" fillId="5" borderId="0" xfId="0" applyNumberFormat="1" applyFont="1" applyFill="1" applyBorder="1" applyAlignment="1">
      <alignment horizontal="right"/>
    </xf>
    <xf numFmtId="0" fontId="55" fillId="5" borderId="15" xfId="0" applyFont="1" applyFill="1" applyBorder="1"/>
    <xf numFmtId="3" fontId="57" fillId="0" borderId="0" xfId="0" quotePrefix="1" applyNumberFormat="1" applyFont="1" applyAlignment="1">
      <alignment horizontal="right"/>
    </xf>
    <xf numFmtId="178" fontId="58" fillId="0" borderId="0" xfId="0" applyNumberFormat="1" applyFont="1" applyAlignment="1" applyProtection="1">
      <alignment horizontal="right"/>
    </xf>
    <xf numFmtId="178" fontId="59" fillId="0" borderId="14" xfId="0" applyNumberFormat="1" applyFont="1" applyBorder="1" applyAlignment="1" applyProtection="1">
      <alignment horizontal="center"/>
    </xf>
    <xf numFmtId="0" fontId="56" fillId="0" borderId="0" xfId="0" quotePrefix="1" applyFont="1" applyAlignment="1">
      <alignment horizontal="right"/>
    </xf>
    <xf numFmtId="0" fontId="9" fillId="0" borderId="0" xfId="0" applyFont="1" applyBorder="1" applyAlignment="1">
      <alignment horizontal="right"/>
    </xf>
    <xf numFmtId="0" fontId="60" fillId="0" borderId="0" xfId="0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8" fillId="0" borderId="1" xfId="7" applyFont="1" applyBorder="1" applyAlignment="1">
      <alignment horizontal="center"/>
    </xf>
    <xf numFmtId="0" fontId="8" fillId="0" borderId="1" xfId="7" quotePrefix="1" applyFont="1" applyBorder="1" applyAlignment="1">
      <alignment horizontal="center"/>
    </xf>
    <xf numFmtId="0" fontId="8" fillId="0" borderId="0" xfId="7" applyFont="1" applyAlignment="1">
      <alignment horizontal="center"/>
    </xf>
    <xf numFmtId="1" fontId="8" fillId="0" borderId="0" xfId="7" applyNumberFormat="1" applyBorder="1"/>
    <xf numFmtId="0" fontId="7" fillId="0" borderId="1" xfId="7" applyFont="1" applyBorder="1"/>
    <xf numFmtId="168" fontId="4" fillId="0" borderId="1" xfId="11" applyNumberFormat="1" applyBorder="1"/>
    <xf numFmtId="0" fontId="0" fillId="0" borderId="0" xfId="0" quotePrefix="1" applyAlignment="1">
      <alignment horizontal="center"/>
    </xf>
    <xf numFmtId="37" fontId="9" fillId="0" borderId="0" xfId="4" applyNumberFormat="1" applyFont="1" applyBorder="1"/>
    <xf numFmtId="167" fontId="15" fillId="0" borderId="0" xfId="8" applyNumberFormat="1" applyFont="1" applyAlignment="1">
      <alignment horizontal="center"/>
    </xf>
    <xf numFmtId="167" fontId="8" fillId="0" borderId="0" xfId="8" applyNumberFormat="1" applyAlignment="1">
      <alignment horizontal="center"/>
    </xf>
    <xf numFmtId="177" fontId="15" fillId="0" borderId="0" xfId="9" applyNumberFormat="1" applyFont="1" applyAlignment="1">
      <alignment horizontal="center"/>
    </xf>
    <xf numFmtId="177" fontId="15" fillId="0" borderId="0" xfId="9" applyNumberFormat="1" applyFont="1"/>
    <xf numFmtId="3" fontId="8" fillId="0" borderId="0" xfId="8" applyNumberFormat="1" applyBorder="1"/>
    <xf numFmtId="0" fontId="10" fillId="0" borderId="0" xfId="0" quotePrefix="1" applyFont="1" applyAlignment="1">
      <alignment horizontal="right"/>
    </xf>
    <xf numFmtId="0" fontId="53" fillId="0" borderId="0" xfId="5" quotePrefix="1" applyAlignment="1" applyProtection="1">
      <alignment horizontal="center"/>
    </xf>
    <xf numFmtId="0" fontId="61" fillId="0" borderId="0" xfId="5" quotePrefix="1" applyFont="1" applyAlignment="1" applyProtection="1">
      <alignment horizontal="center"/>
    </xf>
    <xf numFmtId="0" fontId="62" fillId="0" borderId="0" xfId="0" applyFont="1" applyAlignment="1">
      <alignment horizontal="center"/>
    </xf>
    <xf numFmtId="164" fontId="45" fillId="0" borderId="0" xfId="0" applyNumberFormat="1" applyFont="1" applyAlignment="1">
      <alignment horizontal="center"/>
    </xf>
    <xf numFmtId="172" fontId="8" fillId="0" borderId="0" xfId="9" applyNumberFormat="1" applyBorder="1" applyAlignment="1">
      <alignment horizontal="center"/>
    </xf>
    <xf numFmtId="3" fontId="8" fillId="0" borderId="0" xfId="3" applyNumberFormat="1" applyFill="1" applyAlignment="1">
      <alignment horizontal="center"/>
    </xf>
    <xf numFmtId="3" fontId="8" fillId="0" borderId="0" xfId="8" applyNumberFormat="1" applyFill="1" applyAlignment="1">
      <alignment horizontal="center"/>
    </xf>
    <xf numFmtId="0" fontId="62" fillId="0" borderId="3" xfId="8" applyFont="1" applyBorder="1" applyAlignment="1">
      <alignment horizontal="center"/>
    </xf>
    <xf numFmtId="0" fontId="7" fillId="0" borderId="0" xfId="8" quotePrefix="1" applyFont="1" applyAlignment="1">
      <alignment horizontal="left"/>
    </xf>
    <xf numFmtId="0" fontId="8" fillId="0" borderId="0" xfId="9" applyFill="1" applyBorder="1"/>
    <xf numFmtId="38" fontId="8" fillId="0" borderId="0" xfId="9" applyNumberFormat="1" applyFill="1" applyBorder="1"/>
    <xf numFmtId="170" fontId="27" fillId="5" borderId="0" xfId="1" applyNumberFormat="1" applyFont="1" applyFill="1" applyAlignment="1">
      <alignment vertical="center"/>
    </xf>
    <xf numFmtId="171" fontId="7" fillId="0" borderId="0" xfId="10" applyNumberFormat="1" applyFont="1" applyBorder="1" applyAlignment="1">
      <alignment vertical="center"/>
    </xf>
    <xf numFmtId="3" fontId="63" fillId="0" borderId="0" xfId="3" applyNumberFormat="1" applyFont="1" applyAlignment="1">
      <alignment horizontal="center"/>
    </xf>
    <xf numFmtId="38" fontId="7" fillId="0" borderId="0" xfId="0" applyNumberFormat="1" applyFont="1" applyBorder="1" applyAlignment="1">
      <alignment horizontal="center"/>
    </xf>
    <xf numFmtId="0" fontId="54" fillId="0" borderId="0" xfId="8" applyFont="1"/>
    <xf numFmtId="0" fontId="64" fillId="0" borderId="0" xfId="8" applyFont="1" applyBorder="1"/>
    <xf numFmtId="3" fontId="8" fillId="0" borderId="0" xfId="3" applyNumberFormat="1" applyFont="1" applyAlignment="1">
      <alignment horizontal="center"/>
    </xf>
    <xf numFmtId="10" fontId="4" fillId="0" borderId="0" xfId="11" applyNumberFormat="1"/>
    <xf numFmtId="10" fontId="4" fillId="0" borderId="0" xfId="11" applyNumberFormat="1" applyBorder="1"/>
    <xf numFmtId="168" fontId="4" fillId="0" borderId="0" xfId="11" applyNumberFormat="1" applyBorder="1"/>
    <xf numFmtId="38" fontId="0" fillId="0" borderId="0" xfId="1" applyNumberFormat="1" applyFont="1"/>
    <xf numFmtId="0" fontId="0" fillId="0" borderId="1" xfId="0" quotePrefix="1" applyBorder="1" applyAlignment="1">
      <alignment horizontal="center"/>
    </xf>
    <xf numFmtId="0" fontId="16" fillId="0" borderId="0" xfId="6" applyFont="1"/>
    <xf numFmtId="3" fontId="0" fillId="0" borderId="0" xfId="0" applyNumberFormat="1" applyFill="1" applyBorder="1"/>
    <xf numFmtId="3" fontId="4" fillId="0" borderId="0" xfId="1" applyNumberForma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3" fontId="4" fillId="0" borderId="0" xfId="1" applyNumberFormat="1" applyFill="1" applyBorder="1" applyAlignment="1">
      <alignment horizontal="center"/>
    </xf>
    <xf numFmtId="3" fontId="4" fillId="0" borderId="14" xfId="1" applyNumberFormat="1" applyFill="1" applyBorder="1" applyAlignment="1">
      <alignment horizontal="center"/>
    </xf>
    <xf numFmtId="0" fontId="9" fillId="0" borderId="0" xfId="6" applyFont="1"/>
    <xf numFmtId="1" fontId="6" fillId="0" borderId="0" xfId="0" quotePrefix="1" applyNumberFormat="1" applyFont="1" applyBorder="1" applyAlignment="1">
      <alignment horizontal="left"/>
    </xf>
    <xf numFmtId="1" fontId="48" fillId="0" borderId="0" xfId="0" applyNumberFormat="1" applyFont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3" fontId="4" fillId="0" borderId="1" xfId="1" applyNumberFormat="1" applyFill="1" applyBorder="1" applyAlignment="1">
      <alignment horizontal="center"/>
    </xf>
    <xf numFmtId="3" fontId="4" fillId="0" borderId="18" xfId="1" applyNumberFormat="1" applyFill="1" applyBorder="1" applyAlignment="1">
      <alignment horizontal="center"/>
    </xf>
    <xf numFmtId="0" fontId="7" fillId="0" borderId="0" xfId="6" quotePrefix="1" applyFont="1" applyAlignment="1">
      <alignment horizontal="left"/>
    </xf>
    <xf numFmtId="0" fontId="7" fillId="6" borderId="9" xfId="0" applyFont="1" applyFill="1" applyBorder="1" applyAlignment="1">
      <alignment horizontal="center"/>
    </xf>
    <xf numFmtId="3" fontId="28" fillId="0" borderId="0" xfId="0" applyNumberFormat="1" applyFont="1" applyBorder="1" applyAlignment="1">
      <alignment horizontal="left"/>
    </xf>
    <xf numFmtId="3" fontId="46" fillId="0" borderId="0" xfId="1" applyNumberFormat="1" applyFont="1" applyBorder="1" applyAlignment="1">
      <alignment horizontal="center"/>
    </xf>
    <xf numFmtId="3" fontId="46" fillId="0" borderId="1" xfId="1" applyNumberFormat="1" applyFont="1" applyBorder="1" applyAlignment="1">
      <alignment horizontal="center"/>
    </xf>
    <xf numFmtId="3" fontId="38" fillId="0" borderId="0" xfId="1" applyNumberFormat="1" applyFont="1" applyBorder="1" applyAlignment="1">
      <alignment horizontal="center"/>
    </xf>
    <xf numFmtId="3" fontId="38" fillId="0" borderId="1" xfId="1" applyNumberFormat="1" applyFont="1" applyBorder="1" applyAlignment="1">
      <alignment horizontal="center"/>
    </xf>
    <xf numFmtId="0" fontId="9" fillId="0" borderId="0" xfId="6" quotePrefix="1" applyFont="1" applyAlignment="1">
      <alignment horizontal="left"/>
    </xf>
    <xf numFmtId="0" fontId="65" fillId="0" borderId="0" xfId="0" quotePrefix="1" applyFont="1" applyBorder="1" applyAlignment="1">
      <alignment horizontal="left"/>
    </xf>
    <xf numFmtId="3" fontId="4" fillId="0" borderId="14" xfId="1" applyNumberFormat="1" applyBorder="1" applyAlignment="1">
      <alignment horizontal="center"/>
    </xf>
    <xf numFmtId="3" fontId="4" fillId="0" borderId="18" xfId="1" applyNumberForma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3" fontId="0" fillId="0" borderId="18" xfId="0" applyNumberFormat="1" applyBorder="1" applyAlignment="1">
      <alignment horizontal="center"/>
    </xf>
    <xf numFmtId="37" fontId="8" fillId="0" borderId="0" xfId="4" applyNumberFormat="1" applyAlignment="1">
      <alignment horizontal="right"/>
    </xf>
    <xf numFmtId="2" fontId="8" fillId="0" borderId="0" xfId="8" applyNumberFormat="1" applyAlignment="1">
      <alignment horizontal="center"/>
    </xf>
    <xf numFmtId="3" fontId="66" fillId="0" borderId="0" xfId="3" applyNumberFormat="1" applyFont="1" applyAlignment="1">
      <alignment horizontal="center"/>
    </xf>
    <xf numFmtId="167" fontId="66" fillId="0" borderId="0" xfId="8" applyNumberFormat="1" applyFont="1" applyAlignment="1">
      <alignment horizontal="center"/>
    </xf>
    <xf numFmtId="37" fontId="66" fillId="0" borderId="0" xfId="8" applyNumberFormat="1" applyFont="1" applyAlignment="1">
      <alignment horizontal="center"/>
    </xf>
    <xf numFmtId="3" fontId="66" fillId="0" borderId="0" xfId="3" applyNumberFormat="1" applyFont="1" applyBorder="1" applyAlignment="1">
      <alignment horizontal="center"/>
    </xf>
    <xf numFmtId="3" fontId="8" fillId="0" borderId="0" xfId="8" applyNumberFormat="1" applyFont="1" applyAlignment="1">
      <alignment horizontal="center"/>
    </xf>
    <xf numFmtId="173" fontId="54" fillId="0" borderId="0" xfId="8" applyNumberFormat="1" applyFont="1" applyAlignment="1">
      <alignment horizontal="center"/>
    </xf>
    <xf numFmtId="0" fontId="54" fillId="0" borderId="0" xfId="8" applyFont="1" applyAlignment="1">
      <alignment horizontal="center"/>
    </xf>
    <xf numFmtId="173" fontId="54" fillId="0" borderId="0" xfId="8" applyNumberFormat="1" applyFont="1" applyBorder="1" applyAlignment="1">
      <alignment horizontal="center"/>
    </xf>
    <xf numFmtId="0" fontId="28" fillId="0" borderId="0" xfId="9" quotePrefix="1" applyFont="1" applyAlignment="1">
      <alignment horizontal="center" vertical="justify"/>
    </xf>
    <xf numFmtId="0" fontId="28" fillId="0" borderId="3" xfId="10" quotePrefix="1" applyFont="1" applyBorder="1" applyAlignment="1">
      <alignment horizontal="center"/>
    </xf>
    <xf numFmtId="171" fontId="67" fillId="0" borderId="0" xfId="1" applyNumberFormat="1" applyFont="1" applyAlignment="1">
      <alignment vertical="center"/>
    </xf>
    <xf numFmtId="38" fontId="8" fillId="0" borderId="0" xfId="9" applyNumberFormat="1"/>
    <xf numFmtId="3" fontId="8" fillId="0" borderId="0" xfId="8" applyNumberFormat="1" applyFill="1"/>
    <xf numFmtId="38" fontId="8" fillId="0" borderId="1" xfId="1" applyNumberFormat="1" applyFont="1" applyBorder="1" applyAlignment="1">
      <alignment horizontal="center"/>
    </xf>
    <xf numFmtId="0" fontId="8" fillId="0" borderId="1" xfId="8" applyBorder="1"/>
    <xf numFmtId="164" fontId="8" fillId="0" borderId="1" xfId="8" applyNumberFormat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4" fillId="0" borderId="0" xfId="0" quotePrefix="1" applyFont="1" applyFill="1" applyBorder="1" applyAlignment="1">
      <alignment horizontal="right"/>
    </xf>
    <xf numFmtId="0" fontId="38" fillId="0" borderId="0" xfId="0" quotePrefix="1" applyFont="1" applyFill="1" applyBorder="1" applyAlignment="1">
      <alignment horizontal="right"/>
    </xf>
    <xf numFmtId="0" fontId="8" fillId="0" borderId="0" xfId="8" applyFont="1" applyFill="1" applyBorder="1" applyAlignment="1">
      <alignment horizontal="center"/>
    </xf>
    <xf numFmtId="3" fontId="8" fillId="0" borderId="0" xfId="8" applyNumberFormat="1" applyFont="1" applyFill="1" applyBorder="1" applyAlignment="1">
      <alignment horizontal="center"/>
    </xf>
    <xf numFmtId="38" fontId="8" fillId="0" borderId="0" xfId="8" applyNumberFormat="1" applyFont="1" applyFill="1" applyBorder="1"/>
    <xf numFmtId="164" fontId="8" fillId="0" borderId="0" xfId="8" applyNumberFormat="1" applyFont="1" applyFill="1" applyBorder="1" applyAlignment="1">
      <alignment horizontal="center"/>
    </xf>
    <xf numFmtId="3" fontId="8" fillId="0" borderId="0" xfId="3" applyNumberFormat="1" applyFont="1" applyFill="1" applyBorder="1" applyAlignment="1">
      <alignment horizontal="center"/>
    </xf>
    <xf numFmtId="0" fontId="8" fillId="0" borderId="0" xfId="8" applyFont="1" applyFill="1" applyBorder="1"/>
    <xf numFmtId="0" fontId="9" fillId="0" borderId="0" xfId="9" quotePrefix="1" applyFont="1" applyFill="1" applyBorder="1" applyAlignment="1">
      <alignment horizontal="left"/>
    </xf>
    <xf numFmtId="0" fontId="9" fillId="0" borderId="0" xfId="8" quotePrefix="1" applyFont="1" applyFill="1" applyBorder="1" applyAlignment="1">
      <alignment horizontal="left"/>
    </xf>
    <xf numFmtId="0" fontId="8" fillId="0" borderId="0" xfId="8" applyFill="1" applyBorder="1"/>
    <xf numFmtId="0" fontId="8" fillId="0" borderId="0" xfId="8" applyFill="1" applyBorder="1" applyAlignment="1">
      <alignment horizontal="center"/>
    </xf>
    <xf numFmtId="0" fontId="62" fillId="0" borderId="0" xfId="8" quotePrefix="1" applyFont="1" applyFill="1" applyBorder="1" applyAlignment="1">
      <alignment horizontal="center"/>
    </xf>
    <xf numFmtId="0" fontId="8" fillId="0" borderId="0" xfId="8" quotePrefix="1" applyFont="1" applyFill="1" applyBorder="1" applyAlignment="1">
      <alignment horizontal="center"/>
    </xf>
    <xf numFmtId="0" fontId="8" fillId="0" borderId="0" xfId="9" quotePrefix="1" applyFont="1" applyFill="1" applyBorder="1" applyAlignment="1">
      <alignment horizontal="right"/>
    </xf>
    <xf numFmtId="38" fontId="8" fillId="0" borderId="0" xfId="1" applyNumberFormat="1" applyFont="1" applyFill="1" applyBorder="1" applyAlignment="1">
      <alignment horizontal="center"/>
    </xf>
    <xf numFmtId="3" fontId="8" fillId="0" borderId="0" xfId="3" applyNumberFormat="1" applyFill="1" applyBorder="1" applyAlignment="1">
      <alignment horizontal="center"/>
    </xf>
    <xf numFmtId="38" fontId="8" fillId="0" borderId="0" xfId="8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right"/>
    </xf>
    <xf numFmtId="10" fontId="8" fillId="0" borderId="0" xfId="11" applyNumberFormat="1" applyFont="1" applyAlignment="1">
      <alignment horizontal="center"/>
    </xf>
    <xf numFmtId="179" fontId="8" fillId="0" borderId="0" xfId="9" applyNumberFormat="1" applyAlignment="1">
      <alignment horizontal="center"/>
    </xf>
    <xf numFmtId="3" fontId="9" fillId="0" borderId="0" xfId="9" applyNumberFormat="1" applyFont="1"/>
    <xf numFmtId="0" fontId="9" fillId="0" borderId="0" xfId="9" applyFont="1" applyAlignment="1"/>
    <xf numFmtId="0" fontId="9" fillId="0" borderId="3" xfId="10" applyFont="1" applyBorder="1" applyAlignment="1">
      <alignment horizontal="right"/>
    </xf>
    <xf numFmtId="3" fontId="9" fillId="0" borderId="0" xfId="9" applyNumberFormat="1" applyFont="1" applyAlignment="1">
      <alignment horizontal="center"/>
    </xf>
    <xf numFmtId="38" fontId="9" fillId="0" borderId="0" xfId="1" applyNumberFormat="1" applyFont="1" applyAlignment="1">
      <alignment horizontal="center"/>
    </xf>
    <xf numFmtId="3" fontId="8" fillId="0" borderId="0" xfId="9" applyNumberFormat="1" applyAlignment="1">
      <alignment horizontal="center"/>
    </xf>
    <xf numFmtId="38" fontId="9" fillId="0" borderId="0" xfId="9" applyNumberFormat="1" applyFont="1" applyAlignment="1">
      <alignment horizontal="center"/>
    </xf>
    <xf numFmtId="37" fontId="54" fillId="0" borderId="0" xfId="9" applyNumberFormat="1" applyFont="1"/>
    <xf numFmtId="38" fontId="0" fillId="0" borderId="0" xfId="0" applyNumberFormat="1"/>
    <xf numFmtId="164" fontId="8" fillId="0" borderId="0" xfId="6" applyNumberFormat="1" applyAlignment="1">
      <alignment horizontal="center"/>
    </xf>
    <xf numFmtId="0" fontId="8" fillId="0" borderId="0" xfId="6" applyAlignment="1">
      <alignment horizontal="center"/>
    </xf>
    <xf numFmtId="0" fontId="8" fillId="0" borderId="0" xfId="6" quotePrefix="1" applyFont="1" applyAlignment="1">
      <alignment horizontal="center"/>
    </xf>
    <xf numFmtId="1" fontId="20" fillId="0" borderId="0" xfId="0" applyNumberFormat="1" applyFont="1" applyFill="1" applyAlignment="1">
      <alignment horizontal="center"/>
    </xf>
    <xf numFmtId="1" fontId="21" fillId="0" borderId="0" xfId="0" applyNumberFormat="1" applyFont="1" applyFill="1" applyAlignment="1">
      <alignment horizontal="center"/>
    </xf>
    <xf numFmtId="164" fontId="21" fillId="0" borderId="0" xfId="0" applyNumberFormat="1" applyFont="1" applyAlignment="1">
      <alignment horizontal="center"/>
    </xf>
    <xf numFmtId="164" fontId="9" fillId="5" borderId="0" xfId="8" applyNumberFormat="1" applyFont="1" applyFill="1"/>
    <xf numFmtId="0" fontId="9" fillId="5" borderId="0" xfId="9" quotePrefix="1" applyFont="1" applyFill="1" applyBorder="1" applyAlignment="1">
      <alignment horizontal="left"/>
    </xf>
    <xf numFmtId="0" fontId="9" fillId="5" borderId="0" xfId="8" applyFont="1" applyFill="1" applyAlignment="1">
      <alignment horizontal="center"/>
    </xf>
    <xf numFmtId="164" fontId="9" fillId="0" borderId="0" xfId="8" applyNumberFormat="1" applyFont="1" applyFill="1" applyAlignment="1">
      <alignment horizontal="center"/>
    </xf>
    <xf numFmtId="37" fontId="8" fillId="0" borderId="0" xfId="9" applyNumberFormat="1" applyBorder="1" applyAlignment="1">
      <alignment horizontal="center"/>
    </xf>
    <xf numFmtId="0" fontId="8" fillId="5" borderId="0" xfId="8" applyFont="1" applyFill="1" applyAlignment="1">
      <alignment horizontal="center"/>
    </xf>
    <xf numFmtId="3" fontId="66" fillId="0" borderId="0" xfId="8" applyNumberFormat="1" applyFont="1" applyAlignment="1">
      <alignment horizontal="center"/>
    </xf>
    <xf numFmtId="38" fontId="66" fillId="0" borderId="0" xfId="1" applyNumberFormat="1" applyFont="1" applyAlignment="1">
      <alignment horizontal="center"/>
    </xf>
    <xf numFmtId="164" fontId="8" fillId="0" borderId="0" xfId="8" applyNumberFormat="1" applyFill="1" applyAlignment="1">
      <alignment horizontal="center"/>
    </xf>
    <xf numFmtId="164" fontId="8" fillId="0" borderId="0" xfId="8" applyNumberFormat="1" applyFill="1"/>
    <xf numFmtId="3" fontId="48" fillId="0" borderId="0" xfId="3" applyNumberFormat="1" applyFont="1" applyAlignment="1">
      <alignment horizontal="center"/>
    </xf>
    <xf numFmtId="38" fontId="63" fillId="0" borderId="0" xfId="9" applyNumberFormat="1" applyFont="1" applyBorder="1"/>
    <xf numFmtId="37" fontId="7" fillId="6" borderId="0" xfId="10" applyNumberFormat="1" applyFont="1" applyFill="1" applyBorder="1" applyAlignment="1">
      <alignment horizontal="right" vertical="center"/>
    </xf>
    <xf numFmtId="37" fontId="7" fillId="0" borderId="0" xfId="10" applyNumberFormat="1" applyFont="1" applyFill="1" applyBorder="1" applyAlignment="1">
      <alignment horizontal="right" vertical="center"/>
    </xf>
    <xf numFmtId="37" fontId="68" fillId="0" borderId="0" xfId="10" applyNumberFormat="1" applyFont="1" applyFill="1" applyBorder="1" applyAlignment="1">
      <alignment horizontal="right" vertical="center"/>
    </xf>
    <xf numFmtId="10" fontId="28" fillId="5" borderId="0" xfId="11" applyNumberFormat="1" applyFont="1" applyFill="1" applyAlignment="1">
      <alignment horizontal="center"/>
    </xf>
    <xf numFmtId="172" fontId="8" fillId="0" borderId="0" xfId="9" applyNumberFormat="1" applyFont="1" applyBorder="1" applyAlignment="1">
      <alignment horizontal="center" vertical="justify"/>
    </xf>
    <xf numFmtId="164" fontId="8" fillId="0" borderId="0" xfId="9" applyNumberFormat="1" applyAlignment="1">
      <alignment horizontal="center"/>
    </xf>
    <xf numFmtId="168" fontId="8" fillId="0" borderId="0" xfId="11" applyNumberFormat="1" applyFont="1"/>
    <xf numFmtId="38" fontId="8" fillId="5" borderId="0" xfId="1" applyNumberFormat="1" applyFont="1" applyFill="1"/>
    <xf numFmtId="0" fontId="16" fillId="0" borderId="0" xfId="8" quotePrefix="1" applyFont="1" applyAlignment="1">
      <alignment horizontal="left"/>
    </xf>
    <xf numFmtId="37" fontId="8" fillId="0" borderId="0" xfId="9" applyNumberFormat="1" applyFont="1" applyAlignment="1">
      <alignment horizontal="center"/>
    </xf>
    <xf numFmtId="37" fontId="8" fillId="5" borderId="0" xfId="9" applyNumberFormat="1" applyFont="1" applyFill="1" applyAlignment="1">
      <alignment horizontal="center"/>
    </xf>
    <xf numFmtId="38" fontId="8" fillId="5" borderId="0" xfId="1" applyNumberFormat="1" applyFont="1" applyFill="1" applyAlignment="1">
      <alignment horizontal="center"/>
    </xf>
    <xf numFmtId="0" fontId="8" fillId="0" borderId="0" xfId="8" applyFill="1" applyAlignment="1">
      <alignment horizontal="center"/>
    </xf>
    <xf numFmtId="174" fontId="8" fillId="0" borderId="0" xfId="3" applyNumberFormat="1" applyFill="1" applyAlignment="1">
      <alignment horizontal="center"/>
    </xf>
    <xf numFmtId="164" fontId="9" fillId="5" borderId="9" xfId="9" applyNumberFormat="1" applyFont="1" applyFill="1" applyBorder="1"/>
    <xf numFmtId="38" fontId="8" fillId="0" borderId="0" xfId="9" applyNumberFormat="1" applyFill="1" applyAlignment="1">
      <alignment horizontal="center"/>
    </xf>
    <xf numFmtId="0" fontId="7" fillId="0" borderId="0" xfId="9" applyFont="1" applyFill="1" applyBorder="1" applyAlignment="1">
      <alignment horizontal="center"/>
    </xf>
    <xf numFmtId="0" fontId="8" fillId="0" borderId="0" xfId="9" quotePrefix="1" applyFont="1" applyAlignment="1">
      <alignment vertical="justify"/>
    </xf>
    <xf numFmtId="1" fontId="8" fillId="0" borderId="0" xfId="9" applyNumberFormat="1" applyBorder="1" applyAlignment="1">
      <alignment horizontal="center"/>
    </xf>
    <xf numFmtId="37" fontId="7" fillId="6" borderId="0" xfId="4" applyNumberFormat="1" applyFont="1" applyFill="1"/>
    <xf numFmtId="37" fontId="8" fillId="6" borderId="0" xfId="4" applyNumberFormat="1" applyFill="1"/>
    <xf numFmtId="0" fontId="4" fillId="0" borderId="1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28" fillId="0" borderId="0" xfId="9" quotePrefix="1" applyFont="1" applyAlignment="1">
      <alignment horizontal="right"/>
    </xf>
    <xf numFmtId="37" fontId="8" fillId="0" borderId="0" xfId="9" applyNumberFormat="1" applyFont="1" applyBorder="1" applyAlignment="1">
      <alignment horizontal="center"/>
    </xf>
    <xf numFmtId="164" fontId="8" fillId="0" borderId="0" xfId="9" applyNumberFormat="1" applyBorder="1" applyAlignment="1">
      <alignment horizontal="center"/>
    </xf>
    <xf numFmtId="164" fontId="8" fillId="5" borderId="0" xfId="9" applyNumberFormat="1" applyFill="1" applyBorder="1" applyAlignment="1">
      <alignment horizontal="center"/>
    </xf>
    <xf numFmtId="38" fontId="8" fillId="0" borderId="0" xfId="1" applyNumberFormat="1" applyFont="1" applyBorder="1"/>
    <xf numFmtId="0" fontId="8" fillId="0" borderId="1" xfId="9" applyBorder="1" applyAlignment="1">
      <alignment horizontal="center"/>
    </xf>
    <xf numFmtId="3" fontId="38" fillId="0" borderId="0" xfId="1" applyNumberFormat="1" applyFont="1" applyFill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3" fontId="38" fillId="0" borderId="1" xfId="1" applyNumberFormat="1" applyFont="1" applyFill="1" applyBorder="1" applyAlignment="1">
      <alignment horizontal="center"/>
    </xf>
    <xf numFmtId="0" fontId="69" fillId="0" borderId="0" xfId="0" applyFont="1" applyAlignment="1">
      <alignment horizontal="center"/>
    </xf>
    <xf numFmtId="0" fontId="69" fillId="0" borderId="0" xfId="0" applyFont="1"/>
    <xf numFmtId="16" fontId="69" fillId="0" borderId="0" xfId="0" quotePrefix="1" applyNumberFormat="1" applyFont="1" applyAlignment="1">
      <alignment horizontal="center"/>
    </xf>
    <xf numFmtId="0" fontId="69" fillId="0" borderId="0" xfId="0" applyFont="1" applyFill="1" applyBorder="1" applyAlignment="1">
      <alignment horizontal="center"/>
    </xf>
    <xf numFmtId="38" fontId="4" fillId="0" borderId="0" xfId="2" applyNumberFormat="1" applyBorder="1" applyAlignment="1">
      <alignment horizontal="center"/>
    </xf>
    <xf numFmtId="0" fontId="0" fillId="0" borderId="0" xfId="0" applyAlignment="1">
      <alignment horizontal="left"/>
    </xf>
    <xf numFmtId="14" fontId="0" fillId="0" borderId="0" xfId="0" applyNumberFormat="1"/>
    <xf numFmtId="0" fontId="7" fillId="0" borderId="6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Alignment="1"/>
    <xf numFmtId="0" fontId="0" fillId="0" borderId="13" xfId="0" applyFill="1" applyBorder="1" applyAlignment="1">
      <alignment horizontal="center"/>
    </xf>
    <xf numFmtId="0" fontId="0" fillId="0" borderId="0" xfId="0" quotePrefix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3" fontId="46" fillId="0" borderId="0" xfId="1" applyNumberFormat="1" applyFont="1" applyFill="1" applyBorder="1" applyAlignment="1">
      <alignment horizontal="center"/>
    </xf>
    <xf numFmtId="3" fontId="46" fillId="0" borderId="1" xfId="1" applyNumberFormat="1" applyFont="1" applyFill="1" applyBorder="1" applyAlignment="1">
      <alignment horizontal="center"/>
    </xf>
    <xf numFmtId="0" fontId="0" fillId="0" borderId="4" xfId="0" applyFill="1" applyBorder="1"/>
    <xf numFmtId="0" fontId="0" fillId="0" borderId="13" xfId="0" applyFill="1" applyBorder="1" applyAlignment="1">
      <alignment horizontal="right"/>
    </xf>
    <xf numFmtId="0" fontId="0" fillId="0" borderId="13" xfId="0" applyFill="1" applyBorder="1"/>
    <xf numFmtId="0" fontId="0" fillId="0" borderId="19" xfId="0" applyFill="1" applyBorder="1" applyAlignment="1">
      <alignment horizontal="center"/>
    </xf>
    <xf numFmtId="0" fontId="0" fillId="0" borderId="5" xfId="0" applyFill="1" applyBorder="1"/>
    <xf numFmtId="0" fontId="0" fillId="0" borderId="0" xfId="0" applyFill="1" applyBorder="1" applyAlignment="1">
      <alignment horizontal="right"/>
    </xf>
    <xf numFmtId="0" fontId="0" fillId="0" borderId="14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" xfId="0" applyFill="1" applyBorder="1" applyAlignment="1">
      <alignment horizontal="right"/>
    </xf>
    <xf numFmtId="0" fontId="0" fillId="0" borderId="18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3" fontId="0" fillId="0" borderId="14" xfId="0" applyNumberFormat="1" applyFill="1" applyBorder="1" applyAlignment="1">
      <alignment horizontal="center"/>
    </xf>
    <xf numFmtId="3" fontId="0" fillId="0" borderId="18" xfId="0" applyNumberFormat="1" applyFill="1" applyBorder="1" applyAlignment="1">
      <alignment horizontal="center"/>
    </xf>
    <xf numFmtId="38" fontId="0" fillId="0" borderId="0" xfId="0" applyNumberFormat="1" applyFill="1" applyBorder="1" applyAlignment="1">
      <alignment horizontal="center"/>
    </xf>
    <xf numFmtId="38" fontId="4" fillId="0" borderId="0" xfId="1" applyNumberFormat="1" applyFill="1" applyBorder="1" applyAlignment="1">
      <alignment horizontal="center"/>
    </xf>
    <xf numFmtId="38" fontId="0" fillId="0" borderId="1" xfId="0" applyNumberFormat="1" applyFill="1" applyBorder="1" applyAlignment="1">
      <alignment horizontal="center"/>
    </xf>
    <xf numFmtId="38" fontId="0" fillId="0" borderId="1" xfId="1" applyNumberFormat="1" applyFont="1" applyFill="1" applyBorder="1" applyAlignment="1">
      <alignment horizontal="center"/>
    </xf>
    <xf numFmtId="38" fontId="4" fillId="0" borderId="1" xfId="1" applyNumberFormat="1" applyFill="1" applyBorder="1" applyAlignment="1">
      <alignment horizontal="center"/>
    </xf>
    <xf numFmtId="0" fontId="4" fillId="0" borderId="1" xfId="0" quotePrefix="1" applyFont="1" applyFill="1" applyBorder="1" applyAlignment="1">
      <alignment horizontal="center"/>
    </xf>
    <xf numFmtId="0" fontId="0" fillId="0" borderId="19" xfId="0" applyFill="1" applyBorder="1"/>
    <xf numFmtId="0" fontId="0" fillId="0" borderId="0" xfId="0" quotePrefix="1" applyFill="1" applyBorder="1" applyAlignment="1">
      <alignment horizontal="right"/>
    </xf>
    <xf numFmtId="38" fontId="0" fillId="0" borderId="0" xfId="0" applyNumberFormat="1" applyFill="1" applyBorder="1"/>
    <xf numFmtId="1" fontId="0" fillId="0" borderId="0" xfId="0" applyNumberFormat="1" applyFill="1" applyBorder="1" applyAlignment="1">
      <alignment horizontal="center"/>
    </xf>
    <xf numFmtId="3" fontId="4" fillId="0" borderId="14" xfId="1" applyNumberFormat="1" applyFill="1" applyBorder="1"/>
    <xf numFmtId="0" fontId="0" fillId="0" borderId="1" xfId="0" quotePrefix="1" applyFill="1" applyBorder="1" applyAlignment="1">
      <alignment horizontal="right"/>
    </xf>
    <xf numFmtId="0" fontId="0" fillId="0" borderId="13" xfId="0" applyFill="1" applyBorder="1" applyAlignment="1"/>
    <xf numFmtId="0" fontId="0" fillId="0" borderId="19" xfId="0" applyFill="1" applyBorder="1" applyAlignment="1"/>
    <xf numFmtId="0" fontId="0" fillId="0" borderId="0" xfId="0" quotePrefix="1" applyFill="1" applyBorder="1" applyAlignment="1"/>
    <xf numFmtId="0" fontId="16" fillId="0" borderId="0" xfId="9" quotePrefix="1" applyFont="1" applyBorder="1" applyAlignment="1">
      <alignment horizontal="left"/>
    </xf>
    <xf numFmtId="164" fontId="9" fillId="0" borderId="0" xfId="9" applyNumberFormat="1" applyFont="1" applyFill="1" applyBorder="1"/>
    <xf numFmtId="37" fontId="8" fillId="0" borderId="0" xfId="9" applyNumberFormat="1" applyFill="1" applyAlignment="1">
      <alignment horizontal="center"/>
    </xf>
    <xf numFmtId="0" fontId="8" fillId="0" borderId="0" xfId="9" applyFill="1"/>
    <xf numFmtId="0" fontId="8" fillId="0" borderId="0" xfId="9" applyFont="1" applyFill="1" applyAlignment="1">
      <alignment horizontal="center"/>
    </xf>
    <xf numFmtId="0" fontId="8" fillId="0" borderId="0" xfId="9" applyFont="1" applyFill="1" applyAlignment="1">
      <alignment vertical="justify"/>
    </xf>
    <xf numFmtId="0" fontId="8" fillId="0" borderId="0" xfId="9" applyFont="1" applyFill="1" applyBorder="1" applyAlignment="1">
      <alignment horizontal="center" vertical="justify"/>
    </xf>
    <xf numFmtId="0" fontId="9" fillId="0" borderId="0" xfId="8" applyFont="1" applyFill="1" applyAlignment="1">
      <alignment horizontal="center"/>
    </xf>
    <xf numFmtId="170" fontId="27" fillId="0" borderId="0" xfId="1" applyNumberFormat="1" applyFont="1" applyFill="1" applyAlignment="1">
      <alignment vertical="center"/>
    </xf>
    <xf numFmtId="164" fontId="54" fillId="0" borderId="0" xfId="8" applyNumberFormat="1" applyFont="1" applyAlignment="1">
      <alignment horizontal="center"/>
    </xf>
    <xf numFmtId="164" fontId="20" fillId="0" borderId="0" xfId="0" applyNumberFormat="1" applyFont="1" applyFill="1" applyAlignment="1">
      <alignment horizontal="center"/>
    </xf>
    <xf numFmtId="164" fontId="21" fillId="0" borderId="0" xfId="0" applyNumberFormat="1" applyFont="1" applyFill="1" applyAlignment="1">
      <alignment horizontal="center"/>
    </xf>
    <xf numFmtId="38" fontId="48" fillId="0" borderId="0" xfId="1" applyNumberFormat="1" applyFont="1" applyFill="1" applyBorder="1" applyAlignment="1">
      <alignment horizontal="center"/>
    </xf>
    <xf numFmtId="171" fontId="4" fillId="0" borderId="0" xfId="1" applyNumberFormat="1" applyFont="1" applyAlignment="1">
      <alignment vertical="center"/>
    </xf>
    <xf numFmtId="3" fontId="63" fillId="0" borderId="0" xfId="3" applyNumberFormat="1" applyFont="1" applyFill="1" applyAlignment="1">
      <alignment horizontal="center"/>
    </xf>
    <xf numFmtId="0" fontId="9" fillId="0" borderId="3" xfId="0" applyFont="1" applyBorder="1"/>
    <xf numFmtId="0" fontId="8" fillId="7" borderId="0" xfId="8" quotePrefix="1" applyFont="1" applyFill="1" applyAlignment="1">
      <alignment horizontal="center"/>
    </xf>
    <xf numFmtId="1" fontId="54" fillId="0" borderId="0" xfId="8" applyNumberFormat="1" applyFont="1" applyAlignment="1">
      <alignment horizontal="center"/>
    </xf>
    <xf numFmtId="0" fontId="49" fillId="0" borderId="0" xfId="0" applyFont="1" applyAlignment="1">
      <alignment horizontal="right"/>
    </xf>
    <xf numFmtId="0" fontId="49" fillId="0" borderId="0" xfId="0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3" fontId="0" fillId="0" borderId="1" xfId="0" applyNumberFormat="1" applyFill="1" applyBorder="1"/>
    <xf numFmtId="3" fontId="4" fillId="0" borderId="1" xfId="1" applyNumberFormat="1" applyFill="1" applyBorder="1"/>
    <xf numFmtId="0" fontId="0" fillId="0" borderId="1" xfId="0" applyFill="1" applyBorder="1"/>
    <xf numFmtId="38" fontId="0" fillId="0" borderId="1" xfId="0" applyNumberFormat="1" applyFill="1" applyBorder="1"/>
    <xf numFmtId="1" fontId="0" fillId="0" borderId="1" xfId="0" applyNumberFormat="1" applyFill="1" applyBorder="1" applyAlignment="1">
      <alignment horizontal="center"/>
    </xf>
    <xf numFmtId="3" fontId="4" fillId="0" borderId="18" xfId="1" applyNumberFormat="1" applyFill="1" applyBorder="1"/>
    <xf numFmtId="0" fontId="6" fillId="0" borderId="0" xfId="9" quotePrefix="1" applyFont="1" applyAlignment="1">
      <alignment horizontal="center" vertical="justify"/>
    </xf>
    <xf numFmtId="0" fontId="6" fillId="0" borderId="0" xfId="9" quotePrefix="1" applyFont="1" applyAlignment="1">
      <alignment horizontal="left"/>
    </xf>
    <xf numFmtId="0" fontId="6" fillId="0" borderId="0" xfId="9" quotePrefix="1" applyFont="1" applyAlignment="1">
      <alignment horizontal="left" vertical="justify"/>
    </xf>
    <xf numFmtId="0" fontId="6" fillId="0" borderId="0" xfId="9" quotePrefix="1" applyFont="1" applyFill="1" applyAlignment="1">
      <alignment horizontal="left" vertical="justify"/>
    </xf>
    <xf numFmtId="0" fontId="8" fillId="0" borderId="0" xfId="9" quotePrefix="1" applyFont="1" applyBorder="1" applyAlignment="1">
      <alignment horizontal="center"/>
    </xf>
    <xf numFmtId="0" fontId="0" fillId="0" borderId="3" xfId="0" applyFill="1" applyBorder="1" applyAlignment="1"/>
    <xf numFmtId="167" fontId="0" fillId="0" borderId="0" xfId="0" applyNumberFormat="1" applyFill="1" applyBorder="1" applyAlignment="1"/>
    <xf numFmtId="0" fontId="71" fillId="0" borderId="0" xfId="0" applyFont="1" applyFill="1" applyBorder="1" applyAlignment="1">
      <alignment horizontal="centerContinuous"/>
    </xf>
    <xf numFmtId="0" fontId="71" fillId="0" borderId="0" xfId="0" applyFont="1" applyFill="1" applyBorder="1" applyAlignment="1">
      <alignment horizontal="center"/>
    </xf>
    <xf numFmtId="0" fontId="34" fillId="0" borderId="0" xfId="0" applyFont="1"/>
    <xf numFmtId="37" fontId="28" fillId="0" borderId="0" xfId="9" applyNumberFormat="1" applyFont="1"/>
    <xf numFmtId="0" fontId="34" fillId="0" borderId="1" xfId="0" applyFont="1" applyBorder="1"/>
    <xf numFmtId="0" fontId="34" fillId="0" borderId="3" xfId="0" quotePrefix="1" applyFont="1" applyBorder="1" applyAlignment="1">
      <alignment horizontal="left"/>
    </xf>
    <xf numFmtId="0" fontId="78" fillId="0" borderId="0" xfId="0" applyFont="1" applyAlignment="1">
      <alignment horizontal="center"/>
    </xf>
    <xf numFmtId="164" fontId="78" fillId="0" borderId="0" xfId="0" applyNumberFormat="1" applyFont="1" applyAlignment="1">
      <alignment horizontal="center"/>
    </xf>
    <xf numFmtId="164" fontId="10" fillId="8" borderId="0" xfId="0" applyNumberFormat="1" applyFont="1" applyFill="1" applyBorder="1" applyAlignment="1"/>
    <xf numFmtId="0" fontId="79" fillId="0" borderId="0" xfId="0" applyFont="1" applyFill="1" applyBorder="1" applyAlignment="1">
      <alignment horizontal="center"/>
    </xf>
    <xf numFmtId="0" fontId="79" fillId="0" borderId="0" xfId="0" applyFont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7" fillId="0" borderId="0" xfId="8" quotePrefix="1" applyFont="1" applyAlignment="1">
      <alignment horizontal="center"/>
    </xf>
    <xf numFmtId="0" fontId="28" fillId="0" borderId="0" xfId="9" quotePrefix="1" applyFont="1" applyAlignment="1">
      <alignment horizontal="center"/>
    </xf>
    <xf numFmtId="3" fontId="80" fillId="0" borderId="0" xfId="0" applyNumberFormat="1" applyFont="1" applyFill="1" applyBorder="1" applyAlignment="1">
      <alignment horizontal="center"/>
    </xf>
    <xf numFmtId="0" fontId="6" fillId="0" borderId="0" xfId="9" quotePrefix="1" applyFont="1" applyAlignment="1">
      <alignment horizontal="center"/>
    </xf>
    <xf numFmtId="3" fontId="80" fillId="0" borderId="0" xfId="3" applyNumberFormat="1" applyFont="1" applyBorder="1" applyAlignment="1">
      <alignment horizontal="center"/>
    </xf>
    <xf numFmtId="37" fontId="80" fillId="0" borderId="0" xfId="9" applyNumberFormat="1" applyFont="1"/>
    <xf numFmtId="3" fontId="80" fillId="0" borderId="0" xfId="3" applyNumberFormat="1" applyFont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quotePrefix="1" applyFont="1" applyBorder="1" applyAlignment="1">
      <alignment horizontal="left"/>
    </xf>
    <xf numFmtId="37" fontId="7" fillId="0" borderId="0" xfId="9" applyNumberFormat="1" applyFont="1" applyBorder="1"/>
    <xf numFmtId="0" fontId="7" fillId="0" borderId="1" xfId="9" applyFont="1" applyBorder="1"/>
    <xf numFmtId="0" fontId="7" fillId="0" borderId="3" xfId="9" applyFont="1" applyBorder="1"/>
    <xf numFmtId="38" fontId="8" fillId="0" borderId="0" xfId="9" applyNumberFormat="1" applyFill="1" applyBorder="1" applyAlignment="1">
      <alignment horizontal="center"/>
    </xf>
    <xf numFmtId="0" fontId="8" fillId="0" borderId="0" xfId="9" applyFill="1" applyBorder="1" applyAlignment="1">
      <alignment horizontal="center"/>
    </xf>
    <xf numFmtId="168" fontId="8" fillId="0" borderId="0" xfId="11" applyNumberFormat="1" applyFont="1" applyBorder="1" applyAlignment="1">
      <alignment horizontal="center"/>
    </xf>
    <xf numFmtId="37" fontId="8" fillId="0" borderId="0" xfId="9" applyNumberFormat="1" applyFill="1" applyBorder="1" applyAlignment="1">
      <alignment horizontal="center"/>
    </xf>
    <xf numFmtId="0" fontId="8" fillId="6" borderId="0" xfId="9" applyFill="1" applyBorder="1" applyAlignment="1">
      <alignment horizontal="center"/>
    </xf>
    <xf numFmtId="0" fontId="4" fillId="0" borderId="0" xfId="0" applyFont="1" applyFill="1" applyBorder="1" applyAlignment="1"/>
    <xf numFmtId="0" fontId="4" fillId="0" borderId="3" xfId="0" applyFont="1" applyFill="1" applyBorder="1" applyAlignment="1"/>
    <xf numFmtId="0" fontId="71" fillId="0" borderId="21" xfId="0" applyFont="1" applyFill="1" applyBorder="1" applyAlignment="1">
      <alignment horizontal="left"/>
    </xf>
    <xf numFmtId="173" fontId="7" fillId="0" borderId="0" xfId="8" applyNumberFormat="1" applyFont="1" applyBorder="1" applyAlignment="1">
      <alignment horizontal="center"/>
    </xf>
    <xf numFmtId="0" fontId="80" fillId="0" borderId="0" xfId="8" applyFont="1" applyAlignment="1">
      <alignment horizontal="center"/>
    </xf>
    <xf numFmtId="0" fontId="6" fillId="5" borderId="0" xfId="8" quotePrefix="1" applyFont="1" applyFill="1" applyAlignment="1">
      <alignment horizontal="left"/>
    </xf>
    <xf numFmtId="0" fontId="6" fillId="0" borderId="0" xfId="8" quotePrefix="1" applyFont="1" applyAlignment="1">
      <alignment horizontal="left"/>
    </xf>
    <xf numFmtId="0" fontId="4" fillId="0" borderId="0" xfId="0" quotePrefix="1" applyFont="1" applyFill="1" applyBorder="1" applyAlignment="1">
      <alignment horizontal="left"/>
    </xf>
    <xf numFmtId="0" fontId="37" fillId="0" borderId="9" xfId="0" applyFont="1" applyFill="1" applyBorder="1" applyAlignment="1">
      <alignment horizontal="right"/>
    </xf>
    <xf numFmtId="0" fontId="37" fillId="0" borderId="9" xfId="0" quotePrefix="1" applyFont="1" applyFill="1" applyBorder="1" applyAlignment="1">
      <alignment horizontal="right"/>
    </xf>
    <xf numFmtId="0" fontId="37" fillId="0" borderId="9" xfId="0" quotePrefix="1" applyFont="1" applyBorder="1" applyAlignment="1">
      <alignment horizontal="right"/>
    </xf>
    <xf numFmtId="0" fontId="38" fillId="0" borderId="9" xfId="0" quotePrefix="1" applyFont="1" applyFill="1" applyBorder="1" applyAlignment="1">
      <alignment horizontal="right"/>
    </xf>
    <xf numFmtId="0" fontId="8" fillId="0" borderId="22" xfId="8" quotePrefix="1" applyFont="1" applyBorder="1" applyAlignment="1">
      <alignment horizontal="center"/>
    </xf>
    <xf numFmtId="0" fontId="8" fillId="0" borderId="22" xfId="8" applyFont="1" applyBorder="1" applyAlignment="1">
      <alignment horizontal="right"/>
    </xf>
    <xf numFmtId="0" fontId="7" fillId="0" borderId="22" xfId="9" applyFont="1" applyBorder="1" applyAlignment="1">
      <alignment horizontal="right"/>
    </xf>
    <xf numFmtId="0" fontId="34" fillId="0" borderId="0" xfId="0" applyFont="1" applyBorder="1"/>
    <xf numFmtId="2" fontId="4" fillId="0" borderId="8" xfId="0" applyNumberFormat="1" applyFont="1" applyFill="1" applyBorder="1" applyAlignment="1">
      <alignment horizontal="right"/>
    </xf>
    <xf numFmtId="0" fontId="6" fillId="0" borderId="0" xfId="8" applyFont="1" applyAlignment="1">
      <alignment horizontal="center"/>
    </xf>
    <xf numFmtId="0" fontId="6" fillId="5" borderId="0" xfId="8" applyFont="1" applyFill="1" applyAlignment="1">
      <alignment horizontal="center"/>
    </xf>
    <xf numFmtId="38" fontId="38" fillId="0" borderId="8" xfId="1" applyNumberFormat="1" applyFont="1" applyBorder="1" applyAlignment="1">
      <alignment horizontal="right"/>
    </xf>
    <xf numFmtId="0" fontId="5" fillId="0" borderId="0" xfId="0" applyFont="1"/>
    <xf numFmtId="0" fontId="71" fillId="0" borderId="0" xfId="0" applyFont="1" applyFill="1" applyBorder="1" applyAlignment="1">
      <alignment horizontal="left"/>
    </xf>
    <xf numFmtId="0" fontId="6" fillId="0" borderId="0" xfId="8" applyFont="1"/>
    <xf numFmtId="0" fontId="6" fillId="0" borderId="0" xfId="8" applyFont="1" applyFill="1"/>
    <xf numFmtId="0" fontId="6" fillId="5" borderId="0" xfId="8" applyFont="1" applyFill="1"/>
    <xf numFmtId="0" fontId="6" fillId="9" borderId="0" xfId="8" applyFont="1" applyFill="1"/>
    <xf numFmtId="38" fontId="81" fillId="0" borderId="0" xfId="1" applyNumberFormat="1" applyFont="1" applyAlignment="1">
      <alignment horizontal="center"/>
    </xf>
    <xf numFmtId="2" fontId="72" fillId="0" borderId="8" xfId="0" applyNumberFormat="1" applyFont="1" applyFill="1" applyBorder="1" applyAlignment="1">
      <alignment horizontal="right"/>
    </xf>
    <xf numFmtId="2" fontId="72" fillId="0" borderId="9" xfId="0" applyNumberFormat="1" applyFont="1" applyFill="1" applyBorder="1" applyAlignment="1">
      <alignment horizontal="right"/>
    </xf>
    <xf numFmtId="173" fontId="7" fillId="0" borderId="0" xfId="8" quotePrefix="1" applyNumberFormat="1" applyFont="1" applyBorder="1" applyAlignment="1">
      <alignment horizontal="center"/>
    </xf>
    <xf numFmtId="0" fontId="8" fillId="9" borderId="3" xfId="8" applyFont="1" applyFill="1" applyBorder="1" applyAlignment="1">
      <alignment horizontal="center"/>
    </xf>
    <xf numFmtId="167" fontId="7" fillId="0" borderId="0" xfId="8" applyNumberFormat="1" applyFont="1" applyAlignment="1">
      <alignment horizontal="center"/>
    </xf>
    <xf numFmtId="0" fontId="10" fillId="0" borderId="3" xfId="8" applyFont="1" applyBorder="1" applyAlignment="1">
      <alignment horizontal="center"/>
    </xf>
    <xf numFmtId="0" fontId="6" fillId="0" borderId="0" xfId="8" applyFont="1" applyFill="1" applyAlignment="1">
      <alignment horizontal="center"/>
    </xf>
    <xf numFmtId="37" fontId="73" fillId="0" borderId="0" xfId="4" applyNumberFormat="1" applyFont="1" applyAlignment="1">
      <alignment horizontal="center"/>
    </xf>
    <xf numFmtId="37" fontId="8" fillId="5" borderId="0" xfId="9" applyNumberFormat="1" applyFill="1" applyAlignment="1">
      <alignment horizontal="center"/>
    </xf>
    <xf numFmtId="0" fontId="7" fillId="0" borderId="0" xfId="9" quotePrefix="1" applyFont="1" applyAlignment="1">
      <alignment horizontal="center" vertical="justify"/>
    </xf>
    <xf numFmtId="0" fontId="6" fillId="0" borderId="3" xfId="8" quotePrefix="1" applyFont="1" applyBorder="1" applyAlignment="1">
      <alignment horizontal="center"/>
    </xf>
    <xf numFmtId="38" fontId="7" fillId="0" borderId="0" xfId="1" applyNumberFormat="1" applyFont="1"/>
    <xf numFmtId="0" fontId="40" fillId="0" borderId="0" xfId="0" quotePrefix="1" applyFont="1" applyBorder="1" applyAlignment="1"/>
    <xf numFmtId="1" fontId="80" fillId="0" borderId="0" xfId="9" applyNumberFormat="1" applyFont="1" applyBorder="1" applyAlignment="1">
      <alignment horizontal="center"/>
    </xf>
    <xf numFmtId="37" fontId="8" fillId="0" borderId="1" xfId="9" applyNumberFormat="1" applyBorder="1"/>
    <xf numFmtId="0" fontId="0" fillId="0" borderId="1" xfId="0" applyBorder="1"/>
    <xf numFmtId="0" fontId="6" fillId="0" borderId="0" xfId="9" applyFont="1" applyBorder="1" applyAlignment="1">
      <alignment horizontal="center"/>
    </xf>
    <xf numFmtId="0" fontId="6" fillId="0" borderId="0" xfId="9" applyFont="1" applyAlignment="1">
      <alignment horizontal="center"/>
    </xf>
    <xf numFmtId="0" fontId="0" fillId="10" borderId="0" xfId="0" applyFill="1"/>
    <xf numFmtId="3" fontId="65" fillId="0" borderId="0" xfId="3" applyNumberFormat="1" applyFont="1" applyAlignment="1">
      <alignment horizontal="center"/>
    </xf>
    <xf numFmtId="0" fontId="42" fillId="9" borderId="0" xfId="0" applyFont="1" applyFill="1" applyAlignment="1">
      <alignment horizontal="center"/>
    </xf>
    <xf numFmtId="0" fontId="4" fillId="0" borderId="0" xfId="0" applyFont="1"/>
    <xf numFmtId="3" fontId="0" fillId="0" borderId="0" xfId="0" applyNumberFormat="1" applyFill="1"/>
    <xf numFmtId="168" fontId="74" fillId="0" borderId="0" xfId="11" applyNumberFormat="1" applyFont="1" applyFill="1"/>
    <xf numFmtId="168" fontId="74" fillId="0" borderId="0" xfId="11" applyNumberFormat="1" applyFont="1" applyFill="1" applyBorder="1"/>
    <xf numFmtId="0" fontId="56" fillId="0" borderId="0" xfId="0" quotePrefix="1" applyFont="1" applyAlignment="1">
      <alignment horizontal="left"/>
    </xf>
    <xf numFmtId="1" fontId="80" fillId="2" borderId="0" xfId="0" applyNumberFormat="1" applyFont="1" applyFill="1" applyBorder="1" applyAlignment="1">
      <alignment horizontal="center"/>
    </xf>
    <xf numFmtId="3" fontId="80" fillId="2" borderId="0" xfId="0" applyNumberFormat="1" applyFont="1" applyFill="1" applyBorder="1" applyAlignment="1">
      <alignment horizontal="center"/>
    </xf>
    <xf numFmtId="0" fontId="82" fillId="0" borderId="0" xfId="0" quotePrefix="1" applyFont="1" applyAlignment="1">
      <alignment horizontal="left"/>
    </xf>
    <xf numFmtId="0" fontId="49" fillId="0" borderId="0" xfId="0" quotePrefix="1" applyFont="1" applyFill="1" applyAlignment="1">
      <alignment horizontal="center"/>
    </xf>
    <xf numFmtId="3" fontId="0" fillId="0" borderId="0" xfId="0" applyNumberFormat="1" applyFill="1" applyAlignment="1">
      <alignment horizontal="center"/>
    </xf>
    <xf numFmtId="0" fontId="34" fillId="0" borderId="0" xfId="0" applyFont="1" applyFill="1" applyAlignment="1">
      <alignment horizontal="center"/>
    </xf>
    <xf numFmtId="0" fontId="83" fillId="0" borderId="0" xfId="0" quotePrefix="1" applyFont="1" applyBorder="1" applyAlignment="1">
      <alignment horizontal="left"/>
    </xf>
    <xf numFmtId="1" fontId="80" fillId="0" borderId="0" xfId="0" applyNumberFormat="1" applyFont="1" applyBorder="1" applyAlignment="1">
      <alignment horizontal="center"/>
    </xf>
    <xf numFmtId="0" fontId="53" fillId="0" borderId="0" xfId="5" quotePrefix="1" applyFill="1" applyAlignment="1" applyProtection="1">
      <alignment horizontal="center"/>
    </xf>
    <xf numFmtId="0" fontId="4" fillId="0" borderId="0" xfId="0" quotePrefix="1" applyFont="1" applyAlignment="1">
      <alignment horizontal="left"/>
    </xf>
    <xf numFmtId="0" fontId="34" fillId="0" borderId="0" xfId="0" quotePrefix="1" applyFont="1" applyFill="1" applyAlignment="1">
      <alignment horizontal="center"/>
    </xf>
    <xf numFmtId="164" fontId="8" fillId="11" borderId="0" xfId="8" applyNumberFormat="1" applyFill="1" applyAlignment="1">
      <alignment horizontal="center"/>
    </xf>
    <xf numFmtId="0" fontId="5" fillId="0" borderId="0" xfId="0" quotePrefix="1" applyFont="1" applyAlignment="1">
      <alignment horizontal="left"/>
    </xf>
    <xf numFmtId="164" fontId="80" fillId="0" borderId="0" xfId="8" applyNumberFormat="1" applyFont="1" applyAlignment="1">
      <alignment horizontal="center"/>
    </xf>
    <xf numFmtId="0" fontId="80" fillId="0" borderId="0" xfId="8" applyFont="1" applyBorder="1" applyAlignment="1">
      <alignment horizontal="center"/>
    </xf>
    <xf numFmtId="164" fontId="80" fillId="0" borderId="0" xfId="0" applyNumberFormat="1" applyFont="1" applyAlignment="1">
      <alignment horizontal="center"/>
    </xf>
    <xf numFmtId="172" fontId="6" fillId="0" borderId="0" xfId="9" applyNumberFormat="1" applyFont="1" applyBorder="1" applyAlignment="1">
      <alignment horizontal="center"/>
    </xf>
    <xf numFmtId="164" fontId="6" fillId="6" borderId="0" xfId="9" applyNumberFormat="1" applyFont="1" applyFill="1" applyBorder="1" applyAlignment="1">
      <alignment horizontal="center"/>
    </xf>
    <xf numFmtId="3" fontId="8" fillId="0" borderId="3" xfId="3" applyNumberFormat="1" applyBorder="1" applyAlignment="1">
      <alignment horizontal="center"/>
    </xf>
    <xf numFmtId="164" fontId="8" fillId="0" borderId="3" xfId="8" applyNumberFormat="1" applyBorder="1" applyAlignment="1">
      <alignment horizontal="center"/>
    </xf>
    <xf numFmtId="174" fontId="8" fillId="0" borderId="3" xfId="3" applyNumberFormat="1" applyBorder="1" applyAlignment="1">
      <alignment horizontal="center"/>
    </xf>
    <xf numFmtId="3" fontId="0" fillId="0" borderId="3" xfId="0" applyNumberFormat="1" applyFill="1" applyBorder="1" applyAlignment="1">
      <alignment horizontal="center"/>
    </xf>
    <xf numFmtId="173" fontId="80" fillId="0" borderId="0" xfId="8" applyNumberFormat="1" applyFont="1" applyBorder="1" applyAlignment="1">
      <alignment horizontal="center"/>
    </xf>
    <xf numFmtId="0" fontId="6" fillId="5" borderId="0" xfId="9" quotePrefix="1" applyFont="1" applyFill="1" applyBorder="1" applyAlignment="1">
      <alignment horizontal="left"/>
    </xf>
    <xf numFmtId="174" fontId="6" fillId="0" borderId="0" xfId="3" applyNumberFormat="1" applyFont="1" applyAlignment="1">
      <alignment horizontal="center"/>
    </xf>
    <xf numFmtId="174" fontId="6" fillId="5" borderId="0" xfId="3" applyNumberFormat="1" applyFont="1" applyFill="1" applyAlignment="1">
      <alignment horizontal="center"/>
    </xf>
    <xf numFmtId="0" fontId="9" fillId="0" borderId="3" xfId="8" quotePrefix="1" applyFont="1" applyBorder="1" applyAlignment="1"/>
    <xf numFmtId="0" fontId="6" fillId="9" borderId="0" xfId="8" quotePrefix="1" applyFont="1" applyFill="1" applyAlignment="1">
      <alignment horizontal="left"/>
    </xf>
    <xf numFmtId="0" fontId="8" fillId="9" borderId="0" xfId="8" applyFill="1"/>
    <xf numFmtId="3" fontId="7" fillId="0" borderId="0" xfId="8" applyNumberFormat="1" applyFont="1" applyAlignment="1">
      <alignment horizontal="center"/>
    </xf>
    <xf numFmtId="3" fontId="8" fillId="0" borderId="3" xfId="8" applyNumberFormat="1" applyBorder="1" applyAlignment="1">
      <alignment horizontal="center"/>
    </xf>
    <xf numFmtId="164" fontId="8" fillId="0" borderId="3" xfId="8" applyNumberFormat="1" applyFont="1" applyBorder="1" applyAlignment="1">
      <alignment horizontal="center"/>
    </xf>
    <xf numFmtId="3" fontId="0" fillId="0" borderId="23" xfId="0" applyNumberFormat="1" applyFill="1" applyBorder="1" applyAlignment="1">
      <alignment horizontal="center"/>
    </xf>
    <xf numFmtId="3" fontId="7" fillId="0" borderId="3" xfId="3" applyNumberFormat="1" applyFont="1" applyBorder="1" applyAlignment="1">
      <alignment horizontal="center"/>
    </xf>
    <xf numFmtId="3" fontId="19" fillId="0" borderId="3" xfId="3" applyNumberFormat="1" applyFont="1" applyBorder="1" applyAlignment="1">
      <alignment horizontal="center"/>
    </xf>
    <xf numFmtId="0" fontId="80" fillId="0" borderId="0" xfId="0" applyFont="1" applyAlignment="1">
      <alignment horizontal="center"/>
    </xf>
    <xf numFmtId="37" fontId="8" fillId="0" borderId="3" xfId="9" applyNumberFormat="1" applyBorder="1" applyAlignment="1">
      <alignment horizontal="center"/>
    </xf>
    <xf numFmtId="0" fontId="7" fillId="0" borderId="3" xfId="9" applyFont="1" applyBorder="1" applyAlignment="1">
      <alignment horizontal="center"/>
    </xf>
    <xf numFmtId="37" fontId="8" fillId="0" borderId="3" xfId="9" applyNumberFormat="1" applyBorder="1"/>
    <xf numFmtId="38" fontId="8" fillId="0" borderId="3" xfId="9" applyNumberFormat="1" applyBorder="1" applyAlignment="1">
      <alignment horizontal="center"/>
    </xf>
    <xf numFmtId="0" fontId="76" fillId="0" borderId="21" xfId="0" applyFont="1" applyFill="1" applyBorder="1" applyAlignment="1">
      <alignment horizontal="center"/>
    </xf>
    <xf numFmtId="1" fontId="79" fillId="0" borderId="0" xfId="0" applyNumberFormat="1" applyFont="1" applyAlignment="1">
      <alignment horizontal="center"/>
    </xf>
    <xf numFmtId="1" fontId="78" fillId="0" borderId="0" xfId="0" applyNumberFormat="1" applyFont="1" applyAlignment="1">
      <alignment horizontal="center"/>
    </xf>
    <xf numFmtId="0" fontId="7" fillId="0" borderId="0" xfId="6" quotePrefix="1" applyFont="1" applyAlignment="1">
      <alignment horizontal="center"/>
    </xf>
    <xf numFmtId="0" fontId="8" fillId="0" borderId="0" xfId="6" applyFont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7" fillId="0" borderId="0" xfId="6" applyFont="1" applyAlignment="1">
      <alignment horizontal="center"/>
    </xf>
    <xf numFmtId="0" fontId="60" fillId="0" borderId="0" xfId="6" applyFont="1"/>
    <xf numFmtId="0" fontId="5" fillId="0" borderId="0" xfId="0" applyFont="1" applyAlignment="1">
      <alignment horizontal="centerContinuous"/>
    </xf>
    <xf numFmtId="0" fontId="9" fillId="9" borderId="0" xfId="8" applyFont="1" applyFill="1" applyAlignment="1">
      <alignment horizontal="center"/>
    </xf>
    <xf numFmtId="0" fontId="7" fillId="9" borderId="0" xfId="8" quotePrefix="1" applyFont="1" applyFill="1" applyAlignment="1">
      <alignment horizontal="left"/>
    </xf>
    <xf numFmtId="164" fontId="5" fillId="0" borderId="0" xfId="0" applyNumberFormat="1" applyFont="1" applyAlignment="1"/>
    <xf numFmtId="1" fontId="5" fillId="0" borderId="0" xfId="0" applyNumberFormat="1" applyFont="1" applyAlignment="1">
      <alignment horizontal="center"/>
    </xf>
    <xf numFmtId="0" fontId="5" fillId="9" borderId="0" xfId="0" applyFont="1" applyFill="1" applyAlignment="1">
      <alignment horizontal="center"/>
    </xf>
    <xf numFmtId="2" fontId="10" fillId="9" borderId="0" xfId="0" applyNumberFormat="1" applyFont="1" applyFill="1" applyAlignment="1">
      <alignment horizontal="center"/>
    </xf>
    <xf numFmtId="0" fontId="5" fillId="9" borderId="0" xfId="0" quotePrefix="1" applyFont="1" applyFill="1" applyAlignment="1">
      <alignment horizontal="left"/>
    </xf>
    <xf numFmtId="1" fontId="10" fillId="9" borderId="0" xfId="0" applyNumberFormat="1" applyFont="1" applyFill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Continuous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3" fontId="80" fillId="9" borderId="0" xfId="0" applyNumberFormat="1" applyFont="1" applyFill="1" applyBorder="1" applyAlignment="1">
      <alignment horizontal="center"/>
    </xf>
    <xf numFmtId="38" fontId="7" fillId="0" borderId="1" xfId="1" applyNumberFormat="1" applyFont="1" applyFill="1" applyBorder="1" applyAlignment="1">
      <alignment horizontal="center"/>
    </xf>
    <xf numFmtId="10" fontId="0" fillId="0" borderId="1" xfId="11" applyNumberFormat="1" applyFont="1" applyBorder="1"/>
    <xf numFmtId="168" fontId="74" fillId="0" borderId="1" xfId="11" applyNumberFormat="1" applyFont="1" applyFill="1" applyBorder="1"/>
    <xf numFmtId="0" fontId="34" fillId="13" borderId="0" xfId="0" applyFont="1" applyFill="1" applyBorder="1" applyAlignment="1"/>
    <xf numFmtId="0" fontId="0" fillId="13" borderId="0" xfId="0" applyFill="1"/>
    <xf numFmtId="0" fontId="4" fillId="13" borderId="0" xfId="0" applyFont="1" applyFill="1" applyBorder="1" applyAlignment="1">
      <alignment horizontal="center"/>
    </xf>
    <xf numFmtId="0" fontId="4" fillId="13" borderId="0" xfId="0" applyFont="1" applyFill="1" applyBorder="1"/>
    <xf numFmtId="0" fontId="34" fillId="13" borderId="0" xfId="0" applyFont="1" applyFill="1" applyBorder="1" applyAlignment="1">
      <alignment horizontal="center"/>
    </xf>
    <xf numFmtId="0" fontId="34" fillId="13" borderId="0" xfId="0" applyFont="1" applyFill="1"/>
    <xf numFmtId="0" fontId="34" fillId="13" borderId="0" xfId="0" applyFont="1" applyFill="1" applyAlignment="1">
      <alignment horizontal="center"/>
    </xf>
    <xf numFmtId="0" fontId="34" fillId="13" borderId="0" xfId="0" applyFont="1" applyFill="1" applyAlignment="1">
      <alignment horizontal="right"/>
    </xf>
    <xf numFmtId="0" fontId="75" fillId="13" borderId="0" xfId="0" applyFont="1" applyFill="1" applyBorder="1" applyAlignment="1">
      <alignment horizontal="center"/>
    </xf>
    <xf numFmtId="0" fontId="75" fillId="13" borderId="0" xfId="0" applyFont="1" applyFill="1" applyAlignment="1">
      <alignment horizontal="center"/>
    </xf>
    <xf numFmtId="0" fontId="75" fillId="13" borderId="0" xfId="0" quotePrefix="1" applyFont="1" applyFill="1" applyAlignment="1">
      <alignment horizontal="center"/>
    </xf>
    <xf numFmtId="0" fontId="34" fillId="13" borderId="0" xfId="0" quotePrefix="1" applyFont="1" applyFill="1" applyAlignment="1">
      <alignment horizontal="center"/>
    </xf>
    <xf numFmtId="10" fontId="4" fillId="13" borderId="0" xfId="11" applyNumberFormat="1" applyFont="1" applyFill="1" applyBorder="1"/>
    <xf numFmtId="3" fontId="0" fillId="13" borderId="0" xfId="0" applyNumberFormat="1" applyFill="1" applyAlignment="1">
      <alignment horizontal="center"/>
    </xf>
    <xf numFmtId="0" fontId="0" fillId="13" borderId="0" xfId="0" applyFill="1" applyAlignment="1">
      <alignment horizontal="center"/>
    </xf>
    <xf numFmtId="0" fontId="0" fillId="13" borderId="0" xfId="0" applyFill="1" applyBorder="1"/>
    <xf numFmtId="0" fontId="0" fillId="13" borderId="0" xfId="0" applyFill="1" applyBorder="1" applyAlignment="1">
      <alignment horizontal="center"/>
    </xf>
    <xf numFmtId="0" fontId="51" fillId="13" borderId="0" xfId="0" quotePrefix="1" applyFont="1" applyFill="1" applyBorder="1" applyAlignment="1"/>
    <xf numFmtId="0" fontId="83" fillId="0" borderId="0" xfId="6" quotePrefix="1" applyFont="1" applyAlignment="1">
      <alignment horizontal="left"/>
    </xf>
    <xf numFmtId="0" fontId="0" fillId="0" borderId="0" xfId="0" applyAlignment="1">
      <alignment horizontal="center"/>
    </xf>
    <xf numFmtId="164" fontId="78" fillId="0" borderId="0" xfId="0" applyNumberFormat="1" applyFont="1" applyFill="1" applyAlignment="1">
      <alignment horizontal="center"/>
    </xf>
    <xf numFmtId="164" fontId="79" fillId="0" borderId="0" xfId="0" applyNumberFormat="1" applyFont="1" applyAlignment="1">
      <alignment horizontal="center"/>
    </xf>
    <xf numFmtId="0" fontId="84" fillId="0" borderId="3" xfId="9" quotePrefix="1" applyFont="1" applyBorder="1" applyAlignment="1">
      <alignment horizontal="center"/>
    </xf>
    <xf numFmtId="0" fontId="84" fillId="0" borderId="3" xfId="9" quotePrefix="1" applyFont="1" applyBorder="1" applyAlignment="1">
      <alignment horizontal="right"/>
    </xf>
    <xf numFmtId="164" fontId="6" fillId="0" borderId="0" xfId="8" applyNumberFormat="1" applyFont="1" applyAlignment="1">
      <alignment horizontal="center"/>
    </xf>
    <xf numFmtId="0" fontId="8" fillId="14" borderId="0" xfId="8" applyFill="1" applyAlignment="1">
      <alignment horizontal="center"/>
    </xf>
    <xf numFmtId="164" fontId="7" fillId="14" borderId="0" xfId="0" applyNumberFormat="1" applyFont="1" applyFill="1" applyAlignment="1">
      <alignment horizontal="center"/>
    </xf>
    <xf numFmtId="164" fontId="8" fillId="14" borderId="0" xfId="8" applyNumberFormat="1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quotePrefix="1" applyFont="1" applyFill="1" applyBorder="1" applyAlignment="1">
      <alignment horizontal="left"/>
    </xf>
    <xf numFmtId="164" fontId="6" fillId="0" borderId="0" xfId="8" applyNumberFormat="1" applyFont="1" applyBorder="1" applyAlignment="1">
      <alignment horizontal="center"/>
    </xf>
    <xf numFmtId="0" fontId="8" fillId="9" borderId="0" xfId="8" applyFill="1" applyAlignment="1">
      <alignment horizontal="center"/>
    </xf>
    <xf numFmtId="0" fontId="8" fillId="9" borderId="0" xfId="8" applyFill="1" applyBorder="1" applyAlignment="1">
      <alignment horizontal="center"/>
    </xf>
    <xf numFmtId="0" fontId="7" fillId="9" borderId="1" xfId="8" applyFont="1" applyFill="1" applyBorder="1" applyAlignment="1">
      <alignment horizontal="center"/>
    </xf>
    <xf numFmtId="0" fontId="16" fillId="0" borderId="3" xfId="7" quotePrefix="1" applyFont="1" applyBorder="1" applyAlignment="1">
      <alignment horizontal="left"/>
    </xf>
    <xf numFmtId="164" fontId="6" fillId="12" borderId="0" xfId="6" applyNumberFormat="1" applyFont="1" applyFill="1"/>
    <xf numFmtId="164" fontId="6" fillId="12" borderId="0" xfId="6" applyNumberFormat="1" applyFont="1" applyFill="1" applyAlignment="1">
      <alignment horizontal="center"/>
    </xf>
    <xf numFmtId="0" fontId="60" fillId="0" borderId="0" xfId="6" quotePrefix="1" applyFont="1" applyFill="1" applyAlignment="1">
      <alignment horizontal="center"/>
    </xf>
    <xf numFmtId="0" fontId="60" fillId="0" borderId="0" xfId="6" applyFont="1" applyFill="1" applyAlignment="1">
      <alignment horizontal="center"/>
    </xf>
    <xf numFmtId="0" fontId="60" fillId="0" borderId="0" xfId="6" applyFont="1" applyFill="1" applyAlignment="1">
      <alignment horizontal="right"/>
    </xf>
    <xf numFmtId="0" fontId="2" fillId="0" borderId="0" xfId="0" quotePrefix="1" applyFont="1" applyFill="1" applyAlignment="1">
      <alignment horizontal="center"/>
    </xf>
    <xf numFmtId="0" fontId="75" fillId="13" borderId="0" xfId="0" applyFont="1" applyFill="1" applyAlignment="1">
      <alignment horizontal="right"/>
    </xf>
    <xf numFmtId="0" fontId="0" fillId="13" borderId="0" xfId="0" applyFill="1" applyAlignment="1">
      <alignment horizontal="right"/>
    </xf>
    <xf numFmtId="0" fontId="0" fillId="13" borderId="0" xfId="0" applyFill="1" applyBorder="1" applyAlignment="1">
      <alignment horizontal="right"/>
    </xf>
    <xf numFmtId="0" fontId="7" fillId="0" borderId="0" xfId="0" quotePrefix="1" applyFont="1" applyAlignment="1">
      <alignment horizontal="left"/>
    </xf>
    <xf numFmtId="167" fontId="7" fillId="6" borderId="10" xfId="0" applyNumberFormat="1" applyFont="1" applyFill="1" applyBorder="1" applyAlignment="1">
      <alignment horizontal="center"/>
    </xf>
    <xf numFmtId="1" fontId="7" fillId="5" borderId="14" xfId="0" applyNumberFormat="1" applyFont="1" applyFill="1" applyBorder="1" applyAlignment="1">
      <alignment horizontal="center"/>
    </xf>
    <xf numFmtId="0" fontId="16" fillId="0" borderId="0" xfId="6" quotePrefix="1" applyFont="1" applyAlignment="1">
      <alignment horizontal="right"/>
    </xf>
    <xf numFmtId="0" fontId="8" fillId="0" borderId="0" xfId="6" applyFill="1"/>
    <xf numFmtId="0" fontId="8" fillId="0" borderId="0" xfId="9" quotePrefix="1" applyFont="1" applyAlignment="1">
      <alignment horizontal="center" vertical="justify"/>
    </xf>
    <xf numFmtId="0" fontId="0" fillId="0" borderId="0" xfId="0" applyAlignment="1">
      <alignment horizontal="center"/>
    </xf>
    <xf numFmtId="164" fontId="10" fillId="0" borderId="0" xfId="0" applyNumberFormat="1" applyFont="1" applyFill="1" applyAlignment="1"/>
    <xf numFmtId="0" fontId="5" fillId="0" borderId="2" xfId="0" applyFont="1" applyBorder="1" applyAlignment="1">
      <alignment horizontal="center"/>
    </xf>
    <xf numFmtId="0" fontId="5" fillId="0" borderId="2" xfId="0" quotePrefix="1" applyFont="1" applyBorder="1" applyAlignment="1">
      <alignment horizontal="right"/>
    </xf>
    <xf numFmtId="0" fontId="79" fillId="9" borderId="0" xfId="0" applyFont="1" applyFill="1" applyBorder="1" applyAlignment="1">
      <alignment horizontal="center"/>
    </xf>
    <xf numFmtId="0" fontId="10" fillId="0" borderId="0" xfId="0" quotePrefix="1" applyFont="1" applyBorder="1" applyAlignment="1">
      <alignment horizontal="center"/>
    </xf>
    <xf numFmtId="180" fontId="10" fillId="0" borderId="0" xfId="1" applyNumberFormat="1" applyFont="1" applyBorder="1" applyAlignment="1">
      <alignment horizontal="center"/>
    </xf>
    <xf numFmtId="167" fontId="24" fillId="0" borderId="0" xfId="0" applyNumberFormat="1" applyFont="1" applyBorder="1" applyAlignment="1">
      <alignment horizontal="center"/>
    </xf>
    <xf numFmtId="1" fontId="21" fillId="9" borderId="0" xfId="0" applyNumberFormat="1" applyFont="1" applyFill="1" applyAlignment="1">
      <alignment horizontal="center"/>
    </xf>
    <xf numFmtId="1" fontId="79" fillId="9" borderId="0" xfId="0" applyNumberFormat="1" applyFont="1" applyFill="1" applyAlignment="1">
      <alignment horizontal="center"/>
    </xf>
    <xf numFmtId="180" fontId="24" fillId="0" borderId="0" xfId="1" applyNumberFormat="1" applyFont="1" applyAlignment="1">
      <alignment horizontal="center"/>
    </xf>
    <xf numFmtId="166" fontId="0" fillId="0" borderId="0" xfId="0" applyNumberFormat="1" applyFill="1" applyBorder="1" applyAlignment="1"/>
    <xf numFmtId="165" fontId="0" fillId="0" borderId="0" xfId="0" applyNumberFormat="1" applyFill="1" applyBorder="1" applyAlignment="1"/>
    <xf numFmtId="164" fontId="8" fillId="0" borderId="0" xfId="9" applyNumberFormat="1" applyFill="1" applyBorder="1" applyAlignment="1">
      <alignment horizontal="center"/>
    </xf>
    <xf numFmtId="164" fontId="9" fillId="5" borderId="11" xfId="8" applyNumberFormat="1" applyFont="1" applyFill="1" applyBorder="1" applyAlignment="1">
      <alignment horizontal="center"/>
    </xf>
    <xf numFmtId="0" fontId="85" fillId="0" borderId="3" xfId="9" quotePrefix="1" applyFont="1" applyBorder="1" applyAlignment="1">
      <alignment horizontal="center"/>
    </xf>
    <xf numFmtId="164" fontId="7" fillId="9" borderId="0" xfId="0" applyNumberFormat="1" applyFont="1" applyFill="1" applyAlignment="1">
      <alignment horizontal="center"/>
    </xf>
    <xf numFmtId="0" fontId="7" fillId="0" borderId="3" xfId="8" applyFont="1" applyBorder="1" applyAlignment="1">
      <alignment horizontal="left"/>
    </xf>
    <xf numFmtId="2" fontId="4" fillId="0" borderId="8" xfId="0" applyNumberFormat="1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167" fontId="2" fillId="0" borderId="8" xfId="0" applyNumberFormat="1" applyFont="1" applyFill="1" applyBorder="1" applyAlignment="1">
      <alignment horizontal="right"/>
    </xf>
    <xf numFmtId="167" fontId="2" fillId="0" borderId="8" xfId="0" applyNumberFormat="1" applyFont="1" applyBorder="1" applyAlignment="1">
      <alignment horizontal="right"/>
    </xf>
    <xf numFmtId="167" fontId="4" fillId="0" borderId="8" xfId="0" applyNumberFormat="1" applyFont="1" applyBorder="1" applyAlignment="1">
      <alignment horizontal="right"/>
    </xf>
    <xf numFmtId="166" fontId="4" fillId="0" borderId="8" xfId="0" applyNumberFormat="1" applyFont="1" applyBorder="1" applyAlignment="1">
      <alignment horizontal="right"/>
    </xf>
    <xf numFmtId="0" fontId="7" fillId="0" borderId="22" xfId="8" quotePrefix="1" applyFont="1" applyBorder="1" applyAlignment="1">
      <alignment horizontal="center"/>
    </xf>
    <xf numFmtId="167" fontId="4" fillId="0" borderId="15" xfId="0" applyNumberFormat="1" applyFont="1" applyFill="1" applyBorder="1" applyAlignment="1">
      <alignment horizontal="right"/>
    </xf>
    <xf numFmtId="0" fontId="4" fillId="0" borderId="15" xfId="0" applyFont="1" applyFill="1" applyBorder="1" applyAlignment="1">
      <alignment horizontal="right"/>
    </xf>
    <xf numFmtId="2" fontId="4" fillId="0" borderId="20" xfId="0" applyNumberFormat="1" applyFont="1" applyFill="1" applyBorder="1" applyAlignment="1">
      <alignment horizontal="right"/>
    </xf>
    <xf numFmtId="2" fontId="2" fillId="0" borderId="8" xfId="0" applyNumberFormat="1" applyFont="1" applyFill="1" applyBorder="1" applyAlignment="1">
      <alignment horizontal="right"/>
    </xf>
    <xf numFmtId="2" fontId="2" fillId="0" borderId="8" xfId="0" applyNumberFormat="1" applyFont="1" applyBorder="1" applyAlignment="1">
      <alignment horizontal="right"/>
    </xf>
    <xf numFmtId="164" fontId="7" fillId="9" borderId="0" xfId="0" applyNumberFormat="1" applyFont="1" applyFill="1"/>
    <xf numFmtId="164" fontId="0" fillId="9" borderId="0" xfId="0" applyNumberFormat="1" applyFill="1"/>
    <xf numFmtId="164" fontId="8" fillId="9" borderId="0" xfId="8" applyNumberFormat="1" applyFill="1"/>
    <xf numFmtId="0" fontId="2" fillId="0" borderId="0" xfId="0" quotePrefix="1" applyFont="1" applyAlignment="1">
      <alignment horizontal="left"/>
    </xf>
    <xf numFmtId="0" fontId="7" fillId="0" borderId="0" xfId="9" quotePrefix="1" applyFont="1" applyAlignment="1">
      <alignment horizontal="left"/>
    </xf>
    <xf numFmtId="0" fontId="5" fillId="0" borderId="0" xfId="0" quotePrefix="1" applyFont="1" applyFill="1" applyAlignment="1">
      <alignment horizontal="left"/>
    </xf>
    <xf numFmtId="0" fontId="6" fillId="0" borderId="0" xfId="9" applyFont="1" applyBorder="1"/>
    <xf numFmtId="37" fontId="6" fillId="0" borderId="0" xfId="9" applyNumberFormat="1" applyFont="1" applyBorder="1" applyAlignment="1">
      <alignment horizontal="center"/>
    </xf>
    <xf numFmtId="38" fontId="6" fillId="0" borderId="0" xfId="1" applyNumberFormat="1" applyFont="1" applyBorder="1" applyAlignment="1">
      <alignment horizontal="center"/>
    </xf>
    <xf numFmtId="0" fontId="2" fillId="10" borderId="0" xfId="0" quotePrefix="1" applyFont="1" applyFill="1" applyBorder="1" applyAlignment="1">
      <alignment horizontal="left"/>
    </xf>
    <xf numFmtId="0" fontId="0" fillId="10" borderId="0" xfId="0" applyFill="1" applyBorder="1" applyAlignment="1"/>
    <xf numFmtId="0" fontId="8" fillId="10" borderId="8" xfId="9" quotePrefix="1" applyFont="1" applyFill="1" applyBorder="1" applyAlignment="1">
      <alignment horizontal="right"/>
    </xf>
    <xf numFmtId="0" fontId="7" fillId="10" borderId="8" xfId="9" quotePrefix="1" applyFont="1" applyFill="1" applyBorder="1" applyAlignment="1">
      <alignment horizontal="right"/>
    </xf>
    <xf numFmtId="0" fontId="7" fillId="10" borderId="8" xfId="8" quotePrefix="1" applyFont="1" applyFill="1" applyBorder="1" applyAlignment="1">
      <alignment horizontal="right"/>
    </xf>
    <xf numFmtId="0" fontId="7" fillId="10" borderId="8" xfId="9" applyFont="1" applyFill="1" applyBorder="1" applyAlignment="1">
      <alignment horizontal="right"/>
    </xf>
    <xf numFmtId="0" fontId="8" fillId="10" borderId="0" xfId="8" applyFill="1"/>
    <xf numFmtId="0" fontId="37" fillId="10" borderId="8" xfId="0" applyFont="1" applyFill="1" applyBorder="1" applyAlignment="1">
      <alignment horizontal="right"/>
    </xf>
    <xf numFmtId="2" fontId="34" fillId="10" borderId="8" xfId="0" applyNumberFormat="1" applyFont="1" applyFill="1" applyBorder="1" applyAlignment="1">
      <alignment horizontal="right"/>
    </xf>
    <xf numFmtId="167" fontId="34" fillId="10" borderId="8" xfId="0" applyNumberFormat="1" applyFont="1" applyFill="1" applyBorder="1" applyAlignment="1">
      <alignment horizontal="right"/>
    </xf>
    <xf numFmtId="0" fontId="34" fillId="10" borderId="8" xfId="0" applyFont="1" applyFill="1" applyBorder="1"/>
    <xf numFmtId="0" fontId="37" fillId="10" borderId="8" xfId="0" quotePrefix="1" applyFont="1" applyFill="1" applyBorder="1" applyAlignment="1">
      <alignment horizontal="right"/>
    </xf>
    <xf numFmtId="167" fontId="38" fillId="10" borderId="8" xfId="0" applyNumberFormat="1" applyFont="1" applyFill="1" applyBorder="1" applyAlignment="1">
      <alignment horizontal="right"/>
    </xf>
    <xf numFmtId="166" fontId="38" fillId="10" borderId="8" xfId="0" applyNumberFormat="1" applyFont="1" applyFill="1" applyBorder="1" applyAlignment="1">
      <alignment horizontal="right"/>
    </xf>
    <xf numFmtId="0" fontId="0" fillId="10" borderId="8" xfId="0" applyFill="1" applyBorder="1"/>
    <xf numFmtId="167" fontId="40" fillId="10" borderId="8" xfId="0" applyNumberFormat="1" applyFont="1" applyFill="1" applyBorder="1" applyAlignment="1">
      <alignment horizontal="right"/>
    </xf>
    <xf numFmtId="2" fontId="40" fillId="10" borderId="8" xfId="0" applyNumberFormat="1" applyFont="1" applyFill="1" applyBorder="1" applyAlignment="1">
      <alignment horizontal="right"/>
    </xf>
    <xf numFmtId="0" fontId="41" fillId="10" borderId="8" xfId="0" applyFont="1" applyFill="1" applyBorder="1" applyAlignment="1">
      <alignment horizontal="right"/>
    </xf>
    <xf numFmtId="0" fontId="38" fillId="10" borderId="8" xfId="0" applyFont="1" applyFill="1" applyBorder="1" applyAlignment="1">
      <alignment horizontal="right"/>
    </xf>
    <xf numFmtId="0" fontId="38" fillId="10" borderId="8" xfId="0" quotePrefix="1" applyFont="1" applyFill="1" applyBorder="1" applyAlignment="1">
      <alignment horizontal="right"/>
    </xf>
    <xf numFmtId="2" fontId="39" fillId="10" borderId="8" xfId="0" applyNumberFormat="1" applyFont="1" applyFill="1" applyBorder="1" applyAlignment="1">
      <alignment horizontal="right"/>
    </xf>
    <xf numFmtId="0" fontId="0" fillId="10" borderId="0" xfId="0" applyFill="1" applyBorder="1"/>
    <xf numFmtId="0" fontId="7" fillId="0" borderId="0" xfId="8" applyFont="1" applyFill="1"/>
    <xf numFmtId="0" fontId="4" fillId="0" borderId="0" xfId="0" applyFont="1" applyFill="1"/>
    <xf numFmtId="0" fontId="6" fillId="0" borderId="3" xfId="8" applyFont="1" applyBorder="1" applyAlignment="1">
      <alignment horizontal="center"/>
    </xf>
    <xf numFmtId="164" fontId="7" fillId="0" borderId="0" xfId="8" applyNumberFormat="1" applyFont="1" applyFill="1" applyAlignment="1">
      <alignment horizontal="center"/>
    </xf>
    <xf numFmtId="164" fontId="2" fillId="0" borderId="8" xfId="0" applyNumberFormat="1" applyFont="1" applyBorder="1" applyAlignment="1">
      <alignment horizontal="right"/>
    </xf>
    <xf numFmtId="164" fontId="7" fillId="0" borderId="0" xfId="0" applyNumberFormat="1" applyFont="1" applyFill="1" applyAlignment="1">
      <alignment horizontal="center"/>
    </xf>
    <xf numFmtId="0" fontId="2" fillId="0" borderId="8" xfId="0" applyFont="1" applyFill="1" applyBorder="1" applyAlignment="1">
      <alignment horizontal="right"/>
    </xf>
    <xf numFmtId="167" fontId="6" fillId="0" borderId="8" xfId="8" applyNumberFormat="1" applyFont="1" applyBorder="1"/>
    <xf numFmtId="174" fontId="8" fillId="9" borderId="0" xfId="8" applyNumberFormat="1" applyFill="1" applyAlignment="1">
      <alignment horizontal="center"/>
    </xf>
    <xf numFmtId="0" fontId="7" fillId="14" borderId="0" xfId="8" applyFont="1" applyFill="1" applyAlignment="1">
      <alignment horizontal="center"/>
    </xf>
    <xf numFmtId="0" fontId="7" fillId="0" borderId="0" xfId="8" applyFont="1" applyFill="1" applyAlignment="1">
      <alignment horizontal="center"/>
    </xf>
    <xf numFmtId="164" fontId="7" fillId="14" borderId="0" xfId="8" applyNumberFormat="1" applyFont="1" applyFill="1" applyAlignment="1">
      <alignment horizontal="center"/>
    </xf>
    <xf numFmtId="164" fontId="6" fillId="5" borderId="0" xfId="8" applyNumberFormat="1" applyFont="1" applyFill="1" applyAlignment="1">
      <alignment horizontal="center"/>
    </xf>
    <xf numFmtId="174" fontId="8" fillId="0" borderId="0" xfId="8" applyNumberFormat="1" applyAlignment="1">
      <alignment horizontal="center"/>
    </xf>
    <xf numFmtId="167" fontId="83" fillId="0" borderId="8" xfId="8" applyNumberFormat="1" applyFont="1" applyBorder="1"/>
    <xf numFmtId="181" fontId="8" fillId="0" borderId="0" xfId="8" applyNumberFormat="1" applyAlignment="1">
      <alignment horizontal="center"/>
    </xf>
    <xf numFmtId="38" fontId="0" fillId="0" borderId="0" xfId="0" applyNumberFormat="1" applyFill="1" applyAlignment="1">
      <alignment horizontal="center"/>
    </xf>
    <xf numFmtId="10" fontId="86" fillId="0" borderId="0" xfId="11" applyNumberFormat="1" applyFont="1"/>
    <xf numFmtId="3" fontId="6" fillId="0" borderId="0" xfId="0" applyNumberFormat="1" applyFont="1" applyBorder="1" applyAlignment="1">
      <alignment horizontal="left"/>
    </xf>
    <xf numFmtId="165" fontId="2" fillId="0" borderId="0" xfId="0" applyNumberFormat="1" applyFont="1" applyFill="1" applyBorder="1" applyAlignment="1"/>
    <xf numFmtId="165" fontId="2" fillId="0" borderId="8" xfId="0" applyNumberFormat="1" applyFont="1" applyBorder="1" applyAlignment="1">
      <alignment horizontal="right"/>
    </xf>
    <xf numFmtId="2" fontId="40" fillId="0" borderId="8" xfId="0" applyNumberFormat="1" applyFont="1" applyBorder="1" applyAlignment="1">
      <alignment horizontal="right"/>
    </xf>
    <xf numFmtId="0" fontId="2" fillId="0" borderId="8" xfId="0" quotePrefix="1" applyFont="1" applyFill="1" applyBorder="1" applyAlignment="1">
      <alignment horizontal="right"/>
    </xf>
    <xf numFmtId="0" fontId="6" fillId="0" borderId="0" xfId="0" quotePrefix="1" applyFont="1" applyFill="1" applyAlignment="1">
      <alignment horizontal="left"/>
    </xf>
    <xf numFmtId="164" fontId="48" fillId="2" borderId="0" xfId="0" applyNumberFormat="1" applyFont="1" applyFill="1" applyBorder="1" applyAlignment="1">
      <alignment horizontal="center"/>
    </xf>
    <xf numFmtId="164" fontId="80" fillId="2" borderId="0" xfId="0" applyNumberFormat="1" applyFont="1" applyFill="1" applyBorder="1" applyAlignment="1">
      <alignment horizontal="center"/>
    </xf>
    <xf numFmtId="0" fontId="6" fillId="0" borderId="0" xfId="0" quotePrefix="1" applyFont="1" applyAlignment="1">
      <alignment horizontal="left"/>
    </xf>
    <xf numFmtId="174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80" fillId="0" borderId="0" xfId="0" applyNumberFormat="1" applyFont="1" applyBorder="1" applyAlignment="1">
      <alignment horizontal="center"/>
    </xf>
    <xf numFmtId="1" fontId="48" fillId="0" borderId="0" xfId="0" quotePrefix="1" applyNumberFormat="1" applyFont="1" applyAlignment="1">
      <alignment horizontal="center"/>
    </xf>
    <xf numFmtId="1" fontId="80" fillId="0" borderId="0" xfId="0" quotePrefix="1" applyNumberFormat="1" applyFont="1" applyAlignment="1">
      <alignment horizontal="center"/>
    </xf>
    <xf numFmtId="0" fontId="6" fillId="0" borderId="0" xfId="0" quotePrefix="1" applyFont="1" applyAlignment="1">
      <alignment horizontal="center"/>
    </xf>
    <xf numFmtId="38" fontId="80" fillId="0" borderId="0" xfId="0" applyNumberFormat="1" applyFont="1" applyBorder="1" applyAlignment="1">
      <alignment horizontal="center"/>
    </xf>
    <xf numFmtId="164" fontId="7" fillId="2" borderId="0" xfId="0" applyNumberFormat="1" applyFont="1" applyFill="1" applyBorder="1" applyAlignment="1">
      <alignment horizontal="center"/>
    </xf>
    <xf numFmtId="0" fontId="2" fillId="9" borderId="0" xfId="0" quotePrefix="1" applyFont="1" applyFill="1" applyAlignment="1">
      <alignment horizontal="center"/>
    </xf>
    <xf numFmtId="0" fontId="4" fillId="0" borderId="0" xfId="0" quotePrefix="1" applyFont="1" applyAlignment="1">
      <alignment horizontal="center"/>
    </xf>
    <xf numFmtId="0" fontId="87" fillId="0" borderId="0" xfId="0" quotePrefix="1" applyFont="1" applyAlignment="1">
      <alignment horizontal="center"/>
    </xf>
    <xf numFmtId="14" fontId="2" fillId="9" borderId="0" xfId="0" quotePrefix="1" applyNumberFormat="1" applyFont="1" applyFill="1" applyAlignment="1">
      <alignment horizontal="right"/>
    </xf>
    <xf numFmtId="0" fontId="8" fillId="0" borderId="0" xfId="6" applyFill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86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86" fillId="0" borderId="0" xfId="0" applyFont="1"/>
    <xf numFmtId="0" fontId="88" fillId="0" borderId="0" xfId="0" applyFont="1" applyAlignment="1">
      <alignment horizontal="center"/>
    </xf>
    <xf numFmtId="3" fontId="0" fillId="0" borderId="11" xfId="0" applyNumberFormat="1" applyBorder="1" applyAlignment="1">
      <alignment horizontal="center"/>
    </xf>
    <xf numFmtId="0" fontId="80" fillId="0" borderId="0" xfId="0" applyFont="1" applyBorder="1" applyAlignment="1">
      <alignment horizontal="center"/>
    </xf>
    <xf numFmtId="1" fontId="6" fillId="0" borderId="0" xfId="0" quotePrefix="1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83" fillId="0" borderId="0" xfId="0" quotePrefix="1" applyFont="1" applyFill="1" applyAlignment="1">
      <alignment horizontal="left"/>
    </xf>
    <xf numFmtId="0" fontId="6" fillId="0" borderId="0" xfId="0" quotePrefix="1" applyFont="1" applyFill="1" applyBorder="1" applyAlignment="1">
      <alignment horizontal="left"/>
    </xf>
    <xf numFmtId="1" fontId="6" fillId="0" borderId="0" xfId="0" quotePrefix="1" applyNumberFormat="1" applyFont="1" applyFill="1" applyAlignment="1">
      <alignment horizontal="left"/>
    </xf>
    <xf numFmtId="0" fontId="4" fillId="0" borderId="0" xfId="0" applyFont="1" applyAlignment="1">
      <alignment horizontal="left"/>
    </xf>
    <xf numFmtId="0" fontId="7" fillId="0" borderId="18" xfId="0" applyFont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1" fontId="7" fillId="0" borderId="14" xfId="0" applyNumberFormat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0" xfId="0" quotePrefix="1" applyFont="1" applyBorder="1" applyAlignment="1">
      <alignment horizontal="center"/>
    </xf>
    <xf numFmtId="0" fontId="5" fillId="0" borderId="0" xfId="0" quotePrefix="1" applyFont="1" applyBorder="1" applyAlignment="1">
      <alignment horizontal="center"/>
    </xf>
    <xf numFmtId="0" fontId="56" fillId="0" borderId="0" xfId="0" applyFont="1" applyBorder="1"/>
    <xf numFmtId="0" fontId="38" fillId="0" borderId="0" xfId="0" applyFont="1" applyBorder="1"/>
    <xf numFmtId="0" fontId="56" fillId="0" borderId="0" xfId="0" applyFont="1" applyBorder="1" applyAlignment="1">
      <alignment horizontal="right"/>
    </xf>
    <xf numFmtId="3" fontId="7" fillId="0" borderId="0" xfId="0" quotePrefix="1" applyNumberFormat="1" applyFont="1" applyBorder="1" applyAlignment="1">
      <alignment horizontal="center"/>
    </xf>
    <xf numFmtId="0" fontId="28" fillId="0" borderId="5" xfId="0" applyFont="1" applyBorder="1" applyAlignment="1">
      <alignment horizontal="right"/>
    </xf>
    <xf numFmtId="0" fontId="55" fillId="9" borderId="14" xfId="0" applyFont="1" applyFill="1" applyBorder="1"/>
    <xf numFmtId="0" fontId="0" fillId="0" borderId="0" xfId="0" applyAlignment="1">
      <alignment horizontal="center"/>
    </xf>
    <xf numFmtId="0" fontId="8" fillId="0" borderId="0" xfId="9" applyBorder="1" applyAlignment="1"/>
    <xf numFmtId="37" fontId="8" fillId="0" borderId="0" xfId="9" applyNumberFormat="1" applyFill="1"/>
    <xf numFmtId="0" fontId="8" fillId="0" borderId="0" xfId="9" applyFill="1" applyAlignment="1">
      <alignment horizontal="center"/>
    </xf>
    <xf numFmtId="0" fontId="34" fillId="0" borderId="0" xfId="0" quotePrefix="1" applyFont="1" applyBorder="1" applyAlignment="1">
      <alignment horizontal="left"/>
    </xf>
    <xf numFmtId="0" fontId="76" fillId="0" borderId="0" xfId="0" applyFont="1" applyFill="1" applyBorder="1" applyAlignment="1">
      <alignment horizontal="center"/>
    </xf>
    <xf numFmtId="180" fontId="1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3" xfId="0" quotePrefix="1" applyFont="1" applyFill="1" applyBorder="1" applyAlignment="1">
      <alignment horizontal="left"/>
    </xf>
    <xf numFmtId="174" fontId="80" fillId="0" borderId="0" xfId="3" applyNumberFormat="1" applyFont="1" applyAlignment="1">
      <alignment horizontal="center"/>
    </xf>
    <xf numFmtId="174" fontId="7" fillId="0" borderId="0" xfId="3" applyNumberFormat="1" applyFont="1" applyAlignment="1">
      <alignment horizontal="center"/>
    </xf>
    <xf numFmtId="174" fontId="8" fillId="0" borderId="0" xfId="3" applyNumberFormat="1" applyFont="1" applyAlignment="1">
      <alignment horizontal="center"/>
    </xf>
    <xf numFmtId="174" fontId="8" fillId="0" borderId="0" xfId="9" applyNumberFormat="1" applyBorder="1" applyAlignment="1">
      <alignment horizontal="center"/>
    </xf>
    <xf numFmtId="2" fontId="0" fillId="0" borderId="0" xfId="0" applyNumberFormat="1" applyFill="1" applyBorder="1" applyAlignment="1"/>
    <xf numFmtId="2" fontId="0" fillId="0" borderId="3" xfId="0" applyNumberFormat="1" applyFill="1" applyBorder="1" applyAlignment="1"/>
    <xf numFmtId="166" fontId="2" fillId="0" borderId="8" xfId="0" applyNumberFormat="1" applyFont="1" applyBorder="1" applyAlignment="1">
      <alignment horizontal="right"/>
    </xf>
    <xf numFmtId="0" fontId="6" fillId="0" borderId="0" xfId="8" quotePrefix="1" applyFont="1" applyFill="1" applyAlignment="1">
      <alignment horizontal="left"/>
    </xf>
    <xf numFmtId="0" fontId="2" fillId="0" borderId="0" xfId="0" applyFont="1" applyFill="1" applyBorder="1" applyAlignment="1">
      <alignment horizontal="centerContinuous"/>
    </xf>
    <xf numFmtId="0" fontId="7" fillId="0" borderId="8" xfId="9" quotePrefix="1" applyFont="1" applyFill="1" applyBorder="1" applyAlignment="1">
      <alignment horizontal="right"/>
    </xf>
    <xf numFmtId="0" fontId="7" fillId="0" borderId="8" xfId="9" applyFont="1" applyFill="1" applyBorder="1" applyAlignment="1">
      <alignment horizontal="right"/>
    </xf>
    <xf numFmtId="164" fontId="80" fillId="0" borderId="0" xfId="8" applyNumberFormat="1" applyFont="1" applyBorder="1" applyAlignment="1">
      <alignment horizontal="center"/>
    </xf>
    <xf numFmtId="0" fontId="0" fillId="0" borderId="8" xfId="0" applyBorder="1"/>
    <xf numFmtId="0" fontId="7" fillId="0" borderId="8" xfId="8" applyFont="1" applyBorder="1" applyAlignment="1">
      <alignment horizontal="right"/>
    </xf>
    <xf numFmtId="0" fontId="6" fillId="0" borderId="8" xfId="8" applyFont="1" applyBorder="1"/>
    <xf numFmtId="164" fontId="80" fillId="0" borderId="0" xfId="9" applyNumberFormat="1" applyFont="1" applyBorder="1" applyAlignment="1">
      <alignment horizontal="center"/>
    </xf>
    <xf numFmtId="0" fontId="6" fillId="0" borderId="8" xfId="9" quotePrefix="1" applyFont="1" applyBorder="1" applyAlignment="1">
      <alignment horizontal="right"/>
    </xf>
    <xf numFmtId="0" fontId="6" fillId="0" borderId="8" xfId="9" applyFont="1" applyBorder="1" applyAlignment="1">
      <alignment horizontal="right"/>
    </xf>
    <xf numFmtId="0" fontId="8" fillId="16" borderId="0" xfId="8" applyFill="1" applyAlignment="1">
      <alignment horizontal="center"/>
    </xf>
    <xf numFmtId="3" fontId="8" fillId="16" borderId="0" xfId="8" applyNumberFormat="1" applyFill="1" applyAlignment="1">
      <alignment horizontal="center"/>
    </xf>
    <xf numFmtId="3" fontId="8" fillId="16" borderId="0" xfId="3" applyNumberFormat="1" applyFill="1" applyBorder="1" applyAlignment="1">
      <alignment horizontal="center"/>
    </xf>
    <xf numFmtId="164" fontId="8" fillId="16" borderId="0" xfId="8" applyNumberFormat="1" applyFont="1" applyFill="1" applyBorder="1" applyAlignment="1">
      <alignment horizontal="center"/>
    </xf>
    <xf numFmtId="3" fontId="8" fillId="16" borderId="0" xfId="3" applyNumberFormat="1" applyFill="1" applyAlignment="1">
      <alignment horizontal="center"/>
    </xf>
    <xf numFmtId="0" fontId="8" fillId="16" borderId="0" xfId="8" applyFill="1"/>
    <xf numFmtId="0" fontId="8" fillId="16" borderId="0" xfId="8" applyFill="1" applyBorder="1"/>
    <xf numFmtId="3" fontId="0" fillId="16" borderId="0" xfId="0" applyNumberFormat="1" applyFill="1" applyBorder="1" applyAlignment="1">
      <alignment horizontal="center"/>
    </xf>
    <xf numFmtId="0" fontId="8" fillId="16" borderId="3" xfId="8" applyFill="1" applyBorder="1" applyAlignment="1">
      <alignment horizontal="center"/>
    </xf>
    <xf numFmtId="3" fontId="8" fillId="16" borderId="3" xfId="8" applyNumberFormat="1" applyFill="1" applyBorder="1" applyAlignment="1">
      <alignment horizontal="center"/>
    </xf>
    <xf numFmtId="3" fontId="8" fillId="16" borderId="3" xfId="3" applyNumberFormat="1" applyFill="1" applyBorder="1" applyAlignment="1">
      <alignment horizontal="center"/>
    </xf>
    <xf numFmtId="164" fontId="8" fillId="16" borderId="3" xfId="8" applyNumberFormat="1" applyFont="1" applyFill="1" applyBorder="1" applyAlignment="1">
      <alignment horizontal="center"/>
    </xf>
    <xf numFmtId="0" fontId="8" fillId="16" borderId="3" xfId="8" applyFill="1" applyBorder="1"/>
    <xf numFmtId="3" fontId="0" fillId="16" borderId="3" xfId="0" applyNumberFormat="1" applyFill="1" applyBorder="1" applyAlignment="1">
      <alignment horizontal="center"/>
    </xf>
    <xf numFmtId="0" fontId="29" fillId="16" borderId="0" xfId="8" applyFont="1" applyFill="1" applyBorder="1" applyAlignment="1">
      <alignment horizontal="centerContinuous"/>
    </xf>
    <xf numFmtId="0" fontId="8" fillId="16" borderId="0" xfId="8" applyFill="1" applyBorder="1" applyAlignment="1"/>
    <xf numFmtId="0" fontId="80" fillId="16" borderId="0" xfId="8" applyFont="1" applyFill="1" applyAlignment="1">
      <alignment horizontal="center"/>
    </xf>
    <xf numFmtId="0" fontId="29" fillId="16" borderId="0" xfId="8" applyFont="1" applyFill="1" applyBorder="1" applyAlignment="1">
      <alignment horizontal="center"/>
    </xf>
    <xf numFmtId="3" fontId="8" fillId="16" borderId="0" xfId="8" applyNumberFormat="1" applyFill="1"/>
    <xf numFmtId="3" fontId="7" fillId="16" borderId="0" xfId="3" applyNumberFormat="1" applyFont="1" applyFill="1" applyAlignment="1">
      <alignment horizontal="center"/>
    </xf>
    <xf numFmtId="174" fontId="8" fillId="16" borderId="0" xfId="3" applyNumberFormat="1" applyFill="1" applyAlignment="1">
      <alignment horizontal="center"/>
    </xf>
    <xf numFmtId="165" fontId="6" fillId="0" borderId="9" xfId="8" applyNumberFormat="1" applyFont="1" applyBorder="1"/>
    <xf numFmtId="165" fontId="6" fillId="0" borderId="10" xfId="8" applyNumberFormat="1" applyFont="1" applyBorder="1"/>
    <xf numFmtId="165" fontId="6" fillId="0" borderId="17" xfId="8" applyNumberFormat="1" applyFont="1" applyBorder="1"/>
    <xf numFmtId="167" fontId="7" fillId="0" borderId="8" xfId="8" applyNumberFormat="1" applyFont="1" applyFill="1" applyBorder="1"/>
    <xf numFmtId="0" fontId="7" fillId="0" borderId="8" xfId="8" applyFont="1" applyBorder="1" applyAlignment="1">
      <alignment horizontal="center"/>
    </xf>
    <xf numFmtId="0" fontId="91" fillId="0" borderId="8" xfId="0" quotePrefix="1" applyFont="1" applyFill="1" applyBorder="1" applyAlignment="1">
      <alignment horizontal="right"/>
    </xf>
    <xf numFmtId="165" fontId="83" fillId="0" borderId="8" xfId="8" applyNumberFormat="1" applyFont="1" applyBorder="1"/>
    <xf numFmtId="165" fontId="83" fillId="0" borderId="8" xfId="8" applyNumberFormat="1" applyFont="1" applyFill="1" applyBorder="1"/>
    <xf numFmtId="174" fontId="80" fillId="0" borderId="0" xfId="8" applyNumberFormat="1" applyFont="1" applyAlignment="1">
      <alignment horizontal="center"/>
    </xf>
    <xf numFmtId="167" fontId="7" fillId="0" borderId="8" xfId="8" applyNumberFormat="1" applyFont="1" applyBorder="1"/>
    <xf numFmtId="2" fontId="7" fillId="0" borderId="8" xfId="8" applyNumberFormat="1" applyFont="1" applyBorder="1"/>
    <xf numFmtId="1" fontId="92" fillId="0" borderId="0" xfId="0" quotePrefix="1" applyNumberFormat="1" applyFont="1" applyAlignment="1">
      <alignment horizontal="left"/>
    </xf>
    <xf numFmtId="0" fontId="6" fillId="0" borderId="9" xfId="0" quotePrefix="1" applyFont="1" applyBorder="1" applyAlignment="1">
      <alignment horizontal="left"/>
    </xf>
    <xf numFmtId="0" fontId="7" fillId="0" borderId="10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28" fillId="0" borderId="8" xfId="0" quotePrefix="1" applyFont="1" applyBorder="1" applyAlignment="1">
      <alignment horizontal="center"/>
    </xf>
    <xf numFmtId="0" fontId="48" fillId="0" borderId="8" xfId="0" quotePrefix="1" applyFont="1" applyBorder="1" applyAlignment="1">
      <alignment horizontal="center"/>
    </xf>
    <xf numFmtId="1" fontId="6" fillId="2" borderId="0" xfId="0" applyNumberFormat="1" applyFont="1" applyFill="1" applyBorder="1" applyAlignment="1">
      <alignment horizontal="center"/>
    </xf>
    <xf numFmtId="0" fontId="16" fillId="0" borderId="0" xfId="9" applyFont="1" applyBorder="1" applyAlignment="1">
      <alignment horizontal="center"/>
    </xf>
    <xf numFmtId="0" fontId="34" fillId="13" borderId="0" xfId="0" applyFont="1" applyFill="1" applyBorder="1" applyAlignment="1">
      <alignment horizontal="right"/>
    </xf>
    <xf numFmtId="0" fontId="75" fillId="13" borderId="0" xfId="0" applyFont="1" applyFill="1" applyBorder="1" applyAlignment="1">
      <alignment horizontal="right"/>
    </xf>
    <xf numFmtId="0" fontId="4" fillId="0" borderId="0" xfId="0" quotePrefix="1" applyFont="1" applyAlignment="1">
      <alignment horizontal="right"/>
    </xf>
    <xf numFmtId="0" fontId="80" fillId="9" borderId="0" xfId="0" quotePrefix="1" applyFont="1" applyFill="1" applyBorder="1" applyAlignment="1">
      <alignment horizontal="left"/>
    </xf>
    <xf numFmtId="0" fontId="7" fillId="9" borderId="0" xfId="0" applyFont="1" applyFill="1" applyBorder="1" applyAlignment="1">
      <alignment horizontal="center"/>
    </xf>
    <xf numFmtId="167" fontId="80" fillId="2" borderId="0" xfId="0" applyNumberFormat="1" applyFont="1" applyFill="1" applyBorder="1" applyAlignment="1">
      <alignment horizontal="center"/>
    </xf>
    <xf numFmtId="0" fontId="7" fillId="12" borderId="0" xfId="6" quotePrefix="1" applyFont="1" applyFill="1" applyAlignment="1">
      <alignment horizontal="left"/>
    </xf>
    <xf numFmtId="0" fontId="8" fillId="12" borderId="0" xfId="6" applyFill="1"/>
    <xf numFmtId="164" fontId="78" fillId="0" borderId="0" xfId="0" applyNumberFormat="1" applyFont="1" applyBorder="1" applyAlignment="1">
      <alignment horizontal="center"/>
    </xf>
    <xf numFmtId="1" fontId="93" fillId="0" borderId="0" xfId="0" applyNumberFormat="1" applyFont="1" applyAlignment="1">
      <alignment horizontal="center"/>
    </xf>
    <xf numFmtId="174" fontId="10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38" fontId="7" fillId="9" borderId="0" xfId="1" applyNumberFormat="1" applyFont="1" applyFill="1"/>
    <xf numFmtId="0" fontId="9" fillId="9" borderId="0" xfId="9" applyFont="1" applyFill="1" applyAlignment="1">
      <alignment horizontal="center" vertical="justify"/>
    </xf>
    <xf numFmtId="0" fontId="6" fillId="9" borderId="3" xfId="10" quotePrefix="1" applyFont="1" applyFill="1" applyBorder="1" applyAlignment="1">
      <alignment horizontal="center" vertical="justify"/>
    </xf>
    <xf numFmtId="0" fontId="7" fillId="0" borderId="0" xfId="9" applyFont="1" applyAlignment="1">
      <alignment horizontal="right" vertical="justify"/>
    </xf>
    <xf numFmtId="37" fontId="7" fillId="0" borderId="22" xfId="9" applyNumberFormat="1" applyFont="1" applyBorder="1" applyAlignment="1">
      <alignment horizontal="center"/>
    </xf>
    <xf numFmtId="37" fontId="7" fillId="0" borderId="15" xfId="9" applyNumberFormat="1" applyFont="1" applyBorder="1" applyAlignment="1">
      <alignment horizontal="center"/>
    </xf>
    <xf numFmtId="37" fontId="7" fillId="0" borderId="20" xfId="9" applyNumberFormat="1" applyFont="1" applyBorder="1" applyAlignment="1">
      <alignment horizontal="center"/>
    </xf>
    <xf numFmtId="164" fontId="2" fillId="0" borderId="8" xfId="0" applyNumberFormat="1" applyFont="1" applyFill="1" applyBorder="1" applyAlignment="1">
      <alignment horizontal="right"/>
    </xf>
    <xf numFmtId="0" fontId="7" fillId="9" borderId="3" xfId="8" quotePrefix="1" applyFont="1" applyFill="1" applyBorder="1" applyAlignment="1">
      <alignment horizontal="center"/>
    </xf>
    <xf numFmtId="0" fontId="95" fillId="0" borderId="3" xfId="8" applyFont="1" applyBorder="1"/>
    <xf numFmtId="0" fontId="95" fillId="0" borderId="0" xfId="8" applyFont="1" applyAlignment="1">
      <alignment horizontal="center"/>
    </xf>
    <xf numFmtId="0" fontId="96" fillId="0" borderId="0" xfId="9" applyFont="1" applyBorder="1" applyAlignment="1">
      <alignment horizontal="center"/>
    </xf>
    <xf numFmtId="0" fontId="95" fillId="0" borderId="0" xfId="9" applyFont="1" applyBorder="1"/>
    <xf numFmtId="0" fontId="95" fillId="0" borderId="0" xfId="8" applyFont="1"/>
    <xf numFmtId="0" fontId="95" fillId="0" borderId="0" xfId="9" applyFont="1" applyAlignment="1"/>
    <xf numFmtId="0" fontId="94" fillId="0" borderId="0" xfId="9" applyFont="1" applyAlignment="1">
      <alignment horizontal="center"/>
    </xf>
    <xf numFmtId="10" fontId="84" fillId="5" borderId="0" xfId="11" applyNumberFormat="1" applyFont="1" applyFill="1" applyAlignment="1">
      <alignment horizontal="center"/>
    </xf>
    <xf numFmtId="10" fontId="84" fillId="0" borderId="0" xfId="9" applyNumberFormat="1" applyFont="1" applyAlignment="1">
      <alignment horizontal="center"/>
    </xf>
    <xf numFmtId="0" fontId="95" fillId="0" borderId="0" xfId="8" quotePrefix="1" applyFont="1" applyAlignment="1">
      <alignment horizontal="center"/>
    </xf>
    <xf numFmtId="0" fontId="94" fillId="0" borderId="0" xfId="8" quotePrefix="1" applyFont="1" applyAlignment="1">
      <alignment horizontal="left"/>
    </xf>
    <xf numFmtId="0" fontId="95" fillId="0" borderId="0" xfId="9" quotePrefix="1" applyFont="1" applyAlignment="1">
      <alignment horizontal="center"/>
    </xf>
    <xf numFmtId="0" fontId="95" fillId="0" borderId="0" xfId="9" applyFont="1" applyAlignment="1">
      <alignment horizontal="center"/>
    </xf>
    <xf numFmtId="0" fontId="95" fillId="0" borderId="3" xfId="8" applyFont="1" applyBorder="1" applyAlignment="1">
      <alignment horizontal="center"/>
    </xf>
    <xf numFmtId="0" fontId="95" fillId="0" borderId="3" xfId="8" quotePrefix="1" applyFont="1" applyBorder="1" applyAlignment="1">
      <alignment horizontal="center"/>
    </xf>
    <xf numFmtId="0" fontId="95" fillId="0" borderId="3" xfId="10" quotePrefix="1" applyFont="1" applyBorder="1" applyAlignment="1">
      <alignment horizontal="center"/>
    </xf>
    <xf numFmtId="0" fontId="95" fillId="0" borderId="3" xfId="10" applyFont="1" applyBorder="1" applyAlignment="1">
      <alignment horizontal="right"/>
    </xf>
    <xf numFmtId="0" fontId="95" fillId="0" borderId="3" xfId="9" quotePrefix="1" applyFont="1" applyBorder="1" applyAlignment="1">
      <alignment horizontal="center"/>
    </xf>
    <xf numFmtId="0" fontId="94" fillId="0" borderId="3" xfId="9" quotePrefix="1" applyFont="1" applyBorder="1" applyAlignment="1">
      <alignment horizontal="center"/>
    </xf>
    <xf numFmtId="0" fontId="95" fillId="0" borderId="3" xfId="9" applyFont="1" applyBorder="1" applyAlignment="1">
      <alignment horizontal="center"/>
    </xf>
    <xf numFmtId="0" fontId="95" fillId="0" borderId="3" xfId="10" applyFont="1" applyBorder="1" applyAlignment="1">
      <alignment horizontal="center"/>
    </xf>
    <xf numFmtId="0" fontId="95" fillId="0" borderId="0" xfId="8" applyFont="1" applyBorder="1"/>
    <xf numFmtId="173" fontId="95" fillId="0" borderId="0" xfId="8" applyNumberFormat="1" applyFont="1" applyBorder="1" applyAlignment="1">
      <alignment horizontal="center"/>
    </xf>
    <xf numFmtId="0" fontId="97" fillId="0" borderId="0" xfId="0" applyFont="1" applyAlignment="1">
      <alignment horizontal="center"/>
    </xf>
    <xf numFmtId="38" fontId="95" fillId="0" borderId="0" xfId="1" applyNumberFormat="1" applyFont="1" applyAlignment="1">
      <alignment horizontal="center"/>
    </xf>
    <xf numFmtId="164" fontId="95" fillId="0" borderId="0" xfId="0" applyNumberFormat="1" applyFont="1" applyAlignment="1">
      <alignment horizontal="center"/>
    </xf>
    <xf numFmtId="3" fontId="95" fillId="0" borderId="0" xfId="3" applyNumberFormat="1" applyFont="1" applyBorder="1" applyAlignment="1">
      <alignment horizontal="center"/>
    </xf>
    <xf numFmtId="38" fontId="95" fillId="0" borderId="0" xfId="8" applyNumberFormat="1" applyFont="1" applyAlignment="1">
      <alignment horizontal="center"/>
    </xf>
    <xf numFmtId="0" fontId="100" fillId="0" borderId="0" xfId="0" applyFont="1"/>
    <xf numFmtId="0" fontId="95" fillId="0" borderId="0" xfId="8" applyFont="1" applyBorder="1" applyAlignment="1">
      <alignment horizontal="center"/>
    </xf>
    <xf numFmtId="3" fontId="95" fillId="0" borderId="0" xfId="8" applyNumberFormat="1" applyFont="1" applyAlignment="1">
      <alignment horizontal="center"/>
    </xf>
    <xf numFmtId="0" fontId="100" fillId="0" borderId="0" xfId="0" applyFont="1" applyFill="1" applyBorder="1" applyAlignment="1"/>
    <xf numFmtId="0" fontId="95" fillId="0" borderId="8" xfId="9" quotePrefix="1" applyFont="1" applyBorder="1" applyAlignment="1">
      <alignment horizontal="right"/>
    </xf>
    <xf numFmtId="0" fontId="95" fillId="0" borderId="8" xfId="9" applyFont="1" applyBorder="1" applyAlignment="1">
      <alignment horizontal="right"/>
    </xf>
    <xf numFmtId="0" fontId="100" fillId="0" borderId="3" xfId="0" applyFont="1" applyBorder="1" applyAlignment="1">
      <alignment horizontal="left"/>
    </xf>
    <xf numFmtId="0" fontId="95" fillId="0" borderId="3" xfId="9" applyFont="1" applyBorder="1" applyAlignment="1">
      <alignment horizontal="right"/>
    </xf>
    <xf numFmtId="0" fontId="95" fillId="5" borderId="3" xfId="9" quotePrefix="1" applyFont="1" applyFill="1" applyBorder="1" applyAlignment="1">
      <alignment horizontal="center"/>
    </xf>
    <xf numFmtId="0" fontId="95" fillId="0" borderId="3" xfId="9" quotePrefix="1" applyFont="1" applyBorder="1" applyAlignment="1">
      <alignment horizontal="left"/>
    </xf>
    <xf numFmtId="3" fontId="95" fillId="0" borderId="0" xfId="3" applyNumberFormat="1" applyFont="1" applyAlignment="1">
      <alignment horizontal="center"/>
    </xf>
    <xf numFmtId="1" fontId="95" fillId="0" borderId="0" xfId="8" applyNumberFormat="1" applyFont="1" applyAlignment="1">
      <alignment horizontal="center"/>
    </xf>
    <xf numFmtId="1" fontId="84" fillId="0" borderId="0" xfId="8" applyNumberFormat="1" applyFont="1" applyAlignment="1">
      <alignment horizontal="center"/>
    </xf>
    <xf numFmtId="164" fontId="95" fillId="0" borderId="0" xfId="8" applyNumberFormat="1" applyFont="1" applyBorder="1" applyAlignment="1">
      <alignment horizontal="center"/>
    </xf>
    <xf numFmtId="0" fontId="100" fillId="0" borderId="8" xfId="0" applyFont="1" applyFill="1" applyBorder="1" applyAlignment="1">
      <alignment horizontal="right"/>
    </xf>
    <xf numFmtId="2" fontId="98" fillId="0" borderId="8" xfId="0" applyNumberFormat="1" applyFont="1" applyFill="1" applyBorder="1" applyAlignment="1">
      <alignment horizontal="right"/>
    </xf>
    <xf numFmtId="2" fontId="98" fillId="0" borderId="8" xfId="0" applyNumberFormat="1" applyFont="1" applyBorder="1" applyAlignment="1">
      <alignment horizontal="right"/>
    </xf>
    <xf numFmtId="167" fontId="98" fillId="0" borderId="8" xfId="0" applyNumberFormat="1" applyFont="1" applyBorder="1" applyAlignment="1">
      <alignment horizontal="right"/>
    </xf>
    <xf numFmtId="166" fontId="98" fillId="0" borderId="8" xfId="0" applyNumberFormat="1" applyFont="1" applyBorder="1" applyAlignment="1">
      <alignment horizontal="right"/>
    </xf>
    <xf numFmtId="164" fontId="98" fillId="0" borderId="8" xfId="0" applyNumberFormat="1" applyFont="1" applyBorder="1" applyAlignment="1">
      <alignment horizontal="right"/>
    </xf>
    <xf numFmtId="1" fontId="95" fillId="0" borderId="0" xfId="8" applyNumberFormat="1" applyFont="1"/>
    <xf numFmtId="3" fontId="95" fillId="0" borderId="0" xfId="8" applyNumberFormat="1" applyFont="1"/>
    <xf numFmtId="37" fontId="95" fillId="0" borderId="0" xfId="9" applyNumberFormat="1" applyFont="1"/>
    <xf numFmtId="3" fontId="100" fillId="0" borderId="0" xfId="0" applyNumberFormat="1" applyFont="1" applyFill="1" applyBorder="1" applyAlignment="1">
      <alignment horizontal="center"/>
    </xf>
    <xf numFmtId="0" fontId="100" fillId="0" borderId="8" xfId="0" quotePrefix="1" applyFont="1" applyFill="1" applyBorder="1" applyAlignment="1">
      <alignment horizontal="right"/>
    </xf>
    <xf numFmtId="164" fontId="100" fillId="0" borderId="8" xfId="0" applyNumberFormat="1" applyFont="1" applyFill="1" applyBorder="1" applyAlignment="1">
      <alignment horizontal="right"/>
    </xf>
    <xf numFmtId="164" fontId="100" fillId="0" borderId="8" xfId="0" applyNumberFormat="1" applyFont="1" applyBorder="1" applyAlignment="1">
      <alignment horizontal="right"/>
    </xf>
    <xf numFmtId="167" fontId="100" fillId="0" borderId="8" xfId="0" applyNumberFormat="1" applyFont="1" applyBorder="1" applyAlignment="1">
      <alignment horizontal="right"/>
    </xf>
    <xf numFmtId="3" fontId="95" fillId="0" borderId="3" xfId="8" applyNumberFormat="1" applyFont="1" applyBorder="1" applyAlignment="1">
      <alignment horizontal="center"/>
    </xf>
    <xf numFmtId="3" fontId="95" fillId="0" borderId="3" xfId="3" applyNumberFormat="1" applyFont="1" applyBorder="1" applyAlignment="1">
      <alignment horizontal="center"/>
    </xf>
    <xf numFmtId="164" fontId="95" fillId="0" borderId="3" xfId="8" applyNumberFormat="1" applyFont="1" applyBorder="1" applyAlignment="1">
      <alignment horizontal="center"/>
    </xf>
    <xf numFmtId="167" fontId="101" fillId="0" borderId="8" xfId="0" applyNumberFormat="1" applyFont="1" applyFill="1" applyBorder="1" applyAlignment="1">
      <alignment horizontal="right"/>
    </xf>
    <xf numFmtId="167" fontId="101" fillId="0" borderId="8" xfId="0" applyNumberFormat="1" applyFont="1" applyBorder="1" applyAlignment="1">
      <alignment horizontal="right"/>
    </xf>
    <xf numFmtId="0" fontId="102" fillId="0" borderId="8" xfId="0" applyFont="1" applyBorder="1" applyAlignment="1">
      <alignment horizontal="right"/>
    </xf>
    <xf numFmtId="0" fontId="103" fillId="0" borderId="0" xfId="8" applyFont="1" applyFill="1" applyBorder="1" applyAlignment="1">
      <alignment horizontal="centerContinuous"/>
    </xf>
    <xf numFmtId="0" fontId="100" fillId="0" borderId="8" xfId="0" quotePrefix="1" applyFont="1" applyBorder="1" applyAlignment="1">
      <alignment horizontal="right"/>
    </xf>
    <xf numFmtId="0" fontId="100" fillId="0" borderId="8" xfId="0" applyFont="1" applyBorder="1" applyAlignment="1">
      <alignment horizontal="right"/>
    </xf>
    <xf numFmtId="0" fontId="95" fillId="0" borderId="0" xfId="8" applyFont="1" applyFill="1" applyBorder="1" applyAlignment="1"/>
    <xf numFmtId="2" fontId="100" fillId="0" borderId="8" xfId="0" applyNumberFormat="1" applyFont="1" applyFill="1" applyBorder="1" applyAlignment="1">
      <alignment horizontal="right"/>
    </xf>
    <xf numFmtId="164" fontId="85" fillId="0" borderId="0" xfId="8" applyNumberFormat="1" applyFont="1" applyBorder="1" applyAlignment="1">
      <alignment horizontal="center"/>
    </xf>
    <xf numFmtId="0" fontId="103" fillId="0" borderId="0" xfId="8" applyFont="1" applyFill="1" applyBorder="1" applyAlignment="1">
      <alignment horizontal="center"/>
    </xf>
    <xf numFmtId="0" fontId="100" fillId="0" borderId="0" xfId="0" applyFont="1" applyBorder="1"/>
    <xf numFmtId="3" fontId="85" fillId="0" borderId="0" xfId="3" applyNumberFormat="1" applyFont="1" applyAlignment="1">
      <alignment horizontal="center"/>
    </xf>
    <xf numFmtId="3" fontId="95" fillId="0" borderId="0" xfId="3" applyNumberFormat="1" applyFont="1" applyFill="1" applyAlignment="1">
      <alignment horizontal="center"/>
    </xf>
    <xf numFmtId="0" fontId="95" fillId="0" borderId="0" xfId="9" quotePrefix="1" applyFont="1" applyBorder="1" applyAlignment="1">
      <alignment horizontal="right"/>
    </xf>
    <xf numFmtId="0" fontId="95" fillId="0" borderId="0" xfId="9" applyFont="1" applyBorder="1" applyAlignment="1">
      <alignment horizontal="right"/>
    </xf>
    <xf numFmtId="2" fontId="98" fillId="0" borderId="0" xfId="0" applyNumberFormat="1" applyFont="1" applyFill="1" applyBorder="1" applyAlignment="1">
      <alignment horizontal="right"/>
    </xf>
    <xf numFmtId="2" fontId="98" fillId="0" borderId="0" xfId="0" applyNumberFormat="1" applyFont="1" applyBorder="1" applyAlignment="1">
      <alignment horizontal="right"/>
    </xf>
    <xf numFmtId="166" fontId="98" fillId="0" borderId="0" xfId="0" applyNumberFormat="1" applyFont="1" applyBorder="1" applyAlignment="1">
      <alignment horizontal="right"/>
    </xf>
    <xf numFmtId="164" fontId="98" fillId="0" borderId="0" xfId="0" applyNumberFormat="1" applyFont="1" applyBorder="1" applyAlignment="1">
      <alignment horizontal="right"/>
    </xf>
    <xf numFmtId="3" fontId="85" fillId="0" borderId="0" xfId="3" applyNumberFormat="1" applyFont="1" applyBorder="1" applyAlignment="1">
      <alignment horizontal="center"/>
    </xf>
    <xf numFmtId="167" fontId="100" fillId="0" borderId="0" xfId="0" applyNumberFormat="1" applyFont="1" applyFill="1" applyBorder="1" applyAlignment="1">
      <alignment horizontal="right"/>
    </xf>
    <xf numFmtId="167" fontId="100" fillId="0" borderId="0" xfId="0" applyNumberFormat="1" applyFont="1" applyBorder="1" applyAlignment="1">
      <alignment horizontal="right"/>
    </xf>
    <xf numFmtId="166" fontId="100" fillId="0" borderId="0" xfId="0" applyNumberFormat="1" applyFont="1" applyBorder="1" applyAlignment="1">
      <alignment horizontal="right"/>
    </xf>
    <xf numFmtId="0" fontId="95" fillId="5" borderId="0" xfId="8" applyFont="1" applyFill="1" applyAlignment="1">
      <alignment horizontal="center"/>
    </xf>
    <xf numFmtId="167" fontId="101" fillId="0" borderId="0" xfId="0" applyNumberFormat="1" applyFont="1" applyFill="1" applyBorder="1" applyAlignment="1">
      <alignment horizontal="right"/>
    </xf>
    <xf numFmtId="167" fontId="101" fillId="0" borderId="0" xfId="0" applyNumberFormat="1" applyFont="1" applyBorder="1" applyAlignment="1">
      <alignment horizontal="right"/>
    </xf>
    <xf numFmtId="0" fontId="102" fillId="0" borderId="0" xfId="0" applyFont="1" applyBorder="1" applyAlignment="1">
      <alignment horizontal="right"/>
    </xf>
    <xf numFmtId="0" fontId="99" fillId="0" borderId="0" xfId="0" applyFont="1" applyFill="1" applyBorder="1" applyAlignment="1">
      <alignment horizontal="center"/>
    </xf>
    <xf numFmtId="0" fontId="100" fillId="0" borderId="0" xfId="0" applyFont="1" applyBorder="1" applyAlignment="1">
      <alignment horizontal="right"/>
    </xf>
    <xf numFmtId="37" fontId="95" fillId="0" borderId="0" xfId="9" applyNumberFormat="1" applyFont="1" applyAlignment="1">
      <alignment horizontal="center"/>
    </xf>
    <xf numFmtId="2" fontId="104" fillId="0" borderId="0" xfId="0" applyNumberFormat="1" applyFont="1" applyFill="1" applyBorder="1" applyAlignment="1">
      <alignment horizontal="right"/>
    </xf>
    <xf numFmtId="37" fontId="105" fillId="0" borderId="0" xfId="8" applyNumberFormat="1" applyFont="1" applyAlignment="1">
      <alignment horizontal="center"/>
    </xf>
    <xf numFmtId="0" fontId="95" fillId="0" borderId="0" xfId="8" quotePrefix="1" applyFont="1" applyAlignment="1">
      <alignment horizontal="left"/>
    </xf>
    <xf numFmtId="167" fontId="105" fillId="0" borderId="0" xfId="8" applyNumberFormat="1" applyFont="1" applyAlignment="1">
      <alignment horizontal="center"/>
    </xf>
    <xf numFmtId="37" fontId="105" fillId="0" borderId="0" xfId="9" applyNumberFormat="1" applyFont="1" applyAlignment="1">
      <alignment horizontal="center"/>
    </xf>
    <xf numFmtId="0" fontId="85" fillId="0" borderId="0" xfId="8" applyFont="1" applyAlignment="1">
      <alignment horizontal="center"/>
    </xf>
    <xf numFmtId="3" fontId="106" fillId="0" borderId="0" xfId="3" applyNumberFormat="1" applyFont="1" applyAlignment="1">
      <alignment horizontal="center"/>
    </xf>
    <xf numFmtId="3" fontId="105" fillId="0" borderId="0" xfId="3" applyNumberFormat="1" applyFont="1" applyBorder="1" applyAlignment="1">
      <alignment horizontal="center"/>
    </xf>
    <xf numFmtId="3" fontId="107" fillId="0" borderId="0" xfId="8" applyNumberFormat="1" applyFont="1" applyAlignment="1">
      <alignment horizontal="center"/>
    </xf>
    <xf numFmtId="174" fontId="95" fillId="5" borderId="0" xfId="3" applyNumberFormat="1" applyFont="1" applyFill="1" applyAlignment="1">
      <alignment horizontal="center"/>
    </xf>
    <xf numFmtId="3" fontId="95" fillId="5" borderId="0" xfId="3" applyNumberFormat="1" applyFont="1" applyFill="1" applyAlignment="1">
      <alignment horizontal="center"/>
    </xf>
    <xf numFmtId="3" fontId="100" fillId="0" borderId="0" xfId="0" applyNumberFormat="1" applyFont="1" applyAlignment="1">
      <alignment horizontal="center"/>
    </xf>
    <xf numFmtId="0" fontId="95" fillId="0" borderId="0" xfId="8" applyFont="1" applyFill="1" applyAlignment="1">
      <alignment horizontal="center"/>
    </xf>
    <xf numFmtId="0" fontId="94" fillId="0" borderId="0" xfId="0" quotePrefix="1" applyFont="1" applyAlignment="1">
      <alignment horizontal="left"/>
    </xf>
    <xf numFmtId="164" fontId="95" fillId="5" borderId="0" xfId="8" applyNumberFormat="1" applyFont="1" applyFill="1" applyAlignment="1">
      <alignment horizontal="center"/>
    </xf>
    <xf numFmtId="168" fontId="95" fillId="0" borderId="0" xfId="11" applyNumberFormat="1" applyFont="1"/>
    <xf numFmtId="172" fontId="95" fillId="0" borderId="0" xfId="9" applyNumberFormat="1" applyFont="1" applyBorder="1" applyAlignment="1">
      <alignment horizontal="center" vertical="justify"/>
    </xf>
    <xf numFmtId="0" fontId="95" fillId="0" borderId="0" xfId="9" applyFont="1"/>
    <xf numFmtId="0" fontId="95" fillId="0" borderId="0" xfId="9" quotePrefix="1" applyFont="1" applyAlignment="1">
      <alignment vertical="justify"/>
    </xf>
    <xf numFmtId="0" fontId="95" fillId="0" borderId="0" xfId="9" applyFont="1" applyFill="1" applyAlignment="1">
      <alignment vertical="justify"/>
    </xf>
    <xf numFmtId="164" fontId="95" fillId="0" borderId="0" xfId="9" applyNumberFormat="1" applyFont="1" applyAlignment="1">
      <alignment horizontal="center"/>
    </xf>
    <xf numFmtId="0" fontId="95" fillId="0" borderId="0" xfId="9" quotePrefix="1" applyFont="1" applyAlignment="1">
      <alignment horizontal="left"/>
    </xf>
    <xf numFmtId="0" fontId="95" fillId="9" borderId="3" xfId="8" applyFont="1" applyFill="1" applyBorder="1" applyAlignment="1">
      <alignment horizontal="center"/>
    </xf>
    <xf numFmtId="174" fontId="95" fillId="0" borderId="0" xfId="3" applyNumberFormat="1" applyFont="1" applyAlignment="1">
      <alignment horizontal="center"/>
    </xf>
    <xf numFmtId="4" fontId="95" fillId="0" borderId="0" xfId="3" applyNumberFormat="1" applyFont="1" applyAlignment="1">
      <alignment horizontal="center"/>
    </xf>
    <xf numFmtId="4" fontId="8" fillId="0" borderId="0" xfId="8" applyNumberFormat="1" applyAlignment="1">
      <alignment horizontal="center"/>
    </xf>
    <xf numFmtId="168" fontId="28" fillId="5" borderId="0" xfId="11" applyNumberFormat="1" applyFont="1" applyFill="1" applyAlignment="1">
      <alignment horizontal="center"/>
    </xf>
    <xf numFmtId="4" fontId="7" fillId="0" borderId="0" xfId="3" applyNumberFormat="1" applyFont="1" applyAlignment="1">
      <alignment horizontal="center"/>
    </xf>
    <xf numFmtId="37" fontId="7" fillId="0" borderId="1" xfId="9" applyNumberFormat="1" applyFont="1" applyBorder="1" applyAlignment="1">
      <alignment horizontal="center"/>
    </xf>
    <xf numFmtId="165" fontId="38" fillId="0" borderId="8" xfId="0" applyNumberFormat="1" applyFont="1" applyFill="1" applyBorder="1" applyAlignment="1">
      <alignment horizontal="right"/>
    </xf>
    <xf numFmtId="0" fontId="80" fillId="9" borderId="0" xfId="0" applyFont="1" applyFill="1" applyAlignment="1">
      <alignment horizontal="center"/>
    </xf>
    <xf numFmtId="0" fontId="0" fillId="9" borderId="0" xfId="0" applyFill="1"/>
    <xf numFmtId="1" fontId="7" fillId="0" borderId="8" xfId="8" applyNumberFormat="1" applyFont="1" applyBorder="1"/>
    <xf numFmtId="181" fontId="6" fillId="0" borderId="0" xfId="8" applyNumberFormat="1" applyFont="1" applyAlignment="1">
      <alignment horizontal="center"/>
    </xf>
    <xf numFmtId="0" fontId="6" fillId="9" borderId="0" xfId="0" quotePrefix="1" applyFont="1" applyFill="1" applyBorder="1" applyAlignment="1">
      <alignment horizontal="left"/>
    </xf>
    <xf numFmtId="3" fontId="7" fillId="0" borderId="0" xfId="0" applyNumberFormat="1" applyFont="1" applyAlignment="1">
      <alignment horizontal="center"/>
    </xf>
    <xf numFmtId="165" fontId="8" fillId="0" borderId="0" xfId="8" applyNumberFormat="1"/>
    <xf numFmtId="0" fontId="80" fillId="0" borderId="0" xfId="8" applyFont="1" applyAlignment="1">
      <alignment horizontal="left"/>
    </xf>
    <xf numFmtId="0" fontId="80" fillId="0" borderId="0" xfId="8" applyFont="1"/>
    <xf numFmtId="0" fontId="2" fillId="9" borderId="0" xfId="0" quotePrefix="1" applyFont="1" applyFill="1" applyBorder="1" applyAlignment="1">
      <alignment horizontal="left"/>
    </xf>
    <xf numFmtId="0" fontId="3" fillId="9" borderId="0" xfId="0" applyFont="1" applyFill="1" applyBorder="1" applyAlignment="1">
      <alignment horizontal="centerContinuous"/>
    </xf>
    <xf numFmtId="164" fontId="7" fillId="0" borderId="0" xfId="9" applyNumberFormat="1" applyFont="1" applyBorder="1" applyAlignment="1">
      <alignment horizontal="center"/>
    </xf>
    <xf numFmtId="38" fontId="7" fillId="0" borderId="0" xfId="9" applyNumberFormat="1" applyFont="1" applyBorder="1" applyAlignment="1">
      <alignment horizontal="center"/>
    </xf>
    <xf numFmtId="164" fontId="8" fillId="0" borderId="3" xfId="9" applyNumberFormat="1" applyBorder="1" applyAlignment="1">
      <alignment horizontal="center"/>
    </xf>
    <xf numFmtId="37" fontId="7" fillId="0" borderId="3" xfId="9" applyNumberFormat="1" applyFont="1" applyBorder="1"/>
    <xf numFmtId="0" fontId="6" fillId="0" borderId="3" xfId="8" quotePrefix="1" applyFont="1" applyBorder="1" applyAlignment="1">
      <alignment horizontal="left"/>
    </xf>
    <xf numFmtId="0" fontId="6" fillId="9" borderId="0" xfId="9" quotePrefix="1" applyFont="1" applyFill="1" applyAlignment="1">
      <alignment horizontal="left"/>
    </xf>
    <xf numFmtId="0" fontId="8" fillId="9" borderId="0" xfId="9" applyFill="1" applyAlignment="1"/>
    <xf numFmtId="1" fontId="7" fillId="2" borderId="1" xfId="0" applyNumberFormat="1" applyFont="1" applyFill="1" applyBorder="1" applyAlignment="1">
      <alignment horizontal="center"/>
    </xf>
    <xf numFmtId="1" fontId="8" fillId="9" borderId="0" xfId="0" applyNumberFormat="1" applyFont="1" applyFill="1" applyBorder="1" applyAlignment="1">
      <alignment horizontal="center"/>
    </xf>
    <xf numFmtId="0" fontId="6" fillId="0" borderId="3" xfId="9" quotePrefix="1" applyFont="1" applyBorder="1" applyAlignment="1">
      <alignment horizontal="left"/>
    </xf>
    <xf numFmtId="0" fontId="7" fillId="0" borderId="0" xfId="9" quotePrefix="1" applyFont="1" applyAlignment="1">
      <alignment horizontal="right"/>
    </xf>
    <xf numFmtId="0" fontId="16" fillId="9" borderId="0" xfId="0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3" fontId="0" fillId="9" borderId="0" xfId="0" applyNumberFormat="1" applyFill="1" applyBorder="1" applyAlignment="1">
      <alignment horizontal="center"/>
    </xf>
    <xf numFmtId="3" fontId="0" fillId="9" borderId="1" xfId="0" applyNumberFormat="1" applyFill="1" applyBorder="1" applyAlignment="1">
      <alignment horizontal="center"/>
    </xf>
    <xf numFmtId="3" fontId="4" fillId="9" borderId="0" xfId="1" applyNumberFormat="1" applyFill="1" applyBorder="1" applyAlignment="1">
      <alignment horizontal="center"/>
    </xf>
    <xf numFmtId="3" fontId="4" fillId="9" borderId="1" xfId="1" applyNumberForma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3" fontId="2" fillId="0" borderId="14" xfId="0" applyNumberFormat="1" applyFont="1" applyFill="1" applyBorder="1" applyAlignment="1">
      <alignment horizontal="center"/>
    </xf>
    <xf numFmtId="3" fontId="2" fillId="0" borderId="18" xfId="0" applyNumberFormat="1" applyFont="1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0" xfId="0" applyFill="1" applyBorder="1"/>
    <xf numFmtId="0" fontId="40" fillId="0" borderId="0" xfId="0" quotePrefix="1" applyFont="1" applyBorder="1" applyAlignment="1">
      <alignment horizontal="center"/>
    </xf>
    <xf numFmtId="1" fontId="7" fillId="0" borderId="1" xfId="9" applyNumberFormat="1" applyFont="1" applyBorder="1" applyAlignment="1">
      <alignment horizontal="center"/>
    </xf>
    <xf numFmtId="38" fontId="8" fillId="0" borderId="1" xfId="1" applyNumberFormat="1" applyFont="1" applyBorder="1"/>
    <xf numFmtId="37" fontId="9" fillId="0" borderId="1" xfId="4" applyNumberFormat="1" applyFont="1" applyBorder="1"/>
    <xf numFmtId="164" fontId="7" fillId="0" borderId="1" xfId="10" applyNumberFormat="1" applyFont="1" applyBorder="1" applyAlignment="1">
      <alignment horizontal="right" vertical="center"/>
    </xf>
    <xf numFmtId="0" fontId="8" fillId="0" borderId="1" xfId="9" applyBorder="1"/>
    <xf numFmtId="171" fontId="7" fillId="0" borderId="1" xfId="10" applyNumberFormat="1" applyFont="1" applyBorder="1" applyAlignment="1">
      <alignment vertical="center"/>
    </xf>
    <xf numFmtId="171" fontId="0" fillId="0" borderId="1" xfId="1" applyNumberFormat="1" applyFont="1" applyBorder="1" applyAlignment="1">
      <alignment vertical="center"/>
    </xf>
    <xf numFmtId="1" fontId="7" fillId="12" borderId="0" xfId="0" applyNumberFormat="1" applyFont="1" applyFill="1" applyBorder="1" applyAlignment="1">
      <alignment horizontal="center"/>
    </xf>
    <xf numFmtId="3" fontId="6" fillId="0" borderId="0" xfId="8" applyNumberFormat="1" applyFont="1" applyAlignment="1">
      <alignment horizontal="center"/>
    </xf>
    <xf numFmtId="2" fontId="8" fillId="0" borderId="0" xfId="8" applyNumberFormat="1"/>
    <xf numFmtId="3" fontId="94" fillId="0" borderId="0" xfId="8" applyNumberFormat="1" applyFont="1" applyAlignment="1">
      <alignment horizontal="center"/>
    </xf>
    <xf numFmtId="0" fontId="85" fillId="0" borderId="0" xfId="0" applyFont="1" applyAlignment="1">
      <alignment horizontal="center"/>
    </xf>
    <xf numFmtId="165" fontId="6" fillId="0" borderId="0" xfId="8" applyNumberFormat="1" applyFont="1"/>
    <xf numFmtId="0" fontId="7" fillId="0" borderId="3" xfId="10" quotePrefix="1" applyFont="1" applyBorder="1" applyAlignment="1">
      <alignment horizontal="right" vertical="justify"/>
    </xf>
    <xf numFmtId="2" fontId="7" fillId="0" borderId="0" xfId="9" applyNumberFormat="1" applyFont="1" applyBorder="1" applyAlignment="1">
      <alignment horizontal="center"/>
    </xf>
    <xf numFmtId="0" fontId="6" fillId="0" borderId="1" xfId="8" applyFont="1" applyBorder="1" applyAlignment="1">
      <alignment horizontal="center"/>
    </xf>
    <xf numFmtId="3" fontId="8" fillId="0" borderId="1" xfId="3" applyNumberFormat="1" applyBorder="1" applyAlignment="1">
      <alignment horizontal="center"/>
    </xf>
    <xf numFmtId="164" fontId="8" fillId="0" borderId="1" xfId="8" applyNumberFormat="1" applyFont="1" applyBorder="1" applyAlignment="1">
      <alignment horizontal="center"/>
    </xf>
    <xf numFmtId="0" fontId="29" fillId="0" borderId="1" xfId="8" applyFont="1" applyFill="1" applyBorder="1" applyAlignment="1">
      <alignment horizontal="center"/>
    </xf>
    <xf numFmtId="3" fontId="7" fillId="0" borderId="1" xfId="3" applyNumberFormat="1" applyFont="1" applyFill="1" applyBorder="1" applyAlignment="1">
      <alignment horizontal="center"/>
    </xf>
    <xf numFmtId="0" fontId="4" fillId="0" borderId="17" xfId="0" quotePrefix="1" applyFont="1" applyFill="1" applyBorder="1" applyAlignment="1">
      <alignment horizontal="right"/>
    </xf>
    <xf numFmtId="3" fontId="7" fillId="0" borderId="0" xfId="3" applyNumberFormat="1" applyFont="1" applyFill="1" applyBorder="1" applyAlignment="1">
      <alignment horizontal="center"/>
    </xf>
    <xf numFmtId="0" fontId="7" fillId="0" borderId="8" xfId="8" quotePrefix="1" applyFont="1" applyBorder="1" applyAlignment="1">
      <alignment horizontal="center"/>
    </xf>
    <xf numFmtId="2" fontId="6" fillId="0" borderId="8" xfId="8" applyNumberFormat="1" applyFont="1" applyBorder="1"/>
    <xf numFmtId="167" fontId="6" fillId="0" borderId="8" xfId="8" applyNumberFormat="1" applyFont="1" applyFill="1" applyBorder="1"/>
    <xf numFmtId="164" fontId="6" fillId="0" borderId="8" xfId="8" applyNumberFormat="1" applyFont="1" applyFill="1" applyBorder="1"/>
    <xf numFmtId="164" fontId="7" fillId="0" borderId="8" xfId="8" applyNumberFormat="1" applyFont="1" applyFill="1" applyBorder="1"/>
    <xf numFmtId="0" fontId="2" fillId="9" borderId="0" xfId="0" applyFont="1" applyFill="1"/>
    <xf numFmtId="3" fontId="4" fillId="9" borderId="0" xfId="1" applyNumberFormat="1" applyFill="1" applyBorder="1"/>
    <xf numFmtId="166" fontId="40" fillId="0" borderId="0" xfId="0" quotePrefix="1" applyNumberFormat="1" applyFont="1" applyBorder="1" applyAlignment="1"/>
    <xf numFmtId="0" fontId="0" fillId="0" borderId="0" xfId="0" applyAlignment="1">
      <alignment horizontal="center"/>
    </xf>
    <xf numFmtId="0" fontId="34" fillId="13" borderId="0" xfId="0" applyFont="1" applyFill="1" applyBorder="1" applyAlignment="1">
      <alignment horizontal="center"/>
    </xf>
    <xf numFmtId="3" fontId="0" fillId="17" borderId="0" xfId="0" applyNumberFormat="1" applyFill="1" applyBorder="1" applyAlignment="1">
      <alignment horizontal="center"/>
    </xf>
    <xf numFmtId="3" fontId="0" fillId="17" borderId="1" xfId="0" applyNumberFormat="1" applyFill="1" applyBorder="1" applyAlignment="1">
      <alignment horizontal="center"/>
    </xf>
    <xf numFmtId="3" fontId="0" fillId="17" borderId="0" xfId="0" applyNumberFormat="1" applyFill="1" applyBorder="1"/>
    <xf numFmtId="3" fontId="0" fillId="17" borderId="1" xfId="0" applyNumberFormat="1" applyFill="1" applyBorder="1"/>
    <xf numFmtId="3" fontId="2" fillId="9" borderId="0" xfId="1" applyNumberFormat="1" applyFont="1" applyFill="1" applyBorder="1"/>
    <xf numFmtId="0" fontId="34" fillId="0" borderId="0" xfId="0" applyFont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8" fillId="18" borderId="0" xfId="9" applyFill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7" fillId="0" borderId="0" xfId="9" applyFont="1" applyAlignment="1"/>
    <xf numFmtId="0" fontId="7" fillId="0" borderId="0" xfId="9" quotePrefix="1" applyFont="1" applyAlignment="1">
      <alignment horizontal="center" vertical="justify"/>
    </xf>
    <xf numFmtId="172" fontId="7" fillId="0" borderId="0" xfId="9" applyNumberFormat="1" applyFont="1" applyBorder="1" applyAlignment="1">
      <alignment horizontal="center"/>
    </xf>
    <xf numFmtId="0" fontId="7" fillId="0" borderId="1" xfId="9" applyFont="1" applyBorder="1" applyAlignment="1">
      <alignment horizontal="center"/>
    </xf>
    <xf numFmtId="37" fontId="7" fillId="0" borderId="1" xfId="9" applyNumberFormat="1" applyFont="1" applyBorder="1"/>
    <xf numFmtId="172" fontId="7" fillId="0" borderId="1" xfId="9" applyNumberFormat="1" applyFont="1" applyBorder="1" applyAlignment="1">
      <alignment horizontal="center"/>
    </xf>
    <xf numFmtId="0" fontId="7" fillId="0" borderId="0" xfId="6" quotePrefix="1" applyFont="1" applyFill="1" applyAlignment="1">
      <alignment horizontal="left"/>
    </xf>
    <xf numFmtId="0" fontId="7" fillId="0" borderId="0" xfId="6" applyFont="1" applyFill="1"/>
    <xf numFmtId="0" fontId="7" fillId="0" borderId="0" xfId="6" applyFont="1" applyFill="1" applyAlignment="1">
      <alignment horizontal="center"/>
    </xf>
    <xf numFmtId="0" fontId="9" fillId="0" borderId="3" xfId="9" quotePrefix="1" applyFont="1" applyBorder="1" applyAlignment="1">
      <alignment horizontal="center" vertical="justify"/>
    </xf>
    <xf numFmtId="0" fontId="8" fillId="0" borderId="0" xfId="9" quotePrefix="1" applyFont="1" applyFill="1" applyAlignment="1">
      <alignment horizontal="center" vertical="justify"/>
    </xf>
    <xf numFmtId="0" fontId="8" fillId="0" borderId="0" xfId="9" applyFill="1" applyAlignment="1">
      <alignment horizontal="center" vertical="justify"/>
    </xf>
    <xf numFmtId="0" fontId="7" fillId="0" borderId="3" xfId="10" applyFont="1" applyFill="1" applyBorder="1" applyAlignment="1">
      <alignment horizontal="center" vertical="justify"/>
    </xf>
    <xf numFmtId="37" fontId="8" fillId="0" borderId="0" xfId="4" applyNumberFormat="1" applyFill="1"/>
    <xf numFmtId="0" fontId="8" fillId="0" borderId="0" xfId="8" quotePrefix="1" applyFont="1" applyFill="1" applyAlignment="1">
      <alignment horizontal="center"/>
    </xf>
    <xf numFmtId="0" fontId="8" fillId="0" borderId="3" xfId="8" applyFill="1" applyBorder="1" applyAlignment="1">
      <alignment horizontal="center"/>
    </xf>
    <xf numFmtId="1" fontId="8" fillId="0" borderId="0" xfId="8" applyNumberFormat="1" applyFill="1" applyAlignment="1">
      <alignment horizontal="center"/>
    </xf>
    <xf numFmtId="0" fontId="7" fillId="0" borderId="0" xfId="10" quotePrefix="1" applyFont="1" applyFill="1" applyBorder="1" applyAlignment="1">
      <alignment horizontal="center" vertical="justify"/>
    </xf>
    <xf numFmtId="0" fontId="90" fillId="9" borderId="0" xfId="8" applyFont="1" applyFill="1"/>
    <xf numFmtId="0" fontId="4" fillId="10" borderId="8" xfId="0" applyFont="1" applyFill="1" applyBorder="1" applyAlignment="1">
      <alignment horizontal="right"/>
    </xf>
    <xf numFmtId="2" fontId="2" fillId="10" borderId="8" xfId="0" applyNumberFormat="1" applyFont="1" applyFill="1" applyBorder="1" applyAlignment="1">
      <alignment horizontal="right"/>
    </xf>
    <xf numFmtId="166" fontId="2" fillId="10" borderId="8" xfId="0" applyNumberFormat="1" applyFont="1" applyFill="1" applyBorder="1" applyAlignment="1">
      <alignment horizontal="right"/>
    </xf>
    <xf numFmtId="165" fontId="2" fillId="10" borderId="8" xfId="0" applyNumberFormat="1" applyFont="1" applyFill="1" applyBorder="1" applyAlignment="1">
      <alignment horizontal="right"/>
    </xf>
    <xf numFmtId="164" fontId="4" fillId="10" borderId="8" xfId="0" applyNumberFormat="1" applyFont="1" applyFill="1" applyBorder="1" applyAlignment="1">
      <alignment horizontal="right"/>
    </xf>
    <xf numFmtId="0" fontId="4" fillId="10" borderId="8" xfId="0" quotePrefix="1" applyFont="1" applyFill="1" applyBorder="1" applyAlignment="1">
      <alignment horizontal="right"/>
    </xf>
    <xf numFmtId="2" fontId="4" fillId="10" borderId="8" xfId="0" applyNumberFormat="1" applyFont="1" applyFill="1" applyBorder="1" applyAlignment="1">
      <alignment horizontal="right"/>
    </xf>
    <xf numFmtId="166" fontId="4" fillId="10" borderId="8" xfId="0" applyNumberFormat="1" applyFont="1" applyFill="1" applyBorder="1" applyAlignment="1">
      <alignment horizontal="right"/>
    </xf>
    <xf numFmtId="167" fontId="4" fillId="10" borderId="8" xfId="0" applyNumberFormat="1" applyFont="1" applyFill="1" applyBorder="1" applyAlignment="1">
      <alignment horizontal="right"/>
    </xf>
    <xf numFmtId="167" fontId="2" fillId="10" borderId="8" xfId="0" applyNumberFormat="1" applyFont="1" applyFill="1" applyBorder="1" applyAlignment="1">
      <alignment horizontal="right"/>
    </xf>
    <xf numFmtId="0" fontId="3" fillId="10" borderId="8" xfId="0" applyFont="1" applyFill="1" applyBorder="1" applyAlignment="1">
      <alignment horizontal="right"/>
    </xf>
    <xf numFmtId="0" fontId="8" fillId="10" borderId="0" xfId="8" applyFill="1" applyAlignment="1">
      <alignment horizontal="center"/>
    </xf>
    <xf numFmtId="3" fontId="8" fillId="10" borderId="0" xfId="8" applyNumberFormat="1" applyFill="1" applyAlignment="1">
      <alignment horizontal="center"/>
    </xf>
    <xf numFmtId="3" fontId="8" fillId="10" borderId="0" xfId="3" applyNumberFormat="1" applyFill="1" applyBorder="1" applyAlignment="1">
      <alignment horizontal="center"/>
    </xf>
    <xf numFmtId="164" fontId="8" fillId="10" borderId="0" xfId="8" applyNumberFormat="1" applyFont="1" applyFill="1" applyBorder="1" applyAlignment="1">
      <alignment horizontal="center"/>
    </xf>
    <xf numFmtId="3" fontId="8" fillId="10" borderId="0" xfId="3" applyNumberFormat="1" applyFill="1" applyAlignment="1">
      <alignment horizontal="center"/>
    </xf>
    <xf numFmtId="3" fontId="7" fillId="10" borderId="0" xfId="3" applyNumberFormat="1" applyFont="1" applyFill="1" applyAlignment="1">
      <alignment horizontal="center"/>
    </xf>
    <xf numFmtId="0" fontId="8" fillId="10" borderId="0" xfId="8" applyFill="1" applyBorder="1"/>
    <xf numFmtId="0" fontId="29" fillId="10" borderId="0" xfId="8" applyFont="1" applyFill="1" applyBorder="1" applyAlignment="1">
      <alignment horizontal="centerContinuous"/>
    </xf>
    <xf numFmtId="0" fontId="8" fillId="10" borderId="0" xfId="8" applyFill="1" applyBorder="1" applyAlignment="1"/>
    <xf numFmtId="0" fontId="29" fillId="10" borderId="0" xfId="8" applyFont="1" applyFill="1" applyBorder="1" applyAlignment="1">
      <alignment horizontal="center"/>
    </xf>
    <xf numFmtId="3" fontId="8" fillId="10" borderId="0" xfId="8" applyNumberFormat="1" applyFill="1"/>
    <xf numFmtId="3" fontId="0" fillId="10" borderId="0" xfId="0" applyNumberFormat="1" applyFill="1" applyBorder="1" applyAlignment="1">
      <alignment horizontal="center"/>
    </xf>
    <xf numFmtId="3" fontId="0" fillId="10" borderId="0" xfId="0" applyNumberFormat="1" applyFill="1" applyAlignment="1">
      <alignment horizontal="center"/>
    </xf>
    <xf numFmtId="174" fontId="8" fillId="10" borderId="0" xfId="3" applyNumberFormat="1" applyFill="1" applyAlignment="1">
      <alignment horizontal="center"/>
    </xf>
    <xf numFmtId="3" fontId="9" fillId="10" borderId="0" xfId="8" applyNumberFormat="1" applyFont="1" applyFill="1" applyAlignment="1">
      <alignment horizontal="center"/>
    </xf>
    <xf numFmtId="0" fontId="7" fillId="10" borderId="0" xfId="8" applyFont="1" applyFill="1" applyAlignment="1">
      <alignment horizontal="center"/>
    </xf>
    <xf numFmtId="0" fontId="7" fillId="10" borderId="0" xfId="8" applyFont="1" applyFill="1"/>
    <xf numFmtId="0" fontId="7" fillId="10" borderId="0" xfId="8" applyFont="1" applyFill="1" applyBorder="1"/>
    <xf numFmtId="38" fontId="4" fillId="10" borderId="0" xfId="1" applyNumberFormat="1" applyFont="1" applyFill="1" applyAlignment="1">
      <alignment horizontal="center"/>
    </xf>
    <xf numFmtId="0" fontId="26" fillId="10" borderId="0" xfId="8" applyFont="1" applyFill="1" applyBorder="1" applyAlignment="1">
      <alignment horizontal="centerContinuous"/>
    </xf>
    <xf numFmtId="0" fontId="7" fillId="10" borderId="0" xfId="8" applyFont="1" applyFill="1" applyBorder="1" applyAlignment="1"/>
    <xf numFmtId="0" fontId="26" fillId="10" borderId="0" xfId="8" applyFont="1" applyFill="1" applyBorder="1" applyAlignment="1">
      <alignment horizontal="center"/>
    </xf>
    <xf numFmtId="3" fontId="7" fillId="10" borderId="0" xfId="8" applyNumberFormat="1" applyFont="1" applyFill="1"/>
    <xf numFmtId="3" fontId="4" fillId="10" borderId="0" xfId="0" applyNumberFormat="1" applyFont="1" applyFill="1" applyBorder="1" applyAlignment="1">
      <alignment horizontal="center"/>
    </xf>
    <xf numFmtId="2" fontId="7" fillId="10" borderId="0" xfId="8" applyNumberFormat="1" applyFont="1" applyFill="1" applyAlignment="1">
      <alignment horizontal="center"/>
    </xf>
    <xf numFmtId="3" fontId="4" fillId="10" borderId="0" xfId="0" applyNumberFormat="1" applyFont="1" applyFill="1" applyAlignment="1">
      <alignment horizontal="center"/>
    </xf>
    <xf numFmtId="0" fontId="7" fillId="10" borderId="0" xfId="1" applyNumberFormat="1" applyFont="1" applyFill="1" applyAlignment="1">
      <alignment horizontal="center"/>
    </xf>
    <xf numFmtId="0" fontId="4" fillId="10" borderId="0" xfId="1" applyNumberFormat="1" applyFont="1" applyFill="1" applyBorder="1" applyAlignment="1">
      <alignment horizontal="center"/>
    </xf>
    <xf numFmtId="0" fontId="7" fillId="10" borderId="0" xfId="1" quotePrefix="1" applyNumberFormat="1" applyFont="1" applyFill="1" applyBorder="1" applyAlignment="1">
      <alignment horizontal="center"/>
    </xf>
    <xf numFmtId="0" fontId="4" fillId="10" borderId="0" xfId="1" quotePrefix="1" applyNumberFormat="1" applyFont="1" applyFill="1" applyBorder="1" applyAlignment="1">
      <alignment horizontal="center"/>
    </xf>
    <xf numFmtId="0" fontId="4" fillId="10" borderId="0" xfId="0" applyNumberFormat="1" applyFont="1" applyFill="1" applyBorder="1" applyAlignment="1">
      <alignment horizontal="center"/>
    </xf>
    <xf numFmtId="0" fontId="7" fillId="0" borderId="0" xfId="9" quotePrefix="1" applyFont="1" applyAlignment="1">
      <alignment vertical="justify"/>
    </xf>
    <xf numFmtId="0" fontId="98" fillId="9" borderId="0" xfId="0" quotePrefix="1" applyFont="1" applyFill="1" applyBorder="1" applyAlignment="1">
      <alignment horizontal="left"/>
    </xf>
    <xf numFmtId="0" fontId="99" fillId="9" borderId="0" xfId="0" applyFont="1" applyFill="1" applyBorder="1" applyAlignment="1">
      <alignment horizontal="centerContinuous"/>
    </xf>
    <xf numFmtId="0" fontId="16" fillId="0" borderId="0" xfId="9" quotePrefix="1" applyFont="1" applyBorder="1" applyAlignment="1">
      <alignment horizontal="center"/>
    </xf>
    <xf numFmtId="0" fontId="29" fillId="0" borderId="3" xfId="8" applyFont="1" applyFill="1" applyBorder="1" applyAlignment="1">
      <alignment horizontal="center"/>
    </xf>
    <xf numFmtId="0" fontId="100" fillId="0" borderId="17" xfId="0" quotePrefix="1" applyFont="1" applyFill="1" applyBorder="1" applyAlignment="1">
      <alignment horizontal="right"/>
    </xf>
    <xf numFmtId="3" fontId="95" fillId="0" borderId="0" xfId="8" applyNumberFormat="1" applyFont="1" applyBorder="1" applyAlignment="1">
      <alignment horizontal="center"/>
    </xf>
    <xf numFmtId="0" fontId="103" fillId="0" borderId="3" xfId="8" applyFont="1" applyFill="1" applyBorder="1" applyAlignment="1">
      <alignment horizontal="center"/>
    </xf>
    <xf numFmtId="3" fontId="100" fillId="0" borderId="3" xfId="0" applyNumberFormat="1" applyFont="1" applyFill="1" applyBorder="1" applyAlignment="1">
      <alignment horizontal="center"/>
    </xf>
    <xf numFmtId="3" fontId="8" fillId="0" borderId="3" xfId="8" applyNumberFormat="1" applyBorder="1"/>
    <xf numFmtId="37" fontId="7" fillId="0" borderId="3" xfId="9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37" fontId="28" fillId="0" borderId="0" xfId="4" applyNumberFormat="1" applyFont="1" applyBorder="1" applyAlignment="1">
      <alignment horizontal="center"/>
    </xf>
    <xf numFmtId="37" fontId="8" fillId="0" borderId="0" xfId="4" applyNumberFormat="1" applyBorder="1" applyAlignment="1">
      <alignment horizontal="center"/>
    </xf>
    <xf numFmtId="37" fontId="9" fillId="0" borderId="0" xfId="4" applyNumberFormat="1" applyFont="1" applyBorder="1" applyAlignment="1">
      <alignment horizontal="center"/>
    </xf>
    <xf numFmtId="37" fontId="8" fillId="0" borderId="0" xfId="4" applyNumberFormat="1" applyBorder="1"/>
    <xf numFmtId="0" fontId="9" fillId="0" borderId="0" xfId="9" applyFont="1" applyFill="1" applyAlignment="1">
      <alignment horizontal="left"/>
    </xf>
    <xf numFmtId="0" fontId="8" fillId="0" borderId="0" xfId="9" applyFill="1" applyAlignment="1">
      <alignment vertical="justify"/>
    </xf>
    <xf numFmtId="37" fontId="8" fillId="0" borderId="0" xfId="4" applyNumberFormat="1" applyFill="1" applyAlignment="1">
      <alignment horizontal="center"/>
    </xf>
    <xf numFmtId="37" fontId="8" fillId="0" borderId="0" xfId="4" applyNumberFormat="1" applyFill="1" applyBorder="1" applyAlignment="1">
      <alignment horizontal="center"/>
    </xf>
    <xf numFmtId="3" fontId="8" fillId="0" borderId="0" xfId="8" applyNumberFormat="1" applyFill="1" applyBorder="1" applyAlignment="1">
      <alignment horizontal="center"/>
    </xf>
    <xf numFmtId="1" fontId="7" fillId="0" borderId="0" xfId="9" applyNumberFormat="1" applyFont="1" applyFill="1" applyBorder="1" applyAlignment="1">
      <alignment horizontal="center"/>
    </xf>
    <xf numFmtId="1" fontId="7" fillId="0" borderId="1" xfId="9" applyNumberFormat="1" applyFont="1" applyFill="1" applyBorder="1" applyAlignment="1">
      <alignment horizontal="center"/>
    </xf>
    <xf numFmtId="3" fontId="8" fillId="0" borderId="1" xfId="8" applyNumberFormat="1" applyFill="1" applyBorder="1" applyAlignment="1">
      <alignment horizontal="center"/>
    </xf>
    <xf numFmtId="0" fontId="9" fillId="0" borderId="0" xfId="9" applyFont="1" applyFill="1"/>
    <xf numFmtId="0" fontId="6" fillId="0" borderId="3" xfId="8" quotePrefix="1" applyFont="1" applyFill="1" applyBorder="1" applyAlignment="1">
      <alignment horizontal="center"/>
    </xf>
    <xf numFmtId="0" fontId="7" fillId="0" borderId="0" xfId="8" applyFont="1" applyBorder="1" applyAlignment="1">
      <alignment horizontal="center"/>
    </xf>
    <xf numFmtId="0" fontId="8" fillId="0" borderId="0" xfId="8" applyAlignment="1"/>
    <xf numFmtId="0" fontId="7" fillId="0" borderId="0" xfId="9" quotePrefix="1" applyFont="1" applyFill="1" applyAlignment="1">
      <alignment vertical="justify"/>
    </xf>
    <xf numFmtId="0" fontId="8" fillId="0" borderId="0" xfId="9" quotePrefix="1" applyFont="1" applyFill="1" applyAlignment="1">
      <alignment vertical="justify"/>
    </xf>
    <xf numFmtId="168" fontId="8" fillId="0" borderId="0" xfId="11" applyNumberFormat="1" applyFont="1" applyFill="1"/>
    <xf numFmtId="172" fontId="8" fillId="0" borderId="0" xfId="9" applyNumberFormat="1" applyFont="1" applyFill="1" applyBorder="1" applyAlignment="1">
      <alignment horizontal="center" vertical="justify"/>
    </xf>
    <xf numFmtId="164" fontId="8" fillId="0" borderId="0" xfId="9" applyNumberFormat="1" applyFill="1" applyAlignment="1">
      <alignment horizontal="center"/>
    </xf>
    <xf numFmtId="0" fontId="8" fillId="0" borderId="0" xfId="9" quotePrefix="1" applyFont="1" applyFill="1" applyAlignment="1">
      <alignment horizontal="left"/>
    </xf>
    <xf numFmtId="0" fontId="8" fillId="0" borderId="0" xfId="8" applyFill="1" applyAlignment="1"/>
    <xf numFmtId="168" fontId="95" fillId="0" borderId="0" xfId="11" applyNumberFormat="1" applyFont="1" applyAlignment="1"/>
    <xf numFmtId="0" fontId="95" fillId="0" borderId="0" xfId="8" applyFont="1" applyAlignment="1"/>
    <xf numFmtId="0" fontId="8" fillId="0" borderId="0" xfId="9" applyFont="1" applyFill="1" applyBorder="1" applyAlignment="1">
      <alignment vertical="justify"/>
    </xf>
    <xf numFmtId="168" fontId="8" fillId="0" borderId="0" xfId="11" applyNumberFormat="1" applyFont="1" applyFill="1" applyBorder="1"/>
    <xf numFmtId="0" fontId="8" fillId="0" borderId="0" xfId="9" quotePrefix="1" applyFont="1" applyFill="1" applyBorder="1" applyAlignment="1">
      <alignment vertical="justify"/>
    </xf>
    <xf numFmtId="3" fontId="9" fillId="0" borderId="0" xfId="8" applyNumberFormat="1" applyFont="1" applyFill="1" applyBorder="1" applyAlignment="1">
      <alignment horizontal="center"/>
    </xf>
    <xf numFmtId="0" fontId="8" fillId="0" borderId="0" xfId="9" quotePrefix="1" applyFont="1" applyFill="1" applyBorder="1" applyAlignment="1">
      <alignment horizontal="left"/>
    </xf>
    <xf numFmtId="1" fontId="9" fillId="0" borderId="0" xfId="9" applyNumberFormat="1" applyFont="1" applyFill="1" applyBorder="1" applyAlignment="1">
      <alignment horizontal="center"/>
    </xf>
    <xf numFmtId="168" fontId="8" fillId="0" borderId="0" xfId="11" applyNumberFormat="1" applyFont="1" applyAlignment="1"/>
    <xf numFmtId="164" fontId="8" fillId="10" borderId="0" xfId="8" applyNumberFormat="1" applyFill="1" applyAlignment="1">
      <alignment horizontal="center"/>
    </xf>
    <xf numFmtId="0" fontId="8" fillId="10" borderId="3" xfId="8" applyFill="1" applyBorder="1" applyAlignment="1">
      <alignment horizontal="center"/>
    </xf>
    <xf numFmtId="3" fontId="8" fillId="10" borderId="3" xfId="8" applyNumberFormat="1" applyFill="1" applyBorder="1" applyAlignment="1">
      <alignment horizontal="center"/>
    </xf>
    <xf numFmtId="3" fontId="8" fillId="10" borderId="3" xfId="3" applyNumberFormat="1" applyFill="1" applyBorder="1" applyAlignment="1">
      <alignment horizontal="center"/>
    </xf>
    <xf numFmtId="164" fontId="8" fillId="10" borderId="3" xfId="8" applyNumberFormat="1" applyFill="1" applyBorder="1" applyAlignment="1">
      <alignment horizontal="center"/>
    </xf>
    <xf numFmtId="0" fontId="8" fillId="10" borderId="3" xfId="8" applyFill="1" applyBorder="1"/>
    <xf numFmtId="3" fontId="0" fillId="10" borderId="23" xfId="0" applyNumberFormat="1" applyFill="1" applyBorder="1" applyAlignment="1">
      <alignment horizontal="center"/>
    </xf>
    <xf numFmtId="0" fontId="6" fillId="10" borderId="0" xfId="8" applyFont="1" applyFill="1" applyAlignment="1">
      <alignment horizontal="center"/>
    </xf>
    <xf numFmtId="3" fontId="63" fillId="10" borderId="0" xfId="3" applyNumberFormat="1" applyFont="1" applyFill="1" applyAlignment="1">
      <alignment horizontal="center"/>
    </xf>
    <xf numFmtId="0" fontId="8" fillId="10" borderId="0" xfId="9" quotePrefix="1" applyFont="1" applyFill="1" applyAlignment="1">
      <alignment horizontal="left"/>
    </xf>
    <xf numFmtId="0" fontId="8" fillId="10" borderId="0" xfId="9" applyFill="1" applyAlignment="1">
      <alignment horizontal="center"/>
    </xf>
    <xf numFmtId="0" fontId="8" fillId="10" borderId="0" xfId="9" applyFill="1"/>
    <xf numFmtId="3" fontId="9" fillId="10" borderId="11" xfId="8" applyNumberFormat="1" applyFont="1" applyFill="1" applyBorder="1" applyAlignment="1">
      <alignment horizontal="center"/>
    </xf>
    <xf numFmtId="0" fontId="7" fillId="10" borderId="0" xfId="9" quotePrefix="1" applyFont="1" applyFill="1" applyBorder="1" applyAlignment="1">
      <alignment horizontal="right"/>
    </xf>
    <xf numFmtId="2" fontId="34" fillId="10" borderId="0" xfId="0" applyNumberFormat="1" applyFont="1" applyFill="1" applyBorder="1" applyAlignment="1">
      <alignment horizontal="right"/>
    </xf>
    <xf numFmtId="167" fontId="38" fillId="10" borderId="0" xfId="0" applyNumberFormat="1" applyFont="1" applyFill="1" applyBorder="1" applyAlignment="1">
      <alignment horizontal="right"/>
    </xf>
    <xf numFmtId="167" fontId="40" fillId="10" borderId="0" xfId="0" applyNumberFormat="1" applyFont="1" applyFill="1" applyBorder="1" applyAlignment="1">
      <alignment horizontal="right"/>
    </xf>
    <xf numFmtId="0" fontId="38" fillId="10" borderId="0" xfId="0" applyFont="1" applyFill="1" applyBorder="1" applyAlignment="1">
      <alignment horizontal="right"/>
    </xf>
    <xf numFmtId="2" fontId="39" fillId="10" borderId="0" xfId="0" applyNumberFormat="1" applyFont="1" applyFill="1" applyBorder="1" applyAlignment="1">
      <alignment horizontal="right"/>
    </xf>
    <xf numFmtId="0" fontId="7" fillId="10" borderId="0" xfId="3" applyNumberFormat="1" applyFont="1" applyFill="1" applyAlignment="1">
      <alignment horizontal="center"/>
    </xf>
    <xf numFmtId="0" fontId="6" fillId="10" borderId="0" xfId="9" quotePrefix="1" applyFont="1" applyFill="1" applyAlignment="1">
      <alignment horizontal="left"/>
    </xf>
    <xf numFmtId="0" fontId="9" fillId="10" borderId="0" xfId="9" applyFont="1" applyFill="1"/>
    <xf numFmtId="166" fontId="34" fillId="10" borderId="8" xfId="0" applyNumberFormat="1" applyFont="1" applyFill="1" applyBorder="1" applyAlignment="1">
      <alignment horizontal="right"/>
    </xf>
    <xf numFmtId="0" fontId="9" fillId="10" borderId="8" xfId="8" applyFont="1" applyFill="1" applyBorder="1"/>
    <xf numFmtId="0" fontId="7" fillId="10" borderId="0" xfId="9" applyFont="1" applyFill="1" applyBorder="1" applyAlignment="1">
      <alignment horizontal="right"/>
    </xf>
    <xf numFmtId="166" fontId="34" fillId="10" borderId="0" xfId="0" applyNumberFormat="1" applyFont="1" applyFill="1" applyBorder="1" applyAlignment="1">
      <alignment horizontal="right"/>
    </xf>
    <xf numFmtId="164" fontId="34" fillId="10" borderId="0" xfId="0" applyNumberFormat="1" applyFont="1" applyFill="1" applyBorder="1" applyAlignment="1">
      <alignment horizontal="right"/>
    </xf>
    <xf numFmtId="166" fontId="38" fillId="10" borderId="0" xfId="0" applyNumberFormat="1" applyFont="1" applyFill="1" applyBorder="1" applyAlignment="1">
      <alignment horizontal="right"/>
    </xf>
    <xf numFmtId="0" fontId="41" fillId="10" borderId="0" xfId="0" applyFont="1" applyFill="1" applyBorder="1" applyAlignment="1">
      <alignment horizontal="right"/>
    </xf>
    <xf numFmtId="0" fontId="3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left"/>
    </xf>
    <xf numFmtId="0" fontId="8" fillId="10" borderId="3" xfId="9" applyFont="1" applyFill="1" applyBorder="1" applyAlignment="1">
      <alignment horizontal="right"/>
    </xf>
    <xf numFmtId="0" fontId="8" fillId="10" borderId="3" xfId="9" quotePrefix="1" applyFont="1" applyFill="1" applyBorder="1" applyAlignment="1">
      <alignment horizontal="center"/>
    </xf>
    <xf numFmtId="1" fontId="8" fillId="10" borderId="0" xfId="8" applyNumberFormat="1" applyFill="1" applyAlignment="1">
      <alignment horizontal="center"/>
    </xf>
    <xf numFmtId="0" fontId="7" fillId="0" borderId="0" xfId="8" quotePrefix="1" applyFont="1" applyFill="1" applyAlignment="1">
      <alignment horizontal="left"/>
    </xf>
    <xf numFmtId="3" fontId="9" fillId="0" borderId="0" xfId="8" applyNumberFormat="1" applyFont="1" applyFill="1" applyAlignment="1">
      <alignment horizontal="center"/>
    </xf>
    <xf numFmtId="0" fontId="8" fillId="0" borderId="8" xfId="9" quotePrefix="1" applyFont="1" applyFill="1" applyBorder="1" applyAlignment="1">
      <alignment horizontal="right"/>
    </xf>
    <xf numFmtId="0" fontId="0" fillId="0" borderId="3" xfId="0" applyFill="1" applyBorder="1" applyAlignment="1">
      <alignment horizontal="left"/>
    </xf>
    <xf numFmtId="0" fontId="8" fillId="0" borderId="3" xfId="9" applyFont="1" applyFill="1" applyBorder="1" applyAlignment="1">
      <alignment horizontal="right"/>
    </xf>
    <xf numFmtId="0" fontId="8" fillId="0" borderId="3" xfId="9" quotePrefix="1" applyFont="1" applyFill="1" applyBorder="1" applyAlignment="1">
      <alignment horizontal="center"/>
    </xf>
    <xf numFmtId="166" fontId="34" fillId="0" borderId="8" xfId="0" applyNumberFormat="1" applyFont="1" applyFill="1" applyBorder="1" applyAlignment="1">
      <alignment horizontal="right"/>
    </xf>
    <xf numFmtId="167" fontId="34" fillId="0" borderId="8" xfId="0" applyNumberFormat="1" applyFont="1" applyFill="1" applyBorder="1" applyAlignment="1">
      <alignment horizontal="right"/>
    </xf>
    <xf numFmtId="164" fontId="1" fillId="0" borderId="0" xfId="8" applyNumberFormat="1" applyFont="1" applyFill="1" applyBorder="1" applyAlignment="1">
      <alignment horizontal="center"/>
    </xf>
    <xf numFmtId="0" fontId="41" fillId="0" borderId="8" xfId="0" applyFont="1" applyFill="1" applyBorder="1" applyAlignment="1">
      <alignment horizontal="right"/>
    </xf>
    <xf numFmtId="0" fontId="38" fillId="0" borderId="8" xfId="0" applyFont="1" applyFill="1" applyBorder="1" applyAlignment="1">
      <alignment horizontal="right"/>
    </xf>
    <xf numFmtId="164" fontId="80" fillId="0" borderId="0" xfId="8" applyNumberFormat="1" applyFont="1" applyFill="1" applyBorder="1" applyAlignment="1">
      <alignment horizontal="center"/>
    </xf>
    <xf numFmtId="0" fontId="7" fillId="0" borderId="0" xfId="9" quotePrefix="1" applyFont="1" applyFill="1" applyBorder="1" applyAlignment="1">
      <alignment horizontal="right"/>
    </xf>
    <xf numFmtId="0" fontId="7" fillId="0" borderId="0" xfId="9" applyFont="1" applyFill="1" applyBorder="1" applyAlignment="1">
      <alignment horizontal="right"/>
    </xf>
    <xf numFmtId="166" fontId="34" fillId="0" borderId="0" xfId="0" applyNumberFormat="1" applyFont="1" applyFill="1" applyBorder="1" applyAlignment="1">
      <alignment horizontal="right"/>
    </xf>
    <xf numFmtId="164" fontId="34" fillId="0" borderId="0" xfId="0" applyNumberFormat="1" applyFont="1" applyFill="1" applyBorder="1" applyAlignment="1">
      <alignment horizontal="right"/>
    </xf>
    <xf numFmtId="166" fontId="38" fillId="0" borderId="0" xfId="0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right"/>
    </xf>
    <xf numFmtId="0" fontId="38" fillId="0" borderId="0" xfId="0" applyFont="1" applyFill="1" applyBorder="1" applyAlignment="1">
      <alignment horizontal="right"/>
    </xf>
    <xf numFmtId="4" fontId="8" fillId="0" borderId="0" xfId="3" applyNumberFormat="1" applyFill="1" applyAlignment="1">
      <alignment horizontal="center"/>
    </xf>
    <xf numFmtId="3" fontId="6" fillId="0" borderId="0" xfId="3" applyNumberFormat="1" applyFont="1" applyFill="1" applyBorder="1" applyAlignment="1">
      <alignment horizontal="center"/>
    </xf>
    <xf numFmtId="0" fontId="7" fillId="0" borderId="0" xfId="3" applyNumberFormat="1" applyFont="1" applyFill="1" applyAlignment="1">
      <alignment horizontal="center"/>
    </xf>
    <xf numFmtId="0" fontId="7" fillId="0" borderId="0" xfId="9" quotePrefix="1" applyFont="1" applyFill="1" applyBorder="1" applyAlignment="1">
      <alignment horizontal="left"/>
    </xf>
    <xf numFmtId="0" fontId="37" fillId="0" borderId="0" xfId="0" applyFont="1" applyFill="1" applyBorder="1"/>
    <xf numFmtId="0" fontId="7" fillId="0" borderId="0" xfId="9" applyFont="1" applyFill="1" applyBorder="1"/>
    <xf numFmtId="165" fontId="38" fillId="0" borderId="0" xfId="0" applyNumberFormat="1" applyFont="1" applyFill="1" applyBorder="1" applyAlignment="1">
      <alignment horizontal="right"/>
    </xf>
    <xf numFmtId="164" fontId="38" fillId="0" borderId="0" xfId="0" applyNumberFormat="1" applyFont="1" applyFill="1" applyBorder="1" applyAlignment="1">
      <alignment horizontal="right"/>
    </xf>
    <xf numFmtId="0" fontId="7" fillId="0" borderId="0" xfId="9" quotePrefix="1" applyFont="1" applyBorder="1" applyAlignment="1">
      <alignment horizontal="center"/>
    </xf>
    <xf numFmtId="0" fontId="7" fillId="0" borderId="3" xfId="9" quotePrefix="1" applyFont="1" applyBorder="1" applyAlignment="1">
      <alignment horizontal="center"/>
    </xf>
    <xf numFmtId="0" fontId="9" fillId="0" borderId="3" xfId="8" applyFont="1" applyBorder="1" applyAlignment="1"/>
    <xf numFmtId="0" fontId="94" fillId="0" borderId="3" xfId="8" quotePrefix="1" applyFont="1" applyBorder="1" applyAlignment="1"/>
    <xf numFmtId="0" fontId="94" fillId="0" borderId="3" xfId="8" applyFont="1" applyBorder="1" applyAlignment="1"/>
    <xf numFmtId="2" fontId="4" fillId="10" borderId="9" xfId="0" applyNumberFormat="1" applyFont="1" applyFill="1" applyBorder="1"/>
    <xf numFmtId="0" fontId="4" fillId="10" borderId="0" xfId="0" applyFont="1" applyFill="1"/>
    <xf numFmtId="0" fontId="4" fillId="10" borderId="0" xfId="0" applyFont="1" applyFill="1" applyAlignment="1">
      <alignment horizontal="right"/>
    </xf>
    <xf numFmtId="0" fontId="7" fillId="0" borderId="0" xfId="9" quotePrefix="1" applyFont="1" applyAlignment="1">
      <alignment horizontal="center" vertical="justify"/>
    </xf>
    <xf numFmtId="0" fontId="8" fillId="0" borderId="0" xfId="9" quotePrefix="1" applyFont="1" applyAlignment="1">
      <alignment horizontal="center" vertical="justify"/>
    </xf>
    <xf numFmtId="0" fontId="7" fillId="0" borderId="2" xfId="10" applyFont="1" applyBorder="1" applyAlignment="1">
      <alignment horizontal="center" vertical="justify"/>
    </xf>
    <xf numFmtId="0" fontId="7" fillId="0" borderId="9" xfId="9" quotePrefix="1" applyFont="1" applyBorder="1" applyAlignment="1">
      <alignment horizontal="center"/>
    </xf>
    <xf numFmtId="0" fontId="8" fillId="0" borderId="17" xfId="9" quotePrefix="1" applyFont="1" applyBorder="1" applyAlignment="1">
      <alignment horizontal="center"/>
    </xf>
    <xf numFmtId="0" fontId="8" fillId="0" borderId="0" xfId="9" applyBorder="1" applyAlignment="1">
      <alignment horizontal="center" vertical="justify"/>
    </xf>
    <xf numFmtId="0" fontId="25" fillId="0" borderId="0" xfId="9" applyFont="1" applyBorder="1" applyAlignment="1">
      <alignment horizontal="center" vertical="justify"/>
    </xf>
    <xf numFmtId="0" fontId="8" fillId="0" borderId="16" xfId="9" applyBorder="1" applyAlignment="1">
      <alignment horizontal="center" vertical="justify"/>
    </xf>
    <xf numFmtId="0" fontId="8" fillId="0" borderId="24" xfId="9" applyBorder="1" applyAlignment="1">
      <alignment horizontal="center" vertical="justify"/>
    </xf>
    <xf numFmtId="0" fontId="8" fillId="0" borderId="25" xfId="9" applyBorder="1" applyAlignment="1">
      <alignment horizontal="center" vertical="justify"/>
    </xf>
    <xf numFmtId="0" fontId="8" fillId="0" borderId="12" xfId="9" quotePrefix="1" applyFont="1" applyBorder="1" applyAlignment="1">
      <alignment horizontal="center" vertical="justify"/>
    </xf>
    <xf numFmtId="0" fontId="8" fillId="0" borderId="12" xfId="9" applyFont="1" applyBorder="1" applyAlignment="1">
      <alignment horizontal="center" vertical="justify"/>
    </xf>
    <xf numFmtId="0" fontId="8" fillId="0" borderId="9" xfId="9" applyBorder="1" applyAlignment="1">
      <alignment horizontal="center" vertical="justify"/>
    </xf>
    <xf numFmtId="0" fontId="8" fillId="0" borderId="17" xfId="9" applyBorder="1" applyAlignment="1">
      <alignment horizontal="center" vertical="justify"/>
    </xf>
    <xf numFmtId="0" fontId="6" fillId="0" borderId="3" xfId="8" quotePrefix="1" applyFont="1" applyBorder="1" applyAlignment="1">
      <alignment horizontal="left"/>
    </xf>
    <xf numFmtId="0" fontId="9" fillId="0" borderId="3" xfId="8" quotePrefix="1" applyFont="1" applyBorder="1" applyAlignment="1">
      <alignment horizontal="left"/>
    </xf>
    <xf numFmtId="0" fontId="94" fillId="0" borderId="3" xfId="8" quotePrefix="1" applyFont="1" applyBorder="1" applyAlignment="1">
      <alignment horizontal="left"/>
    </xf>
    <xf numFmtId="0" fontId="8" fillId="0" borderId="0" xfId="9" applyFont="1" applyAlignment="1">
      <alignment horizontal="center" vertical="justify"/>
    </xf>
    <xf numFmtId="0" fontId="7" fillId="0" borderId="9" xfId="10" applyFont="1" applyBorder="1" applyAlignment="1">
      <alignment horizontal="center" vertical="justify"/>
    </xf>
    <xf numFmtId="0" fontId="7" fillId="0" borderId="10" xfId="10" applyFont="1" applyBorder="1" applyAlignment="1">
      <alignment horizontal="center" vertical="justify"/>
    </xf>
    <xf numFmtId="0" fontId="7" fillId="0" borderId="17" xfId="10" applyFont="1" applyBorder="1" applyAlignment="1">
      <alignment horizontal="center" vertical="justify"/>
    </xf>
    <xf numFmtId="0" fontId="5" fillId="3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89" fillId="12" borderId="9" xfId="0" applyFont="1" applyFill="1" applyBorder="1" applyAlignment="1">
      <alignment horizontal="center"/>
    </xf>
    <xf numFmtId="0" fontId="89" fillId="12" borderId="10" xfId="0" applyFont="1" applyFill="1" applyBorder="1" applyAlignment="1">
      <alignment horizontal="center"/>
    </xf>
    <xf numFmtId="0" fontId="89" fillId="12" borderId="17" xfId="0" applyFont="1" applyFill="1" applyBorder="1" applyAlignment="1">
      <alignment horizontal="center"/>
    </xf>
    <xf numFmtId="0" fontId="16" fillId="0" borderId="4" xfId="0" quotePrefix="1" applyFont="1" applyBorder="1" applyAlignment="1">
      <alignment horizontal="center"/>
    </xf>
    <xf numFmtId="0" fontId="16" fillId="0" borderId="13" xfId="0" quotePrefix="1" applyFont="1" applyBorder="1" applyAlignment="1">
      <alignment horizontal="center"/>
    </xf>
    <xf numFmtId="0" fontId="16" fillId="0" borderId="19" xfId="0" quotePrefix="1" applyFont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34" fillId="0" borderId="3" xfId="0" quotePrefix="1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34" fillId="0" borderId="9" xfId="0" applyFont="1" applyFill="1" applyBorder="1" applyAlignment="1">
      <alignment horizontal="center"/>
    </xf>
    <xf numFmtId="0" fontId="34" fillId="0" borderId="10" xfId="0" applyFont="1" applyFill="1" applyBorder="1" applyAlignment="1">
      <alignment horizontal="center"/>
    </xf>
    <xf numFmtId="0" fontId="34" fillId="0" borderId="17" xfId="0" applyFont="1" applyFill="1" applyBorder="1" applyAlignment="1">
      <alignment horizontal="center"/>
    </xf>
    <xf numFmtId="182" fontId="2" fillId="0" borderId="9" xfId="0" quotePrefix="1" applyNumberFormat="1" applyFont="1" applyFill="1" applyBorder="1" applyAlignment="1">
      <alignment horizontal="center"/>
    </xf>
    <xf numFmtId="182" fontId="34" fillId="0" borderId="10" xfId="0" applyNumberFormat="1" applyFont="1" applyFill="1" applyBorder="1" applyAlignment="1">
      <alignment horizontal="center"/>
    </xf>
    <xf numFmtId="182" fontId="34" fillId="0" borderId="17" xfId="0" applyNumberFormat="1" applyFont="1" applyFill="1" applyBorder="1" applyAlignment="1">
      <alignment horizontal="center"/>
    </xf>
    <xf numFmtId="0" fontId="34" fillId="0" borderId="9" xfId="0" quotePrefix="1" applyFont="1" applyFill="1" applyBorder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7" xfId="0" applyBorder="1" applyAlignment="1">
      <alignment horizontal="center"/>
    </xf>
    <xf numFmtId="17" fontId="2" fillId="0" borderId="9" xfId="0" quotePrefix="1" applyNumberFormat="1" applyFont="1" applyFill="1" applyBorder="1" applyAlignment="1">
      <alignment horizontal="center"/>
    </xf>
    <xf numFmtId="0" fontId="40" fillId="0" borderId="9" xfId="0" quotePrefix="1" applyFont="1" applyBorder="1" applyAlignment="1">
      <alignment horizontal="center"/>
    </xf>
    <xf numFmtId="0" fontId="40" fillId="0" borderId="10" xfId="0" quotePrefix="1" applyFont="1" applyBorder="1" applyAlignment="1">
      <alignment horizontal="center"/>
    </xf>
    <xf numFmtId="0" fontId="40" fillId="0" borderId="17" xfId="0" quotePrefix="1" applyFont="1" applyBorder="1" applyAlignment="1">
      <alignment horizontal="center"/>
    </xf>
    <xf numFmtId="0" fontId="34" fillId="13" borderId="0" xfId="0" applyFont="1" applyFill="1" applyBorder="1" applyAlignment="1">
      <alignment horizontal="center"/>
    </xf>
    <xf numFmtId="0" fontId="51" fillId="13" borderId="9" xfId="0" quotePrefix="1" applyFont="1" applyFill="1" applyBorder="1" applyAlignment="1">
      <alignment horizontal="center"/>
    </xf>
    <xf numFmtId="0" fontId="51" fillId="13" borderId="10" xfId="0" applyFont="1" applyFill="1" applyBorder="1" applyAlignment="1">
      <alignment horizontal="center"/>
    </xf>
    <xf numFmtId="0" fontId="51" fillId="13" borderId="17" xfId="0" applyFont="1" applyFill="1" applyBorder="1" applyAlignment="1">
      <alignment horizontal="center"/>
    </xf>
    <xf numFmtId="0" fontId="51" fillId="0" borderId="9" xfId="0" quotePrefix="1" applyFont="1" applyBorder="1" applyAlignment="1">
      <alignment horizontal="center"/>
    </xf>
    <xf numFmtId="0" fontId="51" fillId="0" borderId="10" xfId="0" quotePrefix="1" applyFont="1" applyBorder="1" applyAlignment="1">
      <alignment horizontal="center"/>
    </xf>
    <xf numFmtId="0" fontId="51" fillId="0" borderId="17" xfId="0" quotePrefix="1" applyFont="1" applyBorder="1" applyAlignment="1">
      <alignment horizontal="center"/>
    </xf>
    <xf numFmtId="182" fontId="34" fillId="0" borderId="0" xfId="0" applyNumberFormat="1" applyFont="1" applyBorder="1" applyAlignment="1">
      <alignment horizontal="center"/>
    </xf>
    <xf numFmtId="0" fontId="40" fillId="0" borderId="16" xfId="0" quotePrefix="1" applyFont="1" applyBorder="1" applyAlignment="1">
      <alignment horizontal="center"/>
    </xf>
    <xf numFmtId="0" fontId="40" fillId="0" borderId="24" xfId="0" applyFont="1" applyBorder="1" applyAlignment="1">
      <alignment horizontal="center"/>
    </xf>
    <xf numFmtId="0" fontId="40" fillId="0" borderId="25" xfId="0" applyFont="1" applyBorder="1" applyAlignment="1">
      <alignment horizontal="center"/>
    </xf>
    <xf numFmtId="0" fontId="51" fillId="0" borderId="16" xfId="0" quotePrefix="1" applyFont="1" applyBorder="1" applyAlignment="1">
      <alignment horizontal="center"/>
    </xf>
    <xf numFmtId="0" fontId="51" fillId="0" borderId="24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2" fillId="15" borderId="9" xfId="0" quotePrefix="1" applyFont="1" applyFill="1" applyBorder="1" applyAlignment="1">
      <alignment horizontal="center"/>
    </xf>
    <xf numFmtId="0" fontId="34" fillId="15" borderId="10" xfId="0" applyFont="1" applyFill="1" applyBorder="1" applyAlignment="1">
      <alignment horizontal="center"/>
    </xf>
    <xf numFmtId="0" fontId="34" fillId="15" borderId="17" xfId="0" applyFont="1" applyFill="1" applyBorder="1" applyAlignment="1">
      <alignment horizontal="center"/>
    </xf>
    <xf numFmtId="17" fontId="34" fillId="0" borderId="9" xfId="0" quotePrefix="1" applyNumberFormat="1" applyFont="1" applyFill="1" applyBorder="1" applyAlignment="1">
      <alignment horizontal="center"/>
    </xf>
    <xf numFmtId="0" fontId="51" fillId="13" borderId="10" xfId="0" quotePrefix="1" applyFont="1" applyFill="1" applyBorder="1" applyAlignment="1">
      <alignment horizontal="center"/>
    </xf>
    <xf numFmtId="0" fontId="51" fillId="13" borderId="17" xfId="0" quotePrefix="1" applyFont="1" applyFill="1" applyBorder="1" applyAlignment="1">
      <alignment horizontal="center"/>
    </xf>
    <xf numFmtId="0" fontId="34" fillId="3" borderId="9" xfId="0" quotePrefix="1" applyFont="1" applyFill="1" applyBorder="1" applyAlignment="1">
      <alignment horizontal="center"/>
    </xf>
    <xf numFmtId="0" fontId="34" fillId="3" borderId="10" xfId="0" applyFont="1" applyFill="1" applyBorder="1" applyAlignment="1">
      <alignment horizontal="center"/>
    </xf>
    <xf numFmtId="0" fontId="34" fillId="3" borderId="17" xfId="0" applyFont="1" applyFill="1" applyBorder="1" applyAlignment="1">
      <alignment horizontal="center"/>
    </xf>
    <xf numFmtId="0" fontId="40" fillId="0" borderId="24" xfId="0" quotePrefix="1" applyFont="1" applyBorder="1" applyAlignment="1">
      <alignment horizontal="center"/>
    </xf>
    <xf numFmtId="0" fontId="40" fillId="0" borderId="25" xfId="0" quotePrefix="1" applyFont="1" applyBorder="1" applyAlignment="1">
      <alignment horizontal="center"/>
    </xf>
    <xf numFmtId="0" fontId="51" fillId="0" borderId="24" xfId="0" quotePrefix="1" applyFont="1" applyBorder="1" applyAlignment="1">
      <alignment horizontal="center"/>
    </xf>
    <xf numFmtId="0" fontId="51" fillId="0" borderId="25" xfId="0" quotePrefix="1" applyFont="1" applyBorder="1" applyAlignment="1">
      <alignment horizontal="center"/>
    </xf>
    <xf numFmtId="17" fontId="2" fillId="3" borderId="9" xfId="0" quotePrefix="1" applyNumberFormat="1" applyFont="1" applyFill="1" applyBorder="1" applyAlignment="1">
      <alignment horizontal="center"/>
    </xf>
    <xf numFmtId="0" fontId="34" fillId="19" borderId="9" xfId="0" quotePrefix="1" applyFont="1" applyFill="1" applyBorder="1" applyAlignment="1">
      <alignment horizontal="center"/>
    </xf>
    <xf numFmtId="0" fontId="34" fillId="19" borderId="10" xfId="0" applyFont="1" applyFill="1" applyBorder="1" applyAlignment="1">
      <alignment horizontal="center"/>
    </xf>
    <xf numFmtId="0" fontId="34" fillId="19" borderId="17" xfId="0" applyFont="1" applyFill="1" applyBorder="1" applyAlignment="1">
      <alignment horizontal="center"/>
    </xf>
    <xf numFmtId="0" fontId="25" fillId="0" borderId="0" xfId="7" applyFont="1" applyAlignment="1">
      <alignment horizontal="center"/>
    </xf>
    <xf numFmtId="0" fontId="9" fillId="0" borderId="1" xfId="7" quotePrefix="1" applyFont="1" applyBorder="1" applyAlignment="1">
      <alignment horizontal="center"/>
    </xf>
    <xf numFmtId="0" fontId="8" fillId="0" borderId="0" xfId="7" applyAlignment="1">
      <alignment horizontal="center"/>
    </xf>
    <xf numFmtId="0" fontId="9" fillId="0" borderId="0" xfId="7" applyFont="1" applyAlignment="1">
      <alignment horizontal="center"/>
    </xf>
    <xf numFmtId="0" fontId="9" fillId="0" borderId="0" xfId="7" quotePrefix="1" applyFont="1" applyAlignment="1">
      <alignment horizontal="center"/>
    </xf>
    <xf numFmtId="0" fontId="8" fillId="0" borderId="0" xfId="7" quotePrefix="1" applyFont="1" applyAlignment="1">
      <alignment horizontal="center"/>
    </xf>
    <xf numFmtId="0" fontId="2" fillId="0" borderId="9" xfId="0" quotePrefix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7" xfId="0" applyFont="1" applyBorder="1" applyAlignment="1">
      <alignment horizontal="center"/>
    </xf>
  </cellXfs>
  <cellStyles count="12">
    <cellStyle name="Comma" xfId="1" builtinId="3"/>
    <cellStyle name="Comma_Data" xfId="2"/>
    <cellStyle name="Comma_mopkfcst" xfId="3"/>
    <cellStyle name="Comma_seasnlpk" xfId="4"/>
    <cellStyle name="Hyperlink" xfId="5" builtinId="8"/>
    <cellStyle name="Normal" xfId="0" builtinId="0"/>
    <cellStyle name="Normal_Book1" xfId="6"/>
    <cellStyle name="Normal_Book2" xfId="7"/>
    <cellStyle name="Normal_mopkfcst" xfId="8"/>
    <cellStyle name="Normal_seasnlpk" xfId="9"/>
    <cellStyle name="Normal_Winter" xfId="10"/>
    <cellStyle name="Percent" xfId="1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29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25.xml"/><Relationship Id="rId59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0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32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49" Type="http://schemas.openxmlformats.org/officeDocument/2006/relationships/externalLink" Target="externalLinks/externalLink28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4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31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27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0.xml"/><Relationship Id="rId3" Type="http://schemas.openxmlformats.org/officeDocument/2006/relationships/worksheet" Target="worksheets/sheet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r>
              <a:rPr lang="en-US">
                <a:solidFill>
                  <a:sysClr val="windowText" lastClr="000000"/>
                </a:solidFill>
              </a:rPr>
              <a:t>Firm Retail Demand - Winter Peak Before DLC &amp;  EE </a:t>
            </a:r>
          </a:p>
        </c:rich>
      </c:tx>
      <c:layout>
        <c:manualLayout>
          <c:xMode val="edge"/>
          <c:yMode val="edge"/>
          <c:x val="0.29285437174725892"/>
          <c:y val="4.89926338020010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31011101908629E-2"/>
          <c:y val="0.14482862572457667"/>
          <c:w val="0.89076923076923076"/>
          <c:h val="0.65094296041765154"/>
        </c:manualLayout>
      </c:layout>
      <c:lineChart>
        <c:grouping val="standard"/>
        <c:ser>
          <c:idx val="1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plus"/>
            <c:size val="3"/>
            <c:spPr>
              <a:noFill/>
              <a:ln w="9525">
                <a:noFill/>
              </a:ln>
            </c:spPr>
          </c:marker>
          <c:cat>
            <c:numRef>
              <c:f>Winter!$AG$25:$AG$53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Winter!$AH$25:$AH$53</c:f>
              <c:numCache>
                <c:formatCode>#,##0_);\(#,##0\)</c:formatCode>
                <c:ptCount val="29"/>
                <c:pt idx="0">
                  <c:v>5763.2434387856429</c:v>
                </c:pt>
                <c:pt idx="1">
                  <c:v>5929.4674395613647</c:v>
                </c:pt>
                <c:pt idx="2">
                  <c:v>5725.8130660555562</c:v>
                </c:pt>
                <c:pt idx="3">
                  <c:v>7350.1527825594803</c:v>
                </c:pt>
                <c:pt idx="4">
                  <c:v>8477.7203334661881</c:v>
                </c:pt>
                <c:pt idx="5">
                  <c:v>6588.2032539214597</c:v>
                </c:pt>
                <c:pt idx="6">
                  <c:v>6040.1856784802858</c:v>
                </c:pt>
                <c:pt idx="7">
                  <c:v>7947.7487787452465</c:v>
                </c:pt>
                <c:pt idx="8">
                  <c:v>7651.7</c:v>
                </c:pt>
                <c:pt idx="9">
                  <c:v>8213.8139584824621</c:v>
                </c:pt>
                <c:pt idx="10">
                  <c:v>8242.0999999999985</c:v>
                </c:pt>
                <c:pt idx="11">
                  <c:v>8448.8918187410291</c:v>
                </c:pt>
                <c:pt idx="12">
                  <c:v>7159.7483408439157</c:v>
                </c:pt>
                <c:pt idx="13">
                  <c:v>8209.6128328553878</c:v>
                </c:pt>
                <c:pt idx="14">
                  <c:v>8333.4379638147821</c:v>
                </c:pt>
                <c:pt idx="15">
                  <c:v>7213</c:v>
                </c:pt>
                <c:pt idx="16">
                  <c:v>8057.9117241537988</c:v>
                </c:pt>
                <c:pt idx="17">
                  <c:v>8713.910243304028</c:v>
                </c:pt>
                <c:pt idx="18">
                  <c:v>10330.040472054765</c:v>
                </c:pt>
                <c:pt idx="19">
                  <c:v>8601.5238581792182</c:v>
                </c:pt>
                <c:pt idx="20">
                  <c:v>7523.403623040912</c:v>
                </c:pt>
                <c:pt idx="21">
                  <c:v>6846</c:v>
                </c:pt>
              </c:numCache>
            </c:numRef>
          </c:val>
        </c:ser>
        <c:ser>
          <c:idx val="4"/>
          <c:order val="1"/>
          <c:tx>
            <c:strRef>
              <c:f>Winter!$AO$6</c:f>
              <c:strCache>
                <c:ptCount val="1"/>
                <c:pt idx="0">
                  <c:v>Pred.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Winter!$AG$25:$AG$53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Winter!$AO$25:$AO$53</c:f>
              <c:numCache>
                <c:formatCode>General</c:formatCode>
                <c:ptCount val="29"/>
                <c:pt idx="0">
                  <c:v>5875</c:v>
                </c:pt>
                <c:pt idx="1">
                  <c:v>6189</c:v>
                </c:pt>
                <c:pt idx="2">
                  <c:v>5910</c:v>
                </c:pt>
                <c:pt idx="3">
                  <c:v>7462</c:v>
                </c:pt>
                <c:pt idx="4">
                  <c:v>8351</c:v>
                </c:pt>
                <c:pt idx="5">
                  <c:v>6421</c:v>
                </c:pt>
                <c:pt idx="6">
                  <c:v>5658</c:v>
                </c:pt>
                <c:pt idx="7">
                  <c:v>7858</c:v>
                </c:pt>
                <c:pt idx="8">
                  <c:v>7537</c:v>
                </c:pt>
                <c:pt idx="9">
                  <c:v>7976</c:v>
                </c:pt>
                <c:pt idx="10">
                  <c:v>8022</c:v>
                </c:pt>
                <c:pt idx="11">
                  <c:v>8772</c:v>
                </c:pt>
                <c:pt idx="12">
                  <c:v>7249</c:v>
                </c:pt>
                <c:pt idx="13">
                  <c:v>8493</c:v>
                </c:pt>
                <c:pt idx="14">
                  <c:v>8203</c:v>
                </c:pt>
                <c:pt idx="15">
                  <c:v>7429</c:v>
                </c:pt>
                <c:pt idx="16">
                  <c:v>8118</c:v>
                </c:pt>
                <c:pt idx="17">
                  <c:v>8773</c:v>
                </c:pt>
                <c:pt idx="18">
                  <c:v>10176</c:v>
                </c:pt>
                <c:pt idx="19">
                  <c:v>8567</c:v>
                </c:pt>
                <c:pt idx="20">
                  <c:v>7579</c:v>
                </c:pt>
                <c:pt idx="21">
                  <c:v>6747</c:v>
                </c:pt>
              </c:numCache>
            </c:numRef>
          </c:val>
        </c:ser>
        <c:ser>
          <c:idx val="0"/>
          <c:order val="2"/>
          <c:tx>
            <c:strRef>
              <c:f>Winter!$BJ$12</c:f>
              <c:strCache>
                <c:ptCount val="1"/>
                <c:pt idx="0">
                  <c:v>Pred w/Norm</c:v>
                </c:pt>
              </c:strCache>
            </c:strRef>
          </c:tx>
          <c:spPr>
            <a:ln w="28575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Winter!$AG$25:$AG$53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Winter!$BJ$25:$BJ$53</c:f>
              <c:numCache>
                <c:formatCode>General</c:formatCode>
                <c:ptCount val="29"/>
                <c:pt idx="0">
                  <c:v>6461</c:v>
                </c:pt>
                <c:pt idx="1">
                  <c:v>6607</c:v>
                </c:pt>
                <c:pt idx="2">
                  <c:v>6830</c:v>
                </c:pt>
                <c:pt idx="3">
                  <c:v>6981</c:v>
                </c:pt>
                <c:pt idx="4">
                  <c:v>7138</c:v>
                </c:pt>
                <c:pt idx="5">
                  <c:v>6338</c:v>
                </c:pt>
                <c:pt idx="6">
                  <c:v>7373</c:v>
                </c:pt>
                <c:pt idx="7">
                  <c:v>7523</c:v>
                </c:pt>
                <c:pt idx="8">
                  <c:v>7704</c:v>
                </c:pt>
                <c:pt idx="9">
                  <c:v>7934</c:v>
                </c:pt>
                <c:pt idx="10">
                  <c:v>8106</c:v>
                </c:pt>
                <c:pt idx="11">
                  <c:v>8291</c:v>
                </c:pt>
                <c:pt idx="12">
                  <c:v>8504</c:v>
                </c:pt>
                <c:pt idx="13">
                  <c:v>8702</c:v>
                </c:pt>
                <c:pt idx="14">
                  <c:v>8914</c:v>
                </c:pt>
                <c:pt idx="15">
                  <c:v>8141</c:v>
                </c:pt>
                <c:pt idx="16">
                  <c:v>7679</c:v>
                </c:pt>
                <c:pt idx="17">
                  <c:v>9087</c:v>
                </c:pt>
                <c:pt idx="18">
                  <c:v>9068</c:v>
                </c:pt>
                <c:pt idx="19">
                  <c:v>8379</c:v>
                </c:pt>
                <c:pt idx="20">
                  <c:v>7725</c:v>
                </c:pt>
                <c:pt idx="21">
                  <c:v>7333</c:v>
                </c:pt>
              </c:numCache>
            </c:numRef>
          </c:val>
        </c:ser>
        <c:ser>
          <c:idx val="2"/>
          <c:order val="3"/>
          <c:tx>
            <c:strRef>
              <c:f>Winter!$AR$7</c:f>
              <c:strCache>
                <c:ptCount val="1"/>
                <c:pt idx="0">
                  <c:v>Fall'13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Winter!$AG$25:$AG$53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Winter!$AR$25:$AR$53</c:f>
              <c:numCache>
                <c:formatCode>General</c:formatCode>
                <c:ptCount val="29"/>
                <c:pt idx="22">
                  <c:v>8887</c:v>
                </c:pt>
                <c:pt idx="23">
                  <c:v>8754</c:v>
                </c:pt>
                <c:pt idx="24">
                  <c:v>9055</c:v>
                </c:pt>
                <c:pt idx="25">
                  <c:v>9355</c:v>
                </c:pt>
                <c:pt idx="26">
                  <c:v>9653</c:v>
                </c:pt>
                <c:pt idx="27">
                  <c:v>9797</c:v>
                </c:pt>
                <c:pt idx="28">
                  <c:v>9935</c:v>
                </c:pt>
              </c:numCache>
            </c:numRef>
          </c:val>
        </c:ser>
        <c:ser>
          <c:idx val="3"/>
          <c:order val="4"/>
          <c:tx>
            <c:strRef>
              <c:f>Winter!$AS$7</c:f>
              <c:strCache>
                <c:ptCount val="1"/>
                <c:pt idx="0">
                  <c:v>TYSP'13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Winter!$AG$25:$AG$53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Winter!$AS$25:$AS$53</c:f>
              <c:numCache>
                <c:formatCode>General</c:formatCode>
                <c:ptCount val="29"/>
                <c:pt idx="22" formatCode="#,##0_);[Red]\(#,##0\)">
                  <c:v>10060</c:v>
                </c:pt>
                <c:pt idx="23" formatCode="#,##0_);[Red]\(#,##0\)">
                  <c:v>10248</c:v>
                </c:pt>
                <c:pt idx="24" formatCode="#,##0_);[Red]\(#,##0\)">
                  <c:v>10441</c:v>
                </c:pt>
                <c:pt idx="25" formatCode="#,##0_);[Red]\(#,##0\)">
                  <c:v>10633</c:v>
                </c:pt>
                <c:pt idx="26" formatCode="#,##0_);[Red]\(#,##0\)">
                  <c:v>10832</c:v>
                </c:pt>
                <c:pt idx="27" formatCode="#,##0_);[Red]\(#,##0\)">
                  <c:v>11034</c:v>
                </c:pt>
                <c:pt idx="28" formatCode="#,##0_);[Red]\(#,##0\)">
                  <c:v>11235</c:v>
                </c:pt>
              </c:numCache>
            </c:numRef>
          </c:val>
        </c:ser>
        <c:marker val="1"/>
        <c:axId val="228805248"/>
        <c:axId val="228827520"/>
      </c:lineChart>
      <c:catAx>
        <c:axId val="228805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8827520"/>
        <c:crosses val="autoZero"/>
        <c:auto val="1"/>
        <c:lblAlgn val="ctr"/>
        <c:lblOffset val="100"/>
        <c:tickLblSkip val="2"/>
        <c:tickMarkSkip val="2"/>
      </c:catAx>
      <c:valAx>
        <c:axId val="228827520"/>
        <c:scaling>
          <c:orientation val="minMax"/>
          <c:max val="14000"/>
          <c:min val="2000"/>
        </c:scaling>
        <c:axPos val="l"/>
        <c:majorGridlines/>
        <c:numFmt formatCode="#,##0_);\(#,##0\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88052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018248190715452"/>
          <c:y val="0.93438586561459935"/>
          <c:w val="0.77362818872204453"/>
          <c:h val="5.7743004111800923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&amp; Cuml EE - April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9.8916120051183706E-2"/>
          <c:y val="9.4519555425942245E-2"/>
          <c:w val="0.86585480428366779"/>
          <c:h val="0.71658002926624975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Apr!$AD$73:$AD$101</c:f>
              <c:numCache>
                <c:formatCode>General</c:formatCode>
                <c:ptCount val="29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Apr!$AK$73:$AK$101</c:f>
              <c:numCache>
                <c:formatCode>#,##0</c:formatCode>
                <c:ptCount val="29"/>
                <c:pt idx="0">
                  <c:v>178</c:v>
                </c:pt>
                <c:pt idx="1">
                  <c:v>136</c:v>
                </c:pt>
                <c:pt idx="2">
                  <c:v>-85</c:v>
                </c:pt>
                <c:pt idx="3">
                  <c:v>-435</c:v>
                </c:pt>
                <c:pt idx="4">
                  <c:v>-99</c:v>
                </c:pt>
                <c:pt idx="5">
                  <c:v>-135</c:v>
                </c:pt>
                <c:pt idx="6">
                  <c:v>-63.521602139286188</c:v>
                </c:pt>
                <c:pt idx="7">
                  <c:v>313.09982560167373</c:v>
                </c:pt>
                <c:pt idx="8">
                  <c:v>-123.50137720761904</c:v>
                </c:pt>
                <c:pt idx="9">
                  <c:v>-135.39024524940942</c:v>
                </c:pt>
                <c:pt idx="10">
                  <c:v>-14.547749696283972</c:v>
                </c:pt>
                <c:pt idx="11">
                  <c:v>-58.94153208449552</c:v>
                </c:pt>
                <c:pt idx="12">
                  <c:v>222.2365175219602</c:v>
                </c:pt>
                <c:pt idx="13">
                  <c:v>27.79741789788568</c:v>
                </c:pt>
                <c:pt idx="14">
                  <c:v>401.61020949053272</c:v>
                </c:pt>
                <c:pt idx="15">
                  <c:v>-46.75</c:v>
                </c:pt>
                <c:pt idx="16">
                  <c:v>38.350000000000364</c:v>
                </c:pt>
                <c:pt idx="17">
                  <c:v>293.39999999999964</c:v>
                </c:pt>
                <c:pt idx="18">
                  <c:v>264.30000000000018</c:v>
                </c:pt>
                <c:pt idx="19">
                  <c:v>-98.899999999999636</c:v>
                </c:pt>
                <c:pt idx="20">
                  <c:v>-130.80000000000018</c:v>
                </c:pt>
                <c:pt idx="21">
                  <c:v>-88.5</c:v>
                </c:pt>
                <c:pt idx="22">
                  <c:v>95</c:v>
                </c:pt>
                <c:pt idx="23">
                  <c:v>72</c:v>
                </c:pt>
                <c:pt idx="24">
                  <c:v>-157</c:v>
                </c:pt>
                <c:pt idx="25">
                  <c:v>-14</c:v>
                </c:pt>
                <c:pt idx="26">
                  <c:v>-148</c:v>
                </c:pt>
                <c:pt idx="27">
                  <c:v>-46</c:v>
                </c:pt>
                <c:pt idx="28">
                  <c:v>-162</c:v>
                </c:pt>
              </c:numCache>
            </c:numRef>
          </c:val>
        </c:ser>
        <c:marker val="1"/>
        <c:axId val="232249984"/>
        <c:axId val="232259968"/>
      </c:lineChart>
      <c:catAx>
        <c:axId val="232249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259968"/>
        <c:crosses val="autoZero"/>
        <c:auto val="1"/>
        <c:lblAlgn val="ctr"/>
        <c:lblOffset val="100"/>
        <c:tickLblSkip val="2"/>
        <c:tickMarkSkip val="2"/>
      </c:catAx>
      <c:valAx>
        <c:axId val="232259968"/>
        <c:scaling>
          <c:orientation val="minMax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2499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479698869977084"/>
          <c:y val="0.92424446944131977"/>
          <c:w val="0.71409332516070201"/>
          <c:h val="6.0606131130160903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- May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310748685156092"/>
          <c:y val="9.3531389251100064E-2"/>
          <c:w val="0.8601706779808489"/>
          <c:h val="0.69127869027955935"/>
        </c:manualLayout>
      </c:layout>
      <c:lineChart>
        <c:grouping val="standard"/>
        <c:ser>
          <c:idx val="0"/>
          <c:order val="0"/>
          <c:tx>
            <c:strRef>
              <c:f>May!$AE$6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May!$AD$16:$AD$53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May!$AE$16:$AE$53</c:f>
              <c:numCache>
                <c:formatCode>#,##0</c:formatCode>
                <c:ptCount val="38"/>
                <c:pt idx="0">
                  <c:v>2791</c:v>
                </c:pt>
                <c:pt idx="1">
                  <c:v>3126</c:v>
                </c:pt>
                <c:pt idx="2">
                  <c:v>3408</c:v>
                </c:pt>
                <c:pt idx="3">
                  <c:v>3557</c:v>
                </c:pt>
                <c:pt idx="4">
                  <c:v>3377</c:v>
                </c:pt>
                <c:pt idx="5">
                  <c:v>3526</c:v>
                </c:pt>
                <c:pt idx="6">
                  <c:v>4463</c:v>
                </c:pt>
                <c:pt idx="7">
                  <c:v>4511.5543657714215</c:v>
                </c:pt>
                <c:pt idx="8">
                  <c:v>4609.0657830484824</c:v>
                </c:pt>
                <c:pt idx="9">
                  <c:v>4139.8525131336883</c:v>
                </c:pt>
                <c:pt idx="10">
                  <c:v>4283.8020151508181</c:v>
                </c:pt>
                <c:pt idx="11">
                  <c:v>5069.2436871783066</c:v>
                </c:pt>
                <c:pt idx="12">
                  <c:v>5683.3027416607383</c:v>
                </c:pt>
                <c:pt idx="13">
                  <c:v>5345.1612237279132</c:v>
                </c:pt>
                <c:pt idx="14">
                  <c:v>5719.5023124131994</c:v>
                </c:pt>
                <c:pt idx="15">
                  <c:v>6029.0736442664238</c:v>
                </c:pt>
                <c:pt idx="16">
                  <c:v>5907.8977441948809</c:v>
                </c:pt>
                <c:pt idx="17">
                  <c:v>6601.73</c:v>
                </c:pt>
                <c:pt idx="18">
                  <c:v>6536.4</c:v>
                </c:pt>
                <c:pt idx="19">
                  <c:v>6687.3</c:v>
                </c:pt>
                <c:pt idx="20">
                  <c:v>6979.3</c:v>
                </c:pt>
                <c:pt idx="21">
                  <c:v>7223.4</c:v>
                </c:pt>
                <c:pt idx="22">
                  <c:v>7032.7999999999993</c:v>
                </c:pt>
                <c:pt idx="23">
                  <c:v>7116.9</c:v>
                </c:pt>
                <c:pt idx="24">
                  <c:v>6743</c:v>
                </c:pt>
                <c:pt idx="25">
                  <c:v>7321</c:v>
                </c:pt>
                <c:pt idx="26">
                  <c:v>7162</c:v>
                </c:pt>
                <c:pt idx="27">
                  <c:v>7109</c:v>
                </c:pt>
                <c:pt idx="28">
                  <c:v>7167</c:v>
                </c:pt>
                <c:pt idx="29">
                  <c:v>7131</c:v>
                </c:pt>
                <c:pt idx="30">
                  <c:v>6864</c:v>
                </c:pt>
              </c:numCache>
            </c:numRef>
          </c:val>
        </c:ser>
        <c:ser>
          <c:idx val="3"/>
          <c:order val="1"/>
          <c:tx>
            <c:v>Predicted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May!$AJ$16:$AJ$49</c:f>
              <c:numCache>
                <c:formatCode>#,##0</c:formatCode>
                <c:ptCount val="34"/>
                <c:pt idx="0">
                  <c:v>2604</c:v>
                </c:pt>
                <c:pt idx="1">
                  <c:v>3055</c:v>
                </c:pt>
                <c:pt idx="2">
                  <c:v>3487</c:v>
                </c:pt>
                <c:pt idx="3">
                  <c:v>3665</c:v>
                </c:pt>
                <c:pt idx="4">
                  <c:v>3390</c:v>
                </c:pt>
                <c:pt idx="5">
                  <c:v>3592</c:v>
                </c:pt>
                <c:pt idx="6">
                  <c:v>4544</c:v>
                </c:pt>
                <c:pt idx="7">
                  <c:v>4615</c:v>
                </c:pt>
                <c:pt idx="8">
                  <c:v>4678</c:v>
                </c:pt>
                <c:pt idx="9">
                  <c:v>4297</c:v>
                </c:pt>
                <c:pt idx="10">
                  <c:v>4205</c:v>
                </c:pt>
                <c:pt idx="11">
                  <c:v>5096</c:v>
                </c:pt>
                <c:pt idx="12">
                  <c:v>5490</c:v>
                </c:pt>
                <c:pt idx="13">
                  <c:v>5559</c:v>
                </c:pt>
                <c:pt idx="14">
                  <c:v>5669</c:v>
                </c:pt>
                <c:pt idx="15">
                  <c:v>5915</c:v>
                </c:pt>
                <c:pt idx="16">
                  <c:v>5922</c:v>
                </c:pt>
                <c:pt idx="17">
                  <c:v>6550</c:v>
                </c:pt>
                <c:pt idx="18">
                  <c:v>6477</c:v>
                </c:pt>
                <c:pt idx="19">
                  <c:v>6879</c:v>
                </c:pt>
                <c:pt idx="20">
                  <c:v>6900</c:v>
                </c:pt>
                <c:pt idx="21">
                  <c:v>7295</c:v>
                </c:pt>
                <c:pt idx="22">
                  <c:v>6939</c:v>
                </c:pt>
                <c:pt idx="23">
                  <c:v>7129</c:v>
                </c:pt>
                <c:pt idx="24">
                  <c:v>6864</c:v>
                </c:pt>
                <c:pt idx="25">
                  <c:v>7334</c:v>
                </c:pt>
                <c:pt idx="26">
                  <c:v>7012</c:v>
                </c:pt>
                <c:pt idx="27">
                  <c:v>7147</c:v>
                </c:pt>
                <c:pt idx="28">
                  <c:v>7036</c:v>
                </c:pt>
                <c:pt idx="29">
                  <c:v>7281</c:v>
                </c:pt>
                <c:pt idx="30">
                  <c:v>6855</c:v>
                </c:pt>
              </c:numCache>
            </c:numRef>
          </c:val>
        </c:ser>
        <c:ser>
          <c:idx val="1"/>
          <c:order val="2"/>
          <c:tx>
            <c:strRef>
              <c:f>May!$BC$12</c:f>
              <c:strCache>
                <c:ptCount val="1"/>
                <c:pt idx="0">
                  <c:v>Pred w/Norm</c:v>
                </c:pt>
              </c:strCache>
            </c:strRef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May!$BC$16:$BC$53</c:f>
              <c:numCache>
                <c:formatCode>0</c:formatCode>
                <c:ptCount val="38"/>
                <c:pt idx="0">
                  <c:v>2708.869836396053</c:v>
                </c:pt>
                <c:pt idx="1">
                  <c:v>2966.8319995239735</c:v>
                </c:pt>
                <c:pt idx="2">
                  <c:v>3233.1026191235778</c:v>
                </c:pt>
                <c:pt idx="3">
                  <c:v>3480.6185540278275</c:v>
                </c:pt>
                <c:pt idx="4">
                  <c:v>3749.6302429290599</c:v>
                </c:pt>
                <c:pt idx="5">
                  <c:v>4003.8414691179096</c:v>
                </c:pt>
                <c:pt idx="6">
                  <c:v>4280.8468505518822</c:v>
                </c:pt>
                <c:pt idx="7">
                  <c:v>4500.9193045295387</c:v>
                </c:pt>
                <c:pt idx="8">
                  <c:v>4660.963652317937</c:v>
                </c:pt>
                <c:pt idx="9">
                  <c:v>4288.2191713988313</c:v>
                </c:pt>
                <c:pt idx="10">
                  <c:v>4520.6788978903069</c:v>
                </c:pt>
                <c:pt idx="11">
                  <c:v>5201.0723412159005</c:v>
                </c:pt>
                <c:pt idx="12">
                  <c:v>5288.7275406294675</c:v>
                </c:pt>
                <c:pt idx="13">
                  <c:v>5515.4428252352327</c:v>
                </c:pt>
                <c:pt idx="14">
                  <c:v>5678.1888968328922</c:v>
                </c:pt>
                <c:pt idx="15">
                  <c:v>5845.302318083387</c:v>
                </c:pt>
                <c:pt idx="16">
                  <c:v>6053.5186636941899</c:v>
                </c:pt>
                <c:pt idx="17">
                  <c:v>6287.0079305692898</c:v>
                </c:pt>
                <c:pt idx="18">
                  <c:v>6529.7761760611493</c:v>
                </c:pt>
                <c:pt idx="19">
                  <c:v>6756.3734241898119</c:v>
                </c:pt>
                <c:pt idx="20">
                  <c:v>6996.4530610365318</c:v>
                </c:pt>
                <c:pt idx="21">
                  <c:v>7242.5066551411101</c:v>
                </c:pt>
                <c:pt idx="22">
                  <c:v>6965.4045085862508</c:v>
                </c:pt>
                <c:pt idx="23">
                  <c:v>7164.0861298799045</c:v>
                </c:pt>
                <c:pt idx="24">
                  <c:v>7004.4473396039257</c:v>
                </c:pt>
                <c:pt idx="25">
                  <c:v>7359.8430695742118</c:v>
                </c:pt>
                <c:pt idx="26">
                  <c:v>6959.5738055583633</c:v>
                </c:pt>
                <c:pt idx="27">
                  <c:v>7410.3154731074292</c:v>
                </c:pt>
                <c:pt idx="28">
                  <c:v>7035.6417574695906</c:v>
                </c:pt>
                <c:pt idx="29">
                  <c:v>7114.6016030698565</c:v>
                </c:pt>
                <c:pt idx="30">
                  <c:v>6767.0054493558855</c:v>
                </c:pt>
              </c:numCache>
            </c:numRef>
          </c:val>
        </c:ser>
        <c:ser>
          <c:idx val="4"/>
          <c:order val="3"/>
          <c:tx>
            <c:strRef>
              <c:f>May!$AN$6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May!$AN$16:$AN$53</c:f>
              <c:numCache>
                <c:formatCode>General</c:formatCode>
                <c:ptCount val="38"/>
                <c:pt idx="31" formatCode="#,##0">
                  <c:v>8499</c:v>
                </c:pt>
                <c:pt idx="32" formatCode="#,##0">
                  <c:v>8687</c:v>
                </c:pt>
                <c:pt idx="33" formatCode="#,##0">
                  <c:v>8869</c:v>
                </c:pt>
                <c:pt idx="34" formatCode="#,##0">
                  <c:v>9057</c:v>
                </c:pt>
                <c:pt idx="35" formatCode="#,##0">
                  <c:v>9250</c:v>
                </c:pt>
                <c:pt idx="36" formatCode="#,##0">
                  <c:v>9444</c:v>
                </c:pt>
                <c:pt idx="37" formatCode="#,##0">
                  <c:v>9638</c:v>
                </c:pt>
              </c:numCache>
            </c:numRef>
          </c:val>
        </c:ser>
        <c:ser>
          <c:idx val="2"/>
          <c:order val="4"/>
          <c:tx>
            <c:strRef>
              <c:f>May!$AM$6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May!$AM$16:$AM$53</c:f>
              <c:numCache>
                <c:formatCode>General</c:formatCode>
                <c:ptCount val="38"/>
                <c:pt idx="31" formatCode="#,##0">
                  <c:v>7406</c:v>
                </c:pt>
                <c:pt idx="32" formatCode="#,##0">
                  <c:v>7665</c:v>
                </c:pt>
                <c:pt idx="33" formatCode="#,##0">
                  <c:v>8009</c:v>
                </c:pt>
                <c:pt idx="34" formatCode="#,##0">
                  <c:v>8356</c:v>
                </c:pt>
                <c:pt idx="35" formatCode="#,##0">
                  <c:v>8695</c:v>
                </c:pt>
                <c:pt idx="36" formatCode="#,##0">
                  <c:v>9024</c:v>
                </c:pt>
                <c:pt idx="37" formatCode="#,##0">
                  <c:v>9179</c:v>
                </c:pt>
              </c:numCache>
            </c:numRef>
          </c:val>
        </c:ser>
        <c:marker val="1"/>
        <c:axId val="232609280"/>
        <c:axId val="232610816"/>
      </c:lineChart>
      <c:catAx>
        <c:axId val="2326092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610816"/>
        <c:crosses val="autoZero"/>
        <c:auto val="1"/>
        <c:lblAlgn val="ctr"/>
        <c:lblOffset val="100"/>
        <c:tickLblSkip val="2"/>
        <c:tickMarkSkip val="2"/>
      </c:catAx>
      <c:valAx>
        <c:axId val="232610816"/>
        <c:scaling>
          <c:orientation val="minMax"/>
          <c:min val="1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6092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60460789656691"/>
          <c:y val="0.92405051063532362"/>
          <c:w val="0.74717619128157964"/>
          <c:h val="6.0759438968434033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- May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310748685156092"/>
          <c:y val="9.3531389251100064E-2"/>
          <c:w val="0.86017067798084912"/>
          <c:h val="0.69127869027955968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May!$AD$16:$AD$46</c:f>
              <c:numCache>
                <c:formatCode>General</c:formatCode>
                <c:ptCount val="3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</c:numCache>
            </c:numRef>
          </c:cat>
          <c:val>
            <c:numRef>
              <c:f>May!$AK$16:$AK$46</c:f>
              <c:numCache>
                <c:formatCode>#,##0</c:formatCode>
                <c:ptCount val="31"/>
                <c:pt idx="0">
                  <c:v>187</c:v>
                </c:pt>
                <c:pt idx="1">
                  <c:v>71</c:v>
                </c:pt>
                <c:pt idx="2">
                  <c:v>-79</c:v>
                </c:pt>
                <c:pt idx="3">
                  <c:v>-108</c:v>
                </c:pt>
                <c:pt idx="4">
                  <c:v>-13</c:v>
                </c:pt>
                <c:pt idx="5">
                  <c:v>-66</c:v>
                </c:pt>
                <c:pt idx="6">
                  <c:v>-81</c:v>
                </c:pt>
                <c:pt idx="7">
                  <c:v>-103.44563422857846</c:v>
                </c:pt>
                <c:pt idx="8">
                  <c:v>-68.934216951517556</c:v>
                </c:pt>
                <c:pt idx="9">
                  <c:v>-157.14748686631174</c:v>
                </c:pt>
                <c:pt idx="10">
                  <c:v>78.802015150818079</c:v>
                </c:pt>
                <c:pt idx="11">
                  <c:v>-26.756312821693427</c:v>
                </c:pt>
                <c:pt idx="12">
                  <c:v>193.30274166073832</c:v>
                </c:pt>
                <c:pt idx="13">
                  <c:v>-213.83877627208676</c:v>
                </c:pt>
                <c:pt idx="14">
                  <c:v>50.502312413199434</c:v>
                </c:pt>
                <c:pt idx="15">
                  <c:v>114.0736442664238</c:v>
                </c:pt>
                <c:pt idx="16">
                  <c:v>-14.102255805119057</c:v>
                </c:pt>
                <c:pt idx="17">
                  <c:v>51.729999999999563</c:v>
                </c:pt>
                <c:pt idx="18">
                  <c:v>59.399999999999636</c:v>
                </c:pt>
                <c:pt idx="19">
                  <c:v>-191.69999999999982</c:v>
                </c:pt>
                <c:pt idx="20">
                  <c:v>79.300000000000182</c:v>
                </c:pt>
                <c:pt idx="21">
                  <c:v>-71.600000000000364</c:v>
                </c:pt>
                <c:pt idx="22">
                  <c:v>93.799999999999272</c:v>
                </c:pt>
                <c:pt idx="23">
                  <c:v>-12.100000000000364</c:v>
                </c:pt>
                <c:pt idx="24">
                  <c:v>-121</c:v>
                </c:pt>
                <c:pt idx="25">
                  <c:v>-13</c:v>
                </c:pt>
                <c:pt idx="26">
                  <c:v>150</c:v>
                </c:pt>
                <c:pt idx="27">
                  <c:v>-38</c:v>
                </c:pt>
                <c:pt idx="28">
                  <c:v>131</c:v>
                </c:pt>
                <c:pt idx="29">
                  <c:v>-150</c:v>
                </c:pt>
                <c:pt idx="30">
                  <c:v>9</c:v>
                </c:pt>
              </c:numCache>
            </c:numRef>
          </c:val>
        </c:ser>
        <c:marker val="1"/>
        <c:axId val="232627200"/>
        <c:axId val="232469248"/>
      </c:lineChart>
      <c:catAx>
        <c:axId val="2326272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469248"/>
        <c:crosses val="autoZero"/>
        <c:auto val="1"/>
        <c:lblAlgn val="ctr"/>
        <c:lblOffset val="100"/>
        <c:tickLblSkip val="2"/>
        <c:tickMarkSkip val="2"/>
      </c:catAx>
      <c:valAx>
        <c:axId val="232469248"/>
        <c:scaling>
          <c:orientation val="minMax"/>
          <c:max val="300"/>
          <c:min val="-3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6272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60460789656691"/>
          <c:y val="0.92405051063532362"/>
          <c:w val="0.74717619128157964"/>
          <c:h val="6.0759438968434033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- June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013730835437344"/>
          <c:y val="0.1310848507855647"/>
          <c:w val="0.8641986885377666"/>
          <c:h val="0.64991415730887503"/>
        </c:manualLayout>
      </c:layout>
      <c:lineChart>
        <c:grouping val="standard"/>
        <c:ser>
          <c:idx val="0"/>
          <c:order val="0"/>
          <c:tx>
            <c:strRef>
              <c:f>Jun!$AE$6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Jun!$AD$16:$AD$53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Jun!$AE$16:$AE$53</c:f>
              <c:numCache>
                <c:formatCode>#,##0</c:formatCode>
                <c:ptCount val="38"/>
                <c:pt idx="0">
                  <c:v>2896</c:v>
                </c:pt>
                <c:pt idx="1">
                  <c:v>3273</c:v>
                </c:pt>
                <c:pt idx="2">
                  <c:v>4027</c:v>
                </c:pt>
                <c:pt idx="3">
                  <c:v>3587</c:v>
                </c:pt>
                <c:pt idx="4">
                  <c:v>4065</c:v>
                </c:pt>
                <c:pt idx="5">
                  <c:v>3995</c:v>
                </c:pt>
                <c:pt idx="6">
                  <c:v>4779</c:v>
                </c:pt>
                <c:pt idx="7">
                  <c:v>4997.6279037321237</c:v>
                </c:pt>
                <c:pt idx="8">
                  <c:v>4857.0008138588537</c:v>
                </c:pt>
                <c:pt idx="9">
                  <c:v>5010.6810007948898</c:v>
                </c:pt>
                <c:pt idx="10">
                  <c:v>5326.0756201557833</c:v>
                </c:pt>
                <c:pt idx="11">
                  <c:v>5566.3649815541876</c:v>
                </c:pt>
                <c:pt idx="12">
                  <c:v>5687.5078042363939</c:v>
                </c:pt>
                <c:pt idx="13">
                  <c:v>5671.2818121429518</c:v>
                </c:pt>
                <c:pt idx="14">
                  <c:v>5927.0249420450382</c:v>
                </c:pt>
                <c:pt idx="15">
                  <c:v>6580.868516902432</c:v>
                </c:pt>
                <c:pt idx="16">
                  <c:v>6231.2579545949839</c:v>
                </c:pt>
                <c:pt idx="17">
                  <c:v>6633.68</c:v>
                </c:pt>
                <c:pt idx="18">
                  <c:v>6888.3</c:v>
                </c:pt>
                <c:pt idx="19">
                  <c:v>6965</c:v>
                </c:pt>
                <c:pt idx="20">
                  <c:v>7239.9</c:v>
                </c:pt>
                <c:pt idx="21">
                  <c:v>7692.0999999999995</c:v>
                </c:pt>
                <c:pt idx="22">
                  <c:v>7438.9999999999991</c:v>
                </c:pt>
                <c:pt idx="23">
                  <c:v>7803.1</c:v>
                </c:pt>
                <c:pt idx="24">
                  <c:v>7753</c:v>
                </c:pt>
                <c:pt idx="25">
                  <c:v>7864</c:v>
                </c:pt>
                <c:pt idx="26">
                  <c:v>8283</c:v>
                </c:pt>
                <c:pt idx="27">
                  <c:v>7991</c:v>
                </c:pt>
                <c:pt idx="28">
                  <c:v>8006</c:v>
                </c:pt>
                <c:pt idx="29">
                  <c:v>7410</c:v>
                </c:pt>
                <c:pt idx="30">
                  <c:v>7423</c:v>
                </c:pt>
              </c:numCache>
            </c:numRef>
          </c:val>
        </c:ser>
        <c:ser>
          <c:idx val="3"/>
          <c:order val="1"/>
          <c:tx>
            <c:strRef>
              <c:f>Jun!$AJ$6</c:f>
              <c:strCache>
                <c:ptCount val="1"/>
                <c:pt idx="0">
                  <c:v>PRED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Jun!$AJ$16:$AJ$53</c:f>
              <c:numCache>
                <c:formatCode>#,##0</c:formatCode>
                <c:ptCount val="38"/>
                <c:pt idx="0">
                  <c:v>3043</c:v>
                </c:pt>
                <c:pt idx="1">
                  <c:v>3497</c:v>
                </c:pt>
                <c:pt idx="2">
                  <c:v>4104</c:v>
                </c:pt>
                <c:pt idx="3">
                  <c:v>3946</c:v>
                </c:pt>
                <c:pt idx="4">
                  <c:v>4311</c:v>
                </c:pt>
                <c:pt idx="5">
                  <c:v>4248</c:v>
                </c:pt>
                <c:pt idx="6">
                  <c:v>4785</c:v>
                </c:pt>
                <c:pt idx="7">
                  <c:v>4976</c:v>
                </c:pt>
                <c:pt idx="8">
                  <c:v>5087</c:v>
                </c:pt>
                <c:pt idx="9">
                  <c:v>5133</c:v>
                </c:pt>
                <c:pt idx="10">
                  <c:v>5169</c:v>
                </c:pt>
                <c:pt idx="11">
                  <c:v>5711</c:v>
                </c:pt>
                <c:pt idx="12">
                  <c:v>5723</c:v>
                </c:pt>
                <c:pt idx="13">
                  <c:v>5830</c:v>
                </c:pt>
                <c:pt idx="14">
                  <c:v>5991</c:v>
                </c:pt>
                <c:pt idx="15">
                  <c:v>6422</c:v>
                </c:pt>
                <c:pt idx="16">
                  <c:v>6181</c:v>
                </c:pt>
                <c:pt idx="17">
                  <c:v>6689</c:v>
                </c:pt>
                <c:pt idx="18">
                  <c:v>6858</c:v>
                </c:pt>
                <c:pt idx="19">
                  <c:v>6804</c:v>
                </c:pt>
                <c:pt idx="20">
                  <c:v>7085</c:v>
                </c:pt>
                <c:pt idx="21">
                  <c:v>7447</c:v>
                </c:pt>
                <c:pt idx="22">
                  <c:v>7417</c:v>
                </c:pt>
                <c:pt idx="23">
                  <c:v>7667</c:v>
                </c:pt>
                <c:pt idx="24">
                  <c:v>7826</c:v>
                </c:pt>
                <c:pt idx="25">
                  <c:v>8093</c:v>
                </c:pt>
                <c:pt idx="26">
                  <c:v>8376</c:v>
                </c:pt>
                <c:pt idx="27">
                  <c:v>7954</c:v>
                </c:pt>
                <c:pt idx="28">
                  <c:v>7843</c:v>
                </c:pt>
                <c:pt idx="29">
                  <c:v>7466</c:v>
                </c:pt>
                <c:pt idx="30">
                  <c:v>7706</c:v>
                </c:pt>
              </c:numCache>
            </c:numRef>
          </c:val>
        </c:ser>
        <c:ser>
          <c:idx val="1"/>
          <c:order val="2"/>
          <c:tx>
            <c:strRef>
              <c:f>Jun!$BC$12</c:f>
              <c:strCache>
                <c:ptCount val="1"/>
                <c:pt idx="0">
                  <c:v>Pred w/Norm</c:v>
                </c:pt>
              </c:strCache>
            </c:strRef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Jun!$BC$16:$BC$53</c:f>
              <c:numCache>
                <c:formatCode>#,##0</c:formatCode>
                <c:ptCount val="38"/>
                <c:pt idx="0">
                  <c:v>3310</c:v>
                </c:pt>
                <c:pt idx="1">
                  <c:v>3545</c:v>
                </c:pt>
                <c:pt idx="2">
                  <c:v>3790</c:v>
                </c:pt>
                <c:pt idx="3">
                  <c:v>4013</c:v>
                </c:pt>
                <c:pt idx="4">
                  <c:v>4244</c:v>
                </c:pt>
                <c:pt idx="5">
                  <c:v>4495</c:v>
                </c:pt>
                <c:pt idx="6">
                  <c:v>4747</c:v>
                </c:pt>
                <c:pt idx="7">
                  <c:v>4948</c:v>
                </c:pt>
                <c:pt idx="8">
                  <c:v>5087</c:v>
                </c:pt>
                <c:pt idx="9">
                  <c:v>5218</c:v>
                </c:pt>
                <c:pt idx="10">
                  <c:v>4978</c:v>
                </c:pt>
                <c:pt idx="11">
                  <c:v>5587</c:v>
                </c:pt>
                <c:pt idx="12">
                  <c:v>5723</c:v>
                </c:pt>
                <c:pt idx="13">
                  <c:v>5840</c:v>
                </c:pt>
                <c:pt idx="14">
                  <c:v>6029</c:v>
                </c:pt>
                <c:pt idx="15">
                  <c:v>6155</c:v>
                </c:pt>
                <c:pt idx="16">
                  <c:v>6372</c:v>
                </c:pt>
                <c:pt idx="17">
                  <c:v>6604</c:v>
                </c:pt>
                <c:pt idx="18">
                  <c:v>6829</c:v>
                </c:pt>
                <c:pt idx="19">
                  <c:v>7033</c:v>
                </c:pt>
                <c:pt idx="20">
                  <c:v>7257</c:v>
                </c:pt>
                <c:pt idx="21">
                  <c:v>7485</c:v>
                </c:pt>
                <c:pt idx="22">
                  <c:v>7618</c:v>
                </c:pt>
                <c:pt idx="23">
                  <c:v>7877</c:v>
                </c:pt>
                <c:pt idx="24">
                  <c:v>8035</c:v>
                </c:pt>
                <c:pt idx="25">
                  <c:v>8046</c:v>
                </c:pt>
                <c:pt idx="26">
                  <c:v>7995</c:v>
                </c:pt>
                <c:pt idx="27">
                  <c:v>7802</c:v>
                </c:pt>
                <c:pt idx="28">
                  <c:v>7624</c:v>
                </c:pt>
                <c:pt idx="29">
                  <c:v>7694</c:v>
                </c:pt>
                <c:pt idx="30">
                  <c:v>7801</c:v>
                </c:pt>
              </c:numCache>
            </c:numRef>
          </c:val>
        </c:ser>
        <c:ser>
          <c:idx val="4"/>
          <c:order val="3"/>
          <c:tx>
            <c:strRef>
              <c:f>Jun!$AN$6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Jun!$AN$16:$AN$53</c:f>
              <c:numCache>
                <c:formatCode>General</c:formatCode>
                <c:ptCount val="38"/>
                <c:pt idx="31" formatCode="#,##0">
                  <c:v>8966</c:v>
                </c:pt>
                <c:pt idx="32" formatCode="#,##0">
                  <c:v>9161</c:v>
                </c:pt>
                <c:pt idx="33" formatCode="#,##0">
                  <c:v>9349</c:v>
                </c:pt>
                <c:pt idx="34" formatCode="#,##0">
                  <c:v>9544</c:v>
                </c:pt>
                <c:pt idx="35" formatCode="#,##0">
                  <c:v>9743</c:v>
                </c:pt>
                <c:pt idx="36" formatCode="#,##0">
                  <c:v>9944</c:v>
                </c:pt>
                <c:pt idx="37" formatCode="#,##0">
                  <c:v>10143</c:v>
                </c:pt>
              </c:numCache>
            </c:numRef>
          </c:val>
        </c:ser>
        <c:ser>
          <c:idx val="2"/>
          <c:order val="4"/>
          <c:tx>
            <c:strRef>
              <c:f>Jun!$AM$6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Jun!$AM$16:$AM$53</c:f>
              <c:numCache>
                <c:formatCode>General</c:formatCode>
                <c:ptCount val="38"/>
                <c:pt idx="31" formatCode="#,##0">
                  <c:v>7982</c:v>
                </c:pt>
                <c:pt idx="32" formatCode="#,##0">
                  <c:v>8233</c:v>
                </c:pt>
                <c:pt idx="33" formatCode="#,##0">
                  <c:v>8481</c:v>
                </c:pt>
                <c:pt idx="34" formatCode="#,##0">
                  <c:v>8732</c:v>
                </c:pt>
                <c:pt idx="35" formatCode="#,##0">
                  <c:v>8975</c:v>
                </c:pt>
                <c:pt idx="36" formatCode="#,##0">
                  <c:v>9119</c:v>
                </c:pt>
                <c:pt idx="37" formatCode="#,##0">
                  <c:v>9260</c:v>
                </c:pt>
              </c:numCache>
            </c:numRef>
          </c:val>
        </c:ser>
        <c:marker val="1"/>
        <c:axId val="232732544"/>
        <c:axId val="232734080"/>
      </c:lineChart>
      <c:catAx>
        <c:axId val="2327325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734080"/>
        <c:crosses val="autoZero"/>
        <c:auto val="1"/>
        <c:lblAlgn val="ctr"/>
        <c:lblOffset val="100"/>
        <c:tickLblSkip val="2"/>
        <c:tickMarkSkip val="2"/>
      </c:catAx>
      <c:valAx>
        <c:axId val="232734080"/>
        <c:scaling>
          <c:orientation val="minMax"/>
          <c:min val="2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7325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244183873301192"/>
          <c:y val="0.93435555665260062"/>
          <c:w val="0.69821749835450164"/>
          <c:h val="5.2516476192828628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- June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9.8586949887078862E-2"/>
          <c:y val="8.8649149026343368E-2"/>
          <c:w val="0.8641986885377666"/>
          <c:h val="0.7235111864558007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Jun!$AD$16:$AD$46</c:f>
              <c:numCache>
                <c:formatCode>General</c:formatCode>
                <c:ptCount val="3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</c:numCache>
            </c:numRef>
          </c:cat>
          <c:val>
            <c:numRef>
              <c:f>Jun!$AK$16:$AK$46</c:f>
              <c:numCache>
                <c:formatCode>#,##0</c:formatCode>
                <c:ptCount val="31"/>
                <c:pt idx="0">
                  <c:v>-147</c:v>
                </c:pt>
                <c:pt idx="1">
                  <c:v>-224</c:v>
                </c:pt>
                <c:pt idx="2">
                  <c:v>-77</c:v>
                </c:pt>
                <c:pt idx="3">
                  <c:v>-359</c:v>
                </c:pt>
                <c:pt idx="4">
                  <c:v>-246</c:v>
                </c:pt>
                <c:pt idx="5">
                  <c:v>-253</c:v>
                </c:pt>
                <c:pt idx="6">
                  <c:v>-6</c:v>
                </c:pt>
                <c:pt idx="7">
                  <c:v>21.627903732123741</c:v>
                </c:pt>
                <c:pt idx="8">
                  <c:v>-229.99918614114631</c:v>
                </c:pt>
                <c:pt idx="9">
                  <c:v>-122.31899920511023</c:v>
                </c:pt>
                <c:pt idx="10">
                  <c:v>157.07562015578333</c:v>
                </c:pt>
                <c:pt idx="11">
                  <c:v>-144.63501844581242</c:v>
                </c:pt>
                <c:pt idx="12">
                  <c:v>-35.492195763606105</c:v>
                </c:pt>
                <c:pt idx="13">
                  <c:v>-158.71818785704818</c:v>
                </c:pt>
                <c:pt idx="14">
                  <c:v>-63.975057954961812</c:v>
                </c:pt>
                <c:pt idx="15">
                  <c:v>158.86851690243202</c:v>
                </c:pt>
                <c:pt idx="16">
                  <c:v>50.257954594983858</c:v>
                </c:pt>
                <c:pt idx="17">
                  <c:v>-55.319999999999709</c:v>
                </c:pt>
                <c:pt idx="18">
                  <c:v>30.300000000000182</c:v>
                </c:pt>
                <c:pt idx="19">
                  <c:v>161</c:v>
                </c:pt>
                <c:pt idx="20">
                  <c:v>154.89999999999964</c:v>
                </c:pt>
                <c:pt idx="21">
                  <c:v>245.09999999999945</c:v>
                </c:pt>
                <c:pt idx="22">
                  <c:v>21.999999999999091</c:v>
                </c:pt>
                <c:pt idx="23">
                  <c:v>136.10000000000036</c:v>
                </c:pt>
                <c:pt idx="24">
                  <c:v>-73</c:v>
                </c:pt>
                <c:pt idx="25">
                  <c:v>-229</c:v>
                </c:pt>
                <c:pt idx="26">
                  <c:v>-93</c:v>
                </c:pt>
                <c:pt idx="27">
                  <c:v>37</c:v>
                </c:pt>
                <c:pt idx="28">
                  <c:v>163</c:v>
                </c:pt>
                <c:pt idx="29">
                  <c:v>-56</c:v>
                </c:pt>
                <c:pt idx="30">
                  <c:v>-283</c:v>
                </c:pt>
              </c:numCache>
            </c:numRef>
          </c:val>
        </c:ser>
        <c:marker val="1"/>
        <c:axId val="232856960"/>
        <c:axId val="232866944"/>
      </c:lineChart>
      <c:catAx>
        <c:axId val="232856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866944"/>
        <c:crosses val="autoZero"/>
        <c:auto val="1"/>
        <c:lblAlgn val="ctr"/>
        <c:lblOffset val="100"/>
        <c:tickLblSkip val="2"/>
        <c:tickMarkSkip val="2"/>
      </c:catAx>
      <c:valAx>
        <c:axId val="232866944"/>
        <c:scaling>
          <c:orientation val="minMax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8569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313947384483921"/>
          <c:y val="0.92868974593473252"/>
          <c:w val="0.69821749835450164"/>
          <c:h val="5.2516476192828676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9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&amp; Cuml EE - July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171919770773638"/>
          <c:y val="9.5012802298795218E-2"/>
          <c:w val="0.86103151862465765"/>
          <c:h val="0.67055567595335064"/>
        </c:manualLayout>
      </c:layout>
      <c:lineChart>
        <c:grouping val="standard"/>
        <c:ser>
          <c:idx val="0"/>
          <c:order val="0"/>
          <c:tx>
            <c:strRef>
              <c:f>Jul!$AE$6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Jul!$AD$16:$AD$53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Jul!$AE$16:$AE$53</c:f>
              <c:numCache>
                <c:formatCode>#,##0</c:formatCode>
                <c:ptCount val="38"/>
                <c:pt idx="0">
                  <c:v>3533</c:v>
                </c:pt>
                <c:pt idx="1">
                  <c:v>3383</c:v>
                </c:pt>
                <c:pt idx="2">
                  <c:v>3751</c:v>
                </c:pt>
                <c:pt idx="3">
                  <c:v>3995</c:v>
                </c:pt>
                <c:pt idx="4">
                  <c:v>4186</c:v>
                </c:pt>
                <c:pt idx="5">
                  <c:v>4328</c:v>
                </c:pt>
                <c:pt idx="6">
                  <c:v>4803</c:v>
                </c:pt>
                <c:pt idx="7">
                  <c:v>4838.6006045808626</c:v>
                </c:pt>
                <c:pt idx="8">
                  <c:v>4983.0638646668995</c:v>
                </c:pt>
                <c:pt idx="9">
                  <c:v>5328.2002760720306</c:v>
                </c:pt>
                <c:pt idx="10">
                  <c:v>5338.6350958079447</c:v>
                </c:pt>
                <c:pt idx="11">
                  <c:v>5433.0662611870257</c:v>
                </c:pt>
                <c:pt idx="12">
                  <c:v>5752.1609359125141</c:v>
                </c:pt>
                <c:pt idx="13">
                  <c:v>6004.784863026438</c:v>
                </c:pt>
                <c:pt idx="14">
                  <c:v>6289.5019459473278</c:v>
                </c:pt>
                <c:pt idx="15">
                  <c:v>6695.8451979043075</c:v>
                </c:pt>
                <c:pt idx="16">
                  <c:v>6495.6074485777417</c:v>
                </c:pt>
                <c:pt idx="17">
                  <c:v>6959.36</c:v>
                </c:pt>
                <c:pt idx="18">
                  <c:v>6864.7</c:v>
                </c:pt>
                <c:pt idx="19">
                  <c:v>7462.9</c:v>
                </c:pt>
                <c:pt idx="20">
                  <c:v>7263.7</c:v>
                </c:pt>
                <c:pt idx="21">
                  <c:v>7571.0999999999995</c:v>
                </c:pt>
                <c:pt idx="22">
                  <c:v>7946.9</c:v>
                </c:pt>
                <c:pt idx="23">
                  <c:v>7881</c:v>
                </c:pt>
                <c:pt idx="24">
                  <c:v>8082</c:v>
                </c:pt>
                <c:pt idx="25">
                  <c:v>8018</c:v>
                </c:pt>
                <c:pt idx="26">
                  <c:v>7715</c:v>
                </c:pt>
                <c:pt idx="27">
                  <c:v>7964</c:v>
                </c:pt>
                <c:pt idx="28">
                  <c:v>7689</c:v>
                </c:pt>
                <c:pt idx="29">
                  <c:v>7571</c:v>
                </c:pt>
              </c:numCache>
            </c:numRef>
          </c:val>
        </c:ser>
        <c:ser>
          <c:idx val="3"/>
          <c:order val="1"/>
          <c:tx>
            <c:v>Predicted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ot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Jul!$AJ$16:$AJ$53</c:f>
              <c:numCache>
                <c:formatCode>#,##0</c:formatCode>
                <c:ptCount val="38"/>
                <c:pt idx="0">
                  <c:v>3638</c:v>
                </c:pt>
                <c:pt idx="1">
                  <c:v>3417</c:v>
                </c:pt>
                <c:pt idx="2">
                  <c:v>3786</c:v>
                </c:pt>
                <c:pt idx="3">
                  <c:v>4194</c:v>
                </c:pt>
                <c:pt idx="4">
                  <c:v>4457</c:v>
                </c:pt>
                <c:pt idx="5">
                  <c:v>4664</c:v>
                </c:pt>
                <c:pt idx="6">
                  <c:v>5003</c:v>
                </c:pt>
                <c:pt idx="7">
                  <c:v>4647</c:v>
                </c:pt>
                <c:pt idx="8">
                  <c:v>4785</c:v>
                </c:pt>
                <c:pt idx="9">
                  <c:v>5334</c:v>
                </c:pt>
                <c:pt idx="10">
                  <c:v>5149</c:v>
                </c:pt>
                <c:pt idx="11">
                  <c:v>5551</c:v>
                </c:pt>
                <c:pt idx="12">
                  <c:v>5831</c:v>
                </c:pt>
                <c:pt idx="13">
                  <c:v>5991</c:v>
                </c:pt>
                <c:pt idx="14">
                  <c:v>6286</c:v>
                </c:pt>
                <c:pt idx="15">
                  <c:v>6718</c:v>
                </c:pt>
                <c:pt idx="16">
                  <c:v>6645</c:v>
                </c:pt>
                <c:pt idx="17">
                  <c:v>6819</c:v>
                </c:pt>
                <c:pt idx="18">
                  <c:v>6902</c:v>
                </c:pt>
                <c:pt idx="19">
                  <c:v>7463</c:v>
                </c:pt>
                <c:pt idx="20">
                  <c:v>7237</c:v>
                </c:pt>
                <c:pt idx="21">
                  <c:v>7535</c:v>
                </c:pt>
                <c:pt idx="22">
                  <c:v>7883</c:v>
                </c:pt>
                <c:pt idx="23">
                  <c:v>7810</c:v>
                </c:pt>
                <c:pt idx="24">
                  <c:v>8066</c:v>
                </c:pt>
                <c:pt idx="25">
                  <c:v>7977</c:v>
                </c:pt>
                <c:pt idx="26">
                  <c:v>7717</c:v>
                </c:pt>
                <c:pt idx="27">
                  <c:v>7986</c:v>
                </c:pt>
                <c:pt idx="28">
                  <c:v>7722</c:v>
                </c:pt>
                <c:pt idx="29">
                  <c:v>7704</c:v>
                </c:pt>
              </c:numCache>
            </c:numRef>
          </c:val>
        </c:ser>
        <c:ser>
          <c:idx val="1"/>
          <c:order val="2"/>
          <c:tx>
            <c:v>W-Adj Predited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Jul!$BC$16:$BC$53</c:f>
              <c:numCache>
                <c:formatCode>#,##0</c:formatCode>
                <c:ptCount val="38"/>
                <c:pt idx="0">
                  <c:v>3387</c:v>
                </c:pt>
                <c:pt idx="1">
                  <c:v>3632</c:v>
                </c:pt>
                <c:pt idx="2">
                  <c:v>3881</c:v>
                </c:pt>
                <c:pt idx="3">
                  <c:v>4111</c:v>
                </c:pt>
                <c:pt idx="4">
                  <c:v>4373</c:v>
                </c:pt>
                <c:pt idx="5">
                  <c:v>4604</c:v>
                </c:pt>
                <c:pt idx="6">
                  <c:v>4860</c:v>
                </c:pt>
                <c:pt idx="7">
                  <c:v>4599</c:v>
                </c:pt>
                <c:pt idx="8">
                  <c:v>4737</c:v>
                </c:pt>
                <c:pt idx="9">
                  <c:v>5346</c:v>
                </c:pt>
                <c:pt idx="10">
                  <c:v>5090</c:v>
                </c:pt>
                <c:pt idx="11">
                  <c:v>5718</c:v>
                </c:pt>
                <c:pt idx="12">
                  <c:v>5867</c:v>
                </c:pt>
                <c:pt idx="13">
                  <c:v>6027</c:v>
                </c:pt>
                <c:pt idx="14">
                  <c:v>6107</c:v>
                </c:pt>
                <c:pt idx="15">
                  <c:v>6349</c:v>
                </c:pt>
                <c:pt idx="16">
                  <c:v>6537</c:v>
                </c:pt>
                <c:pt idx="17">
                  <c:v>6783</c:v>
                </c:pt>
                <c:pt idx="18">
                  <c:v>7010</c:v>
                </c:pt>
                <c:pt idx="19">
                  <c:v>7212</c:v>
                </c:pt>
                <c:pt idx="20">
                  <c:v>7451</c:v>
                </c:pt>
                <c:pt idx="21">
                  <c:v>7690</c:v>
                </c:pt>
                <c:pt idx="22">
                  <c:v>7835</c:v>
                </c:pt>
                <c:pt idx="23">
                  <c:v>8096</c:v>
                </c:pt>
                <c:pt idx="24">
                  <c:v>8245</c:v>
                </c:pt>
                <c:pt idx="25">
                  <c:v>8240</c:v>
                </c:pt>
                <c:pt idx="26">
                  <c:v>7956</c:v>
                </c:pt>
                <c:pt idx="27">
                  <c:v>7759</c:v>
                </c:pt>
                <c:pt idx="28">
                  <c:v>7806</c:v>
                </c:pt>
                <c:pt idx="29">
                  <c:v>7895</c:v>
                </c:pt>
              </c:numCache>
            </c:numRef>
          </c:val>
        </c:ser>
        <c:ser>
          <c:idx val="4"/>
          <c:order val="3"/>
          <c:tx>
            <c:strRef>
              <c:f>Jul!$AN$6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Jul!$AN$16:$AN$53</c:f>
              <c:numCache>
                <c:formatCode>General</c:formatCode>
                <c:ptCount val="38"/>
                <c:pt idx="30" formatCode="#,##0">
                  <c:v>8983</c:v>
                </c:pt>
                <c:pt idx="31" formatCode="#,##0">
                  <c:v>9154</c:v>
                </c:pt>
                <c:pt idx="32" formatCode="#,##0">
                  <c:v>9350</c:v>
                </c:pt>
                <c:pt idx="33" formatCode="#,##0">
                  <c:v>9538</c:v>
                </c:pt>
                <c:pt idx="34" formatCode="#,##0">
                  <c:v>9734</c:v>
                </c:pt>
                <c:pt idx="35" formatCode="#,##0">
                  <c:v>9934</c:v>
                </c:pt>
                <c:pt idx="36" formatCode="#,##0">
                  <c:v>10135</c:v>
                </c:pt>
                <c:pt idx="37" formatCode="#,##0">
                  <c:v>10336</c:v>
                </c:pt>
              </c:numCache>
            </c:numRef>
          </c:val>
        </c:ser>
        <c:ser>
          <c:idx val="2"/>
          <c:order val="4"/>
          <c:tx>
            <c:strRef>
              <c:f>Jul!$AM$6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Jul!$AM$16:$AM$53</c:f>
              <c:numCache>
                <c:formatCode>General</c:formatCode>
                <c:ptCount val="38"/>
                <c:pt idx="30" formatCode="#,##0">
                  <c:v>8054</c:v>
                </c:pt>
                <c:pt idx="31" formatCode="#,##0">
                  <c:v>8281</c:v>
                </c:pt>
                <c:pt idx="32" formatCode="#,##0">
                  <c:v>8543</c:v>
                </c:pt>
                <c:pt idx="33" formatCode="#,##0">
                  <c:v>8798</c:v>
                </c:pt>
                <c:pt idx="34" formatCode="#,##0">
                  <c:v>9057</c:v>
                </c:pt>
                <c:pt idx="35" formatCode="#,##0">
                  <c:v>9214</c:v>
                </c:pt>
                <c:pt idx="36" formatCode="#,##0">
                  <c:v>9360</c:v>
                </c:pt>
                <c:pt idx="37" formatCode="#,##0">
                  <c:v>9506</c:v>
                </c:pt>
              </c:numCache>
            </c:numRef>
          </c:val>
        </c:ser>
        <c:marker val="1"/>
        <c:axId val="232536320"/>
        <c:axId val="232546304"/>
      </c:lineChart>
      <c:catAx>
        <c:axId val="2325363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546304"/>
        <c:crosses val="autoZero"/>
        <c:auto val="1"/>
        <c:lblAlgn val="ctr"/>
        <c:lblOffset val="100"/>
        <c:tickLblSkip val="2"/>
        <c:tickMarkSkip val="2"/>
      </c:catAx>
      <c:valAx>
        <c:axId val="232546304"/>
        <c:scaling>
          <c:orientation val="minMax"/>
          <c:min val="2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5363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180461992812667"/>
          <c:y val="0.91877515310588498"/>
          <c:w val="0.67765034988603967"/>
          <c:h val="4.967593336547171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9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&amp; Cuml EE - July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171919770773638"/>
          <c:y val="9.5012802298795218E-2"/>
          <c:w val="0.86103151862465765"/>
          <c:h val="0.70935731657396062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Jul!$AD$16:$AD$45</c:f>
              <c:numCache>
                <c:formatCode>General</c:formatCode>
                <c:ptCount val="30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</c:numCache>
            </c:numRef>
          </c:cat>
          <c:val>
            <c:numRef>
              <c:f>Jul!$AK$16:$AK$45</c:f>
              <c:numCache>
                <c:formatCode>#,##0</c:formatCode>
                <c:ptCount val="30"/>
                <c:pt idx="0">
                  <c:v>-105</c:v>
                </c:pt>
                <c:pt idx="1">
                  <c:v>-34</c:v>
                </c:pt>
                <c:pt idx="2">
                  <c:v>-35</c:v>
                </c:pt>
                <c:pt idx="3">
                  <c:v>-199</c:v>
                </c:pt>
                <c:pt idx="4">
                  <c:v>-271</c:v>
                </c:pt>
                <c:pt idx="5">
                  <c:v>-336</c:v>
                </c:pt>
                <c:pt idx="6">
                  <c:v>-200</c:v>
                </c:pt>
                <c:pt idx="7">
                  <c:v>191.60060458086264</c:v>
                </c:pt>
                <c:pt idx="8">
                  <c:v>198.06386466689946</c:v>
                </c:pt>
                <c:pt idx="9">
                  <c:v>-5.7997239279693531</c:v>
                </c:pt>
                <c:pt idx="10">
                  <c:v>189.63509580794471</c:v>
                </c:pt>
                <c:pt idx="11">
                  <c:v>-117.9337388129743</c:v>
                </c:pt>
                <c:pt idx="12">
                  <c:v>-78.839064087485895</c:v>
                </c:pt>
                <c:pt idx="13">
                  <c:v>13.784863026437961</c:v>
                </c:pt>
                <c:pt idx="14">
                  <c:v>3.5019459473278403</c:v>
                </c:pt>
                <c:pt idx="15">
                  <c:v>-22.154802095692503</c:v>
                </c:pt>
                <c:pt idx="16">
                  <c:v>-149.39255142225829</c:v>
                </c:pt>
                <c:pt idx="17">
                  <c:v>140.35999999999967</c:v>
                </c:pt>
                <c:pt idx="18">
                  <c:v>-37.300000000000182</c:v>
                </c:pt>
                <c:pt idx="19">
                  <c:v>-0.1000000000003638</c:v>
                </c:pt>
                <c:pt idx="20">
                  <c:v>26.699999999999818</c:v>
                </c:pt>
                <c:pt idx="21">
                  <c:v>36.099999999999454</c:v>
                </c:pt>
                <c:pt idx="22">
                  <c:v>63.899999999999636</c:v>
                </c:pt>
                <c:pt idx="23">
                  <c:v>71</c:v>
                </c:pt>
                <c:pt idx="24">
                  <c:v>16</c:v>
                </c:pt>
                <c:pt idx="25">
                  <c:v>41</c:v>
                </c:pt>
                <c:pt idx="26">
                  <c:v>-2</c:v>
                </c:pt>
                <c:pt idx="27">
                  <c:v>-22</c:v>
                </c:pt>
                <c:pt idx="28">
                  <c:v>-33</c:v>
                </c:pt>
                <c:pt idx="29">
                  <c:v>-133</c:v>
                </c:pt>
              </c:numCache>
            </c:numRef>
          </c:val>
        </c:ser>
        <c:marker val="1"/>
        <c:axId val="233123840"/>
        <c:axId val="233125376"/>
      </c:lineChart>
      <c:catAx>
        <c:axId val="233123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125376"/>
        <c:crosses val="autoZero"/>
        <c:auto val="1"/>
        <c:lblAlgn val="ctr"/>
        <c:lblOffset val="100"/>
        <c:tickLblSkip val="2"/>
        <c:tickMarkSkip val="2"/>
      </c:catAx>
      <c:valAx>
        <c:axId val="233125376"/>
        <c:scaling>
          <c:orientation val="minMax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1238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180461992812667"/>
          <c:y val="0.91877515310588542"/>
          <c:w val="0.67765034988603967"/>
          <c:h val="4.967593336547171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Demand - Summer Peak Before DLC</a:t>
            </a:r>
          </a:p>
        </c:rich>
      </c:tx>
      <c:layout>
        <c:manualLayout>
          <c:xMode val="edge"/>
          <c:yMode val="edge"/>
          <c:x val="0.28470257806559235"/>
          <c:y val="3.110056149426228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733778642452696E-2"/>
          <c:y val="9.8086238980075097E-2"/>
          <c:w val="0.87677114463304384"/>
          <c:h val="0.70335010390590358"/>
        </c:manualLayout>
      </c:layout>
      <c:lineChart>
        <c:grouping val="standard"/>
        <c:ser>
          <c:idx val="1"/>
          <c:order val="0"/>
          <c:tx>
            <c:strRef>
              <c:f>Summer!$AJ$6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Summer!$AI$25:$AI$53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Summer!$AJ$25:$AJ$53</c:f>
              <c:numCache>
                <c:formatCode>#,##0_);\(#,##0\)</c:formatCode>
                <c:ptCount val="29"/>
                <c:pt idx="0">
                  <c:v>5328.2002760720306</c:v>
                </c:pt>
                <c:pt idx="1">
                  <c:v>5558.4332076727878</c:v>
                </c:pt>
                <c:pt idx="2">
                  <c:v>5566.3649815541876</c:v>
                </c:pt>
                <c:pt idx="3">
                  <c:v>5994.0743492775318</c:v>
                </c:pt>
                <c:pt idx="4">
                  <c:v>6054.784863026438</c:v>
                </c:pt>
                <c:pt idx="5">
                  <c:v>6258.5019459473278</c:v>
                </c:pt>
                <c:pt idx="6">
                  <c:v>6695.8451979043075</c:v>
                </c:pt>
                <c:pt idx="7">
                  <c:v>6880.2832304564354</c:v>
                </c:pt>
                <c:pt idx="8" formatCode="#,##0_);[Red]\(#,##0\)">
                  <c:v>6852.8</c:v>
                </c:pt>
                <c:pt idx="9">
                  <c:v>7018.2410062378567</c:v>
                </c:pt>
                <c:pt idx="10">
                  <c:v>7475.2999999999993</c:v>
                </c:pt>
                <c:pt idx="11">
                  <c:v>7270.4989645273736</c:v>
                </c:pt>
                <c:pt idx="12">
                  <c:v>7691.9999999999991</c:v>
                </c:pt>
                <c:pt idx="13">
                  <c:v>8105.0553359278965</c:v>
                </c:pt>
                <c:pt idx="14">
                  <c:v>8051.6145865276494</c:v>
                </c:pt>
                <c:pt idx="15">
                  <c:v>8470</c:v>
                </c:pt>
                <c:pt idx="16">
                  <c:v>8081.4368544840981</c:v>
                </c:pt>
                <c:pt idx="17">
                  <c:v>8286.5156409732153</c:v>
                </c:pt>
                <c:pt idx="18">
                  <c:v>7966.2191682844586</c:v>
                </c:pt>
                <c:pt idx="19">
                  <c:v>8007.9410745233972</c:v>
                </c:pt>
                <c:pt idx="20">
                  <c:v>7634.8294321188687</c:v>
                </c:pt>
              </c:numCache>
            </c:numRef>
          </c:val>
        </c:ser>
        <c:ser>
          <c:idx val="4"/>
          <c:order val="1"/>
          <c:tx>
            <c:strRef>
              <c:f>Summer!$AO$5</c:f>
              <c:strCache>
                <c:ptCount val="1"/>
                <c:pt idx="0">
                  <c:v>Pred.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tar"/>
            <c:size val="4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Summer!$AI$25:$AI$53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Summer!$AO$25:$AO$53</c:f>
              <c:numCache>
                <c:formatCode>#,##0_);\(#,##0\)</c:formatCode>
                <c:ptCount val="29"/>
                <c:pt idx="0">
                  <c:v>5353</c:v>
                </c:pt>
                <c:pt idx="1">
                  <c:v>5523</c:v>
                </c:pt>
                <c:pt idx="2">
                  <c:v>5633</c:v>
                </c:pt>
                <c:pt idx="3">
                  <c:v>6004</c:v>
                </c:pt>
                <c:pt idx="4">
                  <c:v>6052</c:v>
                </c:pt>
                <c:pt idx="5">
                  <c:v>6291</c:v>
                </c:pt>
                <c:pt idx="6">
                  <c:v>6683</c:v>
                </c:pt>
                <c:pt idx="7">
                  <c:v>6774</c:v>
                </c:pt>
                <c:pt idx="8">
                  <c:v>6879</c:v>
                </c:pt>
                <c:pt idx="9">
                  <c:v>6965</c:v>
                </c:pt>
                <c:pt idx="10">
                  <c:v>7505</c:v>
                </c:pt>
                <c:pt idx="11">
                  <c:v>7240</c:v>
                </c:pt>
                <c:pt idx="12">
                  <c:v>7717</c:v>
                </c:pt>
                <c:pt idx="13">
                  <c:v>8032</c:v>
                </c:pt>
                <c:pt idx="14">
                  <c:v>8115</c:v>
                </c:pt>
                <c:pt idx="15">
                  <c:v>8516</c:v>
                </c:pt>
                <c:pt idx="16">
                  <c:v>8003</c:v>
                </c:pt>
                <c:pt idx="17">
                  <c:v>8344</c:v>
                </c:pt>
                <c:pt idx="18">
                  <c:v>7947</c:v>
                </c:pt>
                <c:pt idx="19">
                  <c:v>7978</c:v>
                </c:pt>
                <c:pt idx="20">
                  <c:v>7694</c:v>
                </c:pt>
              </c:numCache>
            </c:numRef>
          </c:val>
        </c:ser>
        <c:ser>
          <c:idx val="0"/>
          <c:order val="2"/>
          <c:tx>
            <c:strRef>
              <c:f>Summer!$BH$6</c:f>
              <c:strCache>
                <c:ptCount val="1"/>
                <c:pt idx="0">
                  <c:v>Pred w/Norm</c:v>
                </c:pt>
              </c:strCache>
            </c:strRef>
          </c:tx>
          <c:spPr>
            <a:ln w="28575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Summer!$AI$25:$AI$53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Summer!$BH$25:$BH$53</c:f>
              <c:numCache>
                <c:formatCode>#,##0_);\(#,##0\)</c:formatCode>
                <c:ptCount val="29"/>
                <c:pt idx="0">
                  <c:v>5414</c:v>
                </c:pt>
                <c:pt idx="1">
                  <c:v>5471</c:v>
                </c:pt>
                <c:pt idx="2">
                  <c:v>5624</c:v>
                </c:pt>
                <c:pt idx="3">
                  <c:v>6012</c:v>
                </c:pt>
                <c:pt idx="4">
                  <c:v>6130</c:v>
                </c:pt>
                <c:pt idx="5">
                  <c:v>6214</c:v>
                </c:pt>
                <c:pt idx="6">
                  <c:v>6468</c:v>
                </c:pt>
                <c:pt idx="7">
                  <c:v>6697</c:v>
                </c:pt>
                <c:pt idx="8">
                  <c:v>6939</c:v>
                </c:pt>
                <c:pt idx="9">
                  <c:v>7172</c:v>
                </c:pt>
                <c:pt idx="10">
                  <c:v>7376</c:v>
                </c:pt>
                <c:pt idx="11">
                  <c:v>7446</c:v>
                </c:pt>
                <c:pt idx="12">
                  <c:v>7855</c:v>
                </c:pt>
                <c:pt idx="13">
                  <c:v>8058</c:v>
                </c:pt>
                <c:pt idx="14">
                  <c:v>8321</c:v>
                </c:pt>
                <c:pt idx="15">
                  <c:v>8456</c:v>
                </c:pt>
                <c:pt idx="16">
                  <c:v>8150</c:v>
                </c:pt>
                <c:pt idx="17">
                  <c:v>8103</c:v>
                </c:pt>
                <c:pt idx="18">
                  <c:v>7835</c:v>
                </c:pt>
                <c:pt idx="19">
                  <c:v>7883</c:v>
                </c:pt>
                <c:pt idx="20">
                  <c:v>7979</c:v>
                </c:pt>
              </c:numCache>
            </c:numRef>
          </c:val>
        </c:ser>
        <c:ser>
          <c:idx val="3"/>
          <c:order val="3"/>
          <c:tx>
            <c:strRef>
              <c:f>Summer!$AS$6</c:f>
              <c:strCache>
                <c:ptCount val="1"/>
                <c:pt idx="0">
                  <c:v>TYSP'13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Summer!$AI$25:$AI$53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Summer!$AS$25:$AS$53</c:f>
              <c:numCache>
                <c:formatCode>General</c:formatCode>
                <c:ptCount val="29"/>
                <c:pt idx="21" formatCode="#,##0">
                  <c:v>9125</c:v>
                </c:pt>
                <c:pt idx="22" formatCode="#,##0">
                  <c:v>9299</c:v>
                </c:pt>
                <c:pt idx="23" formatCode="#,##0">
                  <c:v>9495</c:v>
                </c:pt>
                <c:pt idx="24" formatCode="#,##0">
                  <c:v>9684</c:v>
                </c:pt>
                <c:pt idx="25" formatCode="#,##0">
                  <c:v>9880</c:v>
                </c:pt>
                <c:pt idx="26" formatCode="#,##0">
                  <c:v>10080</c:v>
                </c:pt>
                <c:pt idx="27" formatCode="#,##0">
                  <c:v>10281</c:v>
                </c:pt>
                <c:pt idx="28" formatCode="#,##0">
                  <c:v>10482</c:v>
                </c:pt>
              </c:numCache>
            </c:numRef>
          </c:val>
        </c:ser>
        <c:ser>
          <c:idx val="2"/>
          <c:order val="4"/>
          <c:tx>
            <c:strRef>
              <c:f>Summer!$AR$6</c:f>
              <c:strCache>
                <c:ptCount val="1"/>
                <c:pt idx="0">
                  <c:v>Fall'13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Summer!$AI$25:$AI$53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Summer!$AR$25:$AR$53</c:f>
              <c:numCache>
                <c:formatCode>General</c:formatCode>
                <c:ptCount val="29"/>
                <c:pt idx="21" formatCode="#,##0_);\(#,##0\)">
                  <c:v>8211</c:v>
                </c:pt>
                <c:pt idx="22" formatCode="#,##0_);\(#,##0\)">
                  <c:v>8476</c:v>
                </c:pt>
                <c:pt idx="23" formatCode="#,##0_);\(#,##0\)">
                  <c:v>8744</c:v>
                </c:pt>
                <c:pt idx="24" formatCode="#,##0_);\(#,##0\)">
                  <c:v>9036</c:v>
                </c:pt>
                <c:pt idx="25" formatCode="#,##0_);\(#,##0\)">
                  <c:v>9330</c:v>
                </c:pt>
                <c:pt idx="26" formatCode="#,##0_);\(#,##0\)">
                  <c:v>9494</c:v>
                </c:pt>
                <c:pt idx="27" formatCode="#,##0_);\(#,##0\)">
                  <c:v>9648</c:v>
                </c:pt>
                <c:pt idx="28" formatCode="#,##0_);\(#,##0\)">
                  <c:v>9800</c:v>
                </c:pt>
              </c:numCache>
            </c:numRef>
          </c:val>
        </c:ser>
        <c:marker val="1"/>
        <c:axId val="231946880"/>
        <c:axId val="231973248"/>
      </c:lineChart>
      <c:catAx>
        <c:axId val="231946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973248"/>
        <c:crosses val="autoZero"/>
        <c:auto val="1"/>
        <c:lblAlgn val="ctr"/>
        <c:lblOffset val="100"/>
        <c:tickLblSkip val="2"/>
        <c:tickMarkSkip val="2"/>
      </c:catAx>
      <c:valAx>
        <c:axId val="231973248"/>
        <c:scaling>
          <c:orientation val="minMax"/>
          <c:max val="12000"/>
          <c:min val="2000"/>
        </c:scaling>
        <c:axPos val="l"/>
        <c:numFmt formatCode="#,##0_);\(#,##0\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9468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580739323472889"/>
          <c:y val="0.92823066555350064"/>
          <c:w val="0.73512792209386979"/>
          <c:h val="5.5023818488385057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Retail MW - Summer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8.3136612873885823E-2"/>
          <c:y val="0.10845445839540305"/>
          <c:w val="0.89871157194459605"/>
          <c:h val="0.67317141945096814"/>
        </c:manualLayout>
      </c:layout>
      <c:lineChart>
        <c:grouping val="standard"/>
        <c:ser>
          <c:idx val="0"/>
          <c:order val="0"/>
          <c:tx>
            <c:v>Total Retail MW</c:v>
          </c:tx>
          <c:cat>
            <c:numRef>
              <c:f>Summer!$AI$23:$AI$53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Summer!$M$23:$M$53</c:f>
              <c:numCache>
                <c:formatCode>#,##0_);\(#,##0\)</c:formatCode>
                <c:ptCount val="31"/>
                <c:pt idx="0">
                  <c:v>5261.6279037321237</c:v>
                </c:pt>
                <c:pt idx="1">
                  <c:v>5250.6955702825253</c:v>
                </c:pt>
                <c:pt idx="2">
                  <c:v>5543.7002760720306</c:v>
                </c:pt>
                <c:pt idx="3">
                  <c:v>5895.9332076727878</c:v>
                </c:pt>
                <c:pt idx="4">
                  <c:v>5893.8649815541876</c:v>
                </c:pt>
                <c:pt idx="5">
                  <c:v>6328.5743492775318</c:v>
                </c:pt>
                <c:pt idx="6">
                  <c:v>6385.284863026438</c:v>
                </c:pt>
                <c:pt idx="7">
                  <c:v>6634.0019459473278</c:v>
                </c:pt>
                <c:pt idx="8">
                  <c:v>7117.8451979043075</c:v>
                </c:pt>
                <c:pt idx="9">
                  <c:v>7246.2832304564354</c:v>
                </c:pt>
                <c:pt idx="10">
                  <c:v>7235.8</c:v>
                </c:pt>
                <c:pt idx="11">
                  <c:v>7368.6</c:v>
                </c:pt>
                <c:pt idx="12">
                  <c:v>7841.9</c:v>
                </c:pt>
                <c:pt idx="13">
                  <c:v>7592.7</c:v>
                </c:pt>
                <c:pt idx="14">
                  <c:v>8058.0999999999995</c:v>
                </c:pt>
                <c:pt idx="15">
                  <c:v>8564.6999999999989</c:v>
                </c:pt>
                <c:pt idx="16">
                  <c:v>8431.9</c:v>
                </c:pt>
                <c:pt idx="17">
                  <c:v>8905</c:v>
                </c:pt>
                <c:pt idx="18">
                  <c:v>8524</c:v>
                </c:pt>
                <c:pt idx="19">
                  <c:v>8643</c:v>
                </c:pt>
                <c:pt idx="20">
                  <c:v>8328</c:v>
                </c:pt>
                <c:pt idx="21">
                  <c:v>8343</c:v>
                </c:pt>
                <c:pt idx="22">
                  <c:v>7989</c:v>
                </c:pt>
                <c:pt idx="23" formatCode="#,##0_);[Red]\(#,##0\)">
                  <c:v>8470</c:v>
                </c:pt>
                <c:pt idx="24" formatCode="#,##0_);[Red]\(#,##0\)">
                  <c:v>8704.9107469557039</c:v>
                </c:pt>
                <c:pt idx="25" formatCode="#,##0_);[Red]\(#,##0\)">
                  <c:v>8943.7419886142743</c:v>
                </c:pt>
                <c:pt idx="26" formatCode="#,##0_);[Red]\(#,##0\)">
                  <c:v>9206.535651523247</c:v>
                </c:pt>
                <c:pt idx="27" formatCode="#,##0_);[Red]\(#,##0\)">
                  <c:v>9476.8193870989307</c:v>
                </c:pt>
                <c:pt idx="28" formatCode="#,##0_);[Red]\(#,##0\)">
                  <c:v>9625.8944126664192</c:v>
                </c:pt>
                <c:pt idx="29" formatCode="#,##0_);[Red]\(#,##0\)">
                  <c:v>9806.0635202888661</c:v>
                </c:pt>
                <c:pt idx="30" formatCode="#,##0_);[Red]\(#,##0\)">
                  <c:v>9958.5205234677542</c:v>
                </c:pt>
              </c:numCache>
            </c:numRef>
          </c:val>
        </c:ser>
        <c:ser>
          <c:idx val="1"/>
          <c:order val="1"/>
          <c:tx>
            <c:v>Firm Retail</c:v>
          </c:tx>
          <c:val>
            <c:numRef>
              <c:f>Summer!$T$23:$T$53</c:f>
              <c:numCache>
                <c:formatCode>0</c:formatCode>
                <c:ptCount val="31"/>
                <c:pt idx="0">
                  <c:v>4652</c:v>
                </c:pt>
                <c:pt idx="1">
                  <c:v>4676</c:v>
                </c:pt>
                <c:pt idx="2">
                  <c:v>5032</c:v>
                </c:pt>
                <c:pt idx="3">
                  <c:v>5033</c:v>
                </c:pt>
                <c:pt idx="4">
                  <c:v>5017</c:v>
                </c:pt>
                <c:pt idx="5">
                  <c:v>5463</c:v>
                </c:pt>
                <c:pt idx="6">
                  <c:v>5416</c:v>
                </c:pt>
                <c:pt idx="7">
                  <c:v>5693</c:v>
                </c:pt>
                <c:pt idx="8">
                  <c:v>6282</c:v>
                </c:pt>
                <c:pt idx="9">
                  <c:v>6405</c:v>
                </c:pt>
                <c:pt idx="10">
                  <c:v>6536</c:v>
                </c:pt>
                <c:pt idx="11">
                  <c:v>6666</c:v>
                </c:pt>
                <c:pt idx="12">
                  <c:v>7175</c:v>
                </c:pt>
                <c:pt idx="13">
                  <c:v>6939</c:v>
                </c:pt>
                <c:pt idx="14">
                  <c:v>7434</c:v>
                </c:pt>
                <c:pt idx="15">
                  <c:v>7817</c:v>
                </c:pt>
                <c:pt idx="16">
                  <c:v>7837</c:v>
                </c:pt>
                <c:pt idx="17">
                  <c:v>8266</c:v>
                </c:pt>
                <c:pt idx="18">
                  <c:v>7685</c:v>
                </c:pt>
                <c:pt idx="19">
                  <c:v>7857</c:v>
                </c:pt>
                <c:pt idx="20">
                  <c:v>7679</c:v>
                </c:pt>
                <c:pt idx="21">
                  <c:v>7754</c:v>
                </c:pt>
                <c:pt idx="22" formatCode="#,##0_);[Red]\(#,##0\)">
                  <c:v>7334</c:v>
                </c:pt>
                <c:pt idx="23" formatCode="#,##0_);[Red]\(#,##0\)">
                  <c:v>7803</c:v>
                </c:pt>
                <c:pt idx="24" formatCode="#,##0_);[Red]\(#,##0\)">
                  <c:v>8012.9107469557039</c:v>
                </c:pt>
                <c:pt idx="25" formatCode="#,##0_);[Red]\(#,##0\)">
                  <c:v>8240.7419886142743</c:v>
                </c:pt>
                <c:pt idx="26" formatCode="#,##0_);[Red]\(#,##0\)">
                  <c:v>8495.535651523247</c:v>
                </c:pt>
                <c:pt idx="27" formatCode="#,##0_);[Red]\(#,##0\)">
                  <c:v>8724.8193870989307</c:v>
                </c:pt>
                <c:pt idx="28" formatCode="#,##0_);[Red]\(#,##0\)">
                  <c:v>8856.8944126664192</c:v>
                </c:pt>
                <c:pt idx="29" formatCode="#,##0_);[Red]\(#,##0\)">
                  <c:v>8981.0635202888661</c:v>
                </c:pt>
                <c:pt idx="30" formatCode="#,##0_);[Red]\(#,##0\)">
                  <c:v>9102.5205234677542</c:v>
                </c:pt>
              </c:numCache>
            </c:numRef>
          </c:val>
        </c:ser>
        <c:marker val="1"/>
        <c:axId val="233051648"/>
        <c:axId val="233053184"/>
      </c:lineChart>
      <c:catAx>
        <c:axId val="233051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3053184"/>
        <c:crosses val="autoZero"/>
        <c:auto val="1"/>
        <c:lblAlgn val="ctr"/>
        <c:lblOffset val="100"/>
      </c:catAx>
      <c:valAx>
        <c:axId val="233053184"/>
        <c:scaling>
          <c:orientation val="minMax"/>
          <c:min val="2000"/>
        </c:scaling>
        <c:axPos val="l"/>
        <c:majorGridlines/>
        <c:numFmt formatCode="#,##0_);\(#,##0\)" sourceLinked="1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3051648"/>
        <c:crosses val="autoZero"/>
        <c:crossBetween val="between"/>
      </c:valAx>
    </c:plotArea>
    <c:legend>
      <c:legendPos val="b"/>
      <c:layout/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Demand - Summer Peak Before DLC</a:t>
            </a:r>
          </a:p>
        </c:rich>
      </c:tx>
      <c:layout>
        <c:manualLayout>
          <c:xMode val="edge"/>
          <c:yMode val="edge"/>
          <c:x val="0.28470257806559235"/>
          <c:y val="3.110056149426228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733778642452696E-2"/>
          <c:y val="9.8086238980075097E-2"/>
          <c:w val="0.87677114463304406"/>
          <c:h val="0.70335010390590358"/>
        </c:manualLayout>
      </c:layout>
      <c:lineChart>
        <c:grouping val="standard"/>
        <c:ser>
          <c:idx val="1"/>
          <c:order val="0"/>
          <c:tx>
            <c:strRef>
              <c:f>Summer!$AP$6</c:f>
              <c:strCache>
                <c:ptCount val="1"/>
                <c:pt idx="0">
                  <c:v>Error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Summer!$AI$28:$AI$45</c:f>
              <c:numCache>
                <c:formatCode>General</c:formatCode>
                <c:ptCount val="1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</c:numCache>
            </c:numRef>
          </c:cat>
          <c:val>
            <c:numRef>
              <c:f>Summer!$AP$28:$AP$45</c:f>
              <c:numCache>
                <c:formatCode>#,##0_);\(#,##0\)</c:formatCode>
                <c:ptCount val="18"/>
                <c:pt idx="0">
                  <c:v>-9.9256507224681627</c:v>
                </c:pt>
                <c:pt idx="1">
                  <c:v>2.7848630264379608</c:v>
                </c:pt>
                <c:pt idx="2">
                  <c:v>-32.49805405267216</c:v>
                </c:pt>
                <c:pt idx="3">
                  <c:v>12.845197904307497</c:v>
                </c:pt>
                <c:pt idx="4">
                  <c:v>106.28323045643538</c:v>
                </c:pt>
                <c:pt idx="5">
                  <c:v>-26.199999999999818</c:v>
                </c:pt>
                <c:pt idx="6">
                  <c:v>53.241006237856709</c:v>
                </c:pt>
                <c:pt idx="7">
                  <c:v>-29.700000000000728</c:v>
                </c:pt>
                <c:pt idx="8">
                  <c:v>30.498964527373573</c:v>
                </c:pt>
                <c:pt idx="9">
                  <c:v>-25.000000000000909</c:v>
                </c:pt>
                <c:pt idx="10">
                  <c:v>73.055335927896522</c:v>
                </c:pt>
                <c:pt idx="11">
                  <c:v>-63.385413472350592</c:v>
                </c:pt>
                <c:pt idx="12">
                  <c:v>-46</c:v>
                </c:pt>
                <c:pt idx="13">
                  <c:v>78.436854484098149</c:v>
                </c:pt>
                <c:pt idx="14">
                  <c:v>-57.484359026784659</c:v>
                </c:pt>
                <c:pt idx="15">
                  <c:v>19.219168284458647</c:v>
                </c:pt>
                <c:pt idx="16">
                  <c:v>29.941074523397219</c:v>
                </c:pt>
                <c:pt idx="17">
                  <c:v>-59.170567881131319</c:v>
                </c:pt>
              </c:numCache>
            </c:numRef>
          </c:val>
        </c:ser>
        <c:marker val="1"/>
        <c:axId val="233102336"/>
        <c:axId val="233104128"/>
      </c:lineChart>
      <c:catAx>
        <c:axId val="233102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104128"/>
        <c:crosses val="autoZero"/>
        <c:auto val="1"/>
        <c:lblAlgn val="ctr"/>
        <c:lblOffset val="100"/>
        <c:tickLblSkip val="1"/>
        <c:tickMarkSkip val="1"/>
      </c:catAx>
      <c:valAx>
        <c:axId val="233104128"/>
        <c:scaling>
          <c:orientation val="minMax"/>
          <c:max val="300"/>
          <c:min val="-300"/>
        </c:scaling>
        <c:axPos val="l"/>
        <c:numFmt formatCode="#,##0_);\(#,##0\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102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580739323472895"/>
          <c:y val="0.92823066555350064"/>
          <c:w val="0.73512792209387001"/>
          <c:h val="5.5023818488385057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Unexplained Variance from Model - Winter Peak</a:t>
            </a:r>
          </a:p>
        </c:rich>
      </c:tx>
      <c:layout>
        <c:manualLayout>
          <c:xMode val="edge"/>
          <c:yMode val="edge"/>
          <c:x val="0.27721365940767062"/>
          <c:y val="3.38542065033934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859473989941748E-2"/>
          <c:y val="0.13827274751461319"/>
          <c:w val="0.8912472615110435"/>
          <c:h val="0.66997836685706669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Winter!$AG$25:$AG$46</c:f>
              <c:numCache>
                <c:formatCode>General</c:formatCode>
                <c:ptCount val="2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</c:numCache>
            </c:numRef>
          </c:cat>
          <c:val>
            <c:numRef>
              <c:f>Winter!$AP$25:$AP$46</c:f>
              <c:numCache>
                <c:formatCode>#,##0_);\(#,##0\)</c:formatCode>
                <c:ptCount val="22"/>
                <c:pt idx="0">
                  <c:v>-111.75656121435713</c:v>
                </c:pt>
                <c:pt idx="1">
                  <c:v>-259.5325604386353</c:v>
                </c:pt>
                <c:pt idx="2">
                  <c:v>-184.18693394444381</c:v>
                </c:pt>
                <c:pt idx="3">
                  <c:v>-111.84721744051967</c:v>
                </c:pt>
                <c:pt idx="4">
                  <c:v>126.72033346618809</c:v>
                </c:pt>
                <c:pt idx="5">
                  <c:v>167.20325392145969</c:v>
                </c:pt>
                <c:pt idx="6">
                  <c:v>382.18567848028579</c:v>
                </c:pt>
                <c:pt idx="7">
                  <c:v>89.748778745246454</c:v>
                </c:pt>
                <c:pt idx="8">
                  <c:v>114.69999999999982</c:v>
                </c:pt>
                <c:pt idx="9">
                  <c:v>237.81395848246211</c:v>
                </c:pt>
                <c:pt idx="10">
                  <c:v>220.09999999999854</c:v>
                </c:pt>
                <c:pt idx="11">
                  <c:v>-323.10818125897094</c:v>
                </c:pt>
                <c:pt idx="12">
                  <c:v>-89.251659156084315</c:v>
                </c:pt>
                <c:pt idx="13">
                  <c:v>-283.38716714461225</c:v>
                </c:pt>
                <c:pt idx="14">
                  <c:v>130.43796381478205</c:v>
                </c:pt>
                <c:pt idx="15">
                  <c:v>-216</c:v>
                </c:pt>
                <c:pt idx="16">
                  <c:v>-60.088275846201213</c:v>
                </c:pt>
                <c:pt idx="17">
                  <c:v>-59.089756695972028</c:v>
                </c:pt>
                <c:pt idx="18">
                  <c:v>154.0404720547649</c:v>
                </c:pt>
                <c:pt idx="19">
                  <c:v>34.523858179218223</c:v>
                </c:pt>
                <c:pt idx="20">
                  <c:v>-55.596376959088047</c:v>
                </c:pt>
                <c:pt idx="21">
                  <c:v>99</c:v>
                </c:pt>
              </c:numCache>
            </c:numRef>
          </c:val>
        </c:ser>
        <c:marker val="1"/>
        <c:axId val="230175872"/>
        <c:axId val="230177408"/>
      </c:lineChart>
      <c:catAx>
        <c:axId val="230175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177408"/>
        <c:crosses val="autoZero"/>
        <c:auto val="1"/>
        <c:lblAlgn val="ctr"/>
        <c:lblOffset val="100"/>
        <c:tickLblSkip val="2"/>
        <c:tickMarkSkip val="1"/>
      </c:catAx>
      <c:valAx>
        <c:axId val="230177408"/>
        <c:scaling>
          <c:orientation val="minMax"/>
          <c:max val="800"/>
          <c:min val="-8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_);\(#,##0\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1758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/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- September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230554748398189"/>
          <c:y val="0.10780226436192519"/>
          <c:w val="0.8602311527878137"/>
          <c:h val="0.67953967292552986"/>
        </c:manualLayout>
      </c:layout>
      <c:lineChart>
        <c:grouping val="standard"/>
        <c:ser>
          <c:idx val="0"/>
          <c:order val="0"/>
          <c:tx>
            <c:strRef>
              <c:f>Sep!$AE$6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Sep!$AD$16:$AD$53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Sep!$AE$16:$AE$53</c:f>
              <c:numCache>
                <c:formatCode>#,##0</c:formatCode>
                <c:ptCount val="38"/>
                <c:pt idx="0">
                  <c:v>3374</c:v>
                </c:pt>
                <c:pt idx="1">
                  <c:v>3494</c:v>
                </c:pt>
                <c:pt idx="2">
                  <c:v>3794</c:v>
                </c:pt>
                <c:pt idx="3">
                  <c:v>3918</c:v>
                </c:pt>
                <c:pt idx="4">
                  <c:v>4320</c:v>
                </c:pt>
                <c:pt idx="5">
                  <c:v>4219</c:v>
                </c:pt>
                <c:pt idx="6">
                  <c:v>4736</c:v>
                </c:pt>
                <c:pt idx="7">
                  <c:v>4862.5418090919666</c:v>
                </c:pt>
                <c:pt idx="8">
                  <c:v>4915.721102197419</c:v>
                </c:pt>
                <c:pt idx="9">
                  <c:v>4984.9077875496141</c:v>
                </c:pt>
                <c:pt idx="10">
                  <c:v>5160.7729770312526</c:v>
                </c:pt>
                <c:pt idx="11">
                  <c:v>5281.1055916469631</c:v>
                </c:pt>
                <c:pt idx="12">
                  <c:v>5635.1149307593696</c:v>
                </c:pt>
                <c:pt idx="13">
                  <c:v>5929.7974526371727</c:v>
                </c:pt>
                <c:pt idx="14">
                  <c:v>5787.3094466672919</c:v>
                </c:pt>
                <c:pt idx="15">
                  <c:v>6097.4429308049821</c:v>
                </c:pt>
                <c:pt idx="16">
                  <c:v>6200.7300344014657</c:v>
                </c:pt>
                <c:pt idx="17">
                  <c:v>6432</c:v>
                </c:pt>
                <c:pt idx="18">
                  <c:v>6701.6</c:v>
                </c:pt>
                <c:pt idx="19">
                  <c:v>7065.3</c:v>
                </c:pt>
                <c:pt idx="20">
                  <c:v>6937.9</c:v>
                </c:pt>
                <c:pt idx="21">
                  <c:v>7253.4999999999991</c:v>
                </c:pt>
                <c:pt idx="22">
                  <c:v>7475.5999999999995</c:v>
                </c:pt>
                <c:pt idx="23">
                  <c:v>7477.2</c:v>
                </c:pt>
                <c:pt idx="24">
                  <c:v>7809</c:v>
                </c:pt>
                <c:pt idx="25">
                  <c:v>7546</c:v>
                </c:pt>
                <c:pt idx="26">
                  <c:v>7057</c:v>
                </c:pt>
                <c:pt idx="27">
                  <c:v>7546</c:v>
                </c:pt>
                <c:pt idx="28">
                  <c:v>7083</c:v>
                </c:pt>
                <c:pt idx="29">
                  <c:v>7254</c:v>
                </c:pt>
              </c:numCache>
            </c:numRef>
          </c:val>
        </c:ser>
        <c:ser>
          <c:idx val="3"/>
          <c:order val="1"/>
          <c:tx>
            <c:strRef>
              <c:f>Sep!$AJ$6</c:f>
              <c:strCache>
                <c:ptCount val="1"/>
                <c:pt idx="0">
                  <c:v>PRED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 w="3175">
                <a:solidFill>
                  <a:srgbClr val="FF0000"/>
                </a:solidFill>
              </a:ln>
            </c:spPr>
          </c:marker>
          <c:val>
            <c:numRef>
              <c:f>Sep!$AJ$16:$AJ$53</c:f>
              <c:numCache>
                <c:formatCode>#,##0</c:formatCode>
                <c:ptCount val="38"/>
                <c:pt idx="0">
                  <c:v>3686</c:v>
                </c:pt>
                <c:pt idx="1">
                  <c:v>3839</c:v>
                </c:pt>
                <c:pt idx="2">
                  <c:v>4013</c:v>
                </c:pt>
                <c:pt idx="3">
                  <c:v>4234</c:v>
                </c:pt>
                <c:pt idx="4">
                  <c:v>4521</c:v>
                </c:pt>
                <c:pt idx="5">
                  <c:v>4221</c:v>
                </c:pt>
                <c:pt idx="6">
                  <c:v>4846</c:v>
                </c:pt>
                <c:pt idx="7">
                  <c:v>5159</c:v>
                </c:pt>
                <c:pt idx="8">
                  <c:v>5210</c:v>
                </c:pt>
                <c:pt idx="9">
                  <c:v>4830</c:v>
                </c:pt>
                <c:pt idx="10">
                  <c:v>5212</c:v>
                </c:pt>
                <c:pt idx="11">
                  <c:v>5305</c:v>
                </c:pt>
                <c:pt idx="12">
                  <c:v>5758</c:v>
                </c:pt>
                <c:pt idx="13">
                  <c:v>5878</c:v>
                </c:pt>
                <c:pt idx="14">
                  <c:v>5913</c:v>
                </c:pt>
                <c:pt idx="15">
                  <c:v>6162</c:v>
                </c:pt>
                <c:pt idx="16">
                  <c:v>6126</c:v>
                </c:pt>
                <c:pt idx="17">
                  <c:v>6452</c:v>
                </c:pt>
                <c:pt idx="18">
                  <c:v>6639</c:v>
                </c:pt>
                <c:pt idx="19">
                  <c:v>6843</c:v>
                </c:pt>
                <c:pt idx="20">
                  <c:v>7028</c:v>
                </c:pt>
                <c:pt idx="21">
                  <c:v>7291</c:v>
                </c:pt>
                <c:pt idx="22">
                  <c:v>7501</c:v>
                </c:pt>
                <c:pt idx="23">
                  <c:v>7519</c:v>
                </c:pt>
                <c:pt idx="24">
                  <c:v>7673</c:v>
                </c:pt>
                <c:pt idx="25">
                  <c:v>7500</c:v>
                </c:pt>
                <c:pt idx="26">
                  <c:v>7032</c:v>
                </c:pt>
                <c:pt idx="27">
                  <c:v>7480</c:v>
                </c:pt>
                <c:pt idx="28">
                  <c:v>7281</c:v>
                </c:pt>
                <c:pt idx="29">
                  <c:v>7292</c:v>
                </c:pt>
              </c:numCache>
            </c:numRef>
          </c:val>
        </c:ser>
        <c:ser>
          <c:idx val="1"/>
          <c:order val="2"/>
          <c:tx>
            <c:strRef>
              <c:f>Sep!$BD$12</c:f>
              <c:strCache>
                <c:ptCount val="1"/>
                <c:pt idx="0">
                  <c:v>Pred w/Norm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val>
            <c:numRef>
              <c:f>Sep!$BD$16:$BD$53</c:f>
              <c:numCache>
                <c:formatCode>#,##0</c:formatCode>
                <c:ptCount val="38"/>
                <c:pt idx="0">
                  <c:v>3604</c:v>
                </c:pt>
                <c:pt idx="1">
                  <c:v>3823</c:v>
                </c:pt>
                <c:pt idx="2">
                  <c:v>4029</c:v>
                </c:pt>
                <c:pt idx="3">
                  <c:v>4234</c:v>
                </c:pt>
                <c:pt idx="4">
                  <c:v>4454</c:v>
                </c:pt>
                <c:pt idx="5">
                  <c:v>4195</c:v>
                </c:pt>
                <c:pt idx="6">
                  <c:v>4871</c:v>
                </c:pt>
                <c:pt idx="7">
                  <c:v>5035</c:v>
                </c:pt>
                <c:pt idx="8">
                  <c:v>5148</c:v>
                </c:pt>
                <c:pt idx="9">
                  <c:v>4819</c:v>
                </c:pt>
                <c:pt idx="10">
                  <c:v>5155</c:v>
                </c:pt>
                <c:pt idx="11">
                  <c:v>5279</c:v>
                </c:pt>
                <c:pt idx="12">
                  <c:v>5732</c:v>
                </c:pt>
                <c:pt idx="13">
                  <c:v>5842</c:v>
                </c:pt>
                <c:pt idx="14">
                  <c:v>5960</c:v>
                </c:pt>
                <c:pt idx="15">
                  <c:v>6126</c:v>
                </c:pt>
                <c:pt idx="16">
                  <c:v>5997</c:v>
                </c:pt>
                <c:pt idx="17">
                  <c:v>6520</c:v>
                </c:pt>
                <c:pt idx="18">
                  <c:v>6701</c:v>
                </c:pt>
                <c:pt idx="19">
                  <c:v>6884</c:v>
                </c:pt>
                <c:pt idx="20">
                  <c:v>7079</c:v>
                </c:pt>
                <c:pt idx="21">
                  <c:v>7291</c:v>
                </c:pt>
                <c:pt idx="22">
                  <c:v>7424</c:v>
                </c:pt>
                <c:pt idx="23">
                  <c:v>7628</c:v>
                </c:pt>
                <c:pt idx="24">
                  <c:v>7735</c:v>
                </c:pt>
                <c:pt idx="25">
                  <c:v>7490</c:v>
                </c:pt>
                <c:pt idx="26">
                  <c:v>7218</c:v>
                </c:pt>
                <c:pt idx="27">
                  <c:v>7485</c:v>
                </c:pt>
                <c:pt idx="28">
                  <c:v>7302</c:v>
                </c:pt>
                <c:pt idx="29">
                  <c:v>7380</c:v>
                </c:pt>
              </c:numCache>
            </c:numRef>
          </c:val>
        </c:ser>
        <c:ser>
          <c:idx val="4"/>
          <c:order val="3"/>
          <c:tx>
            <c:strRef>
              <c:f>Sep!$AN$6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Sep!$AN$16:$AN$53</c:f>
              <c:numCache>
                <c:formatCode>General</c:formatCode>
                <c:ptCount val="38"/>
                <c:pt idx="30" formatCode="#,##0">
                  <c:v>8409</c:v>
                </c:pt>
                <c:pt idx="31" formatCode="#,##0">
                  <c:v>8566</c:v>
                </c:pt>
                <c:pt idx="32" formatCode="#,##0">
                  <c:v>8739</c:v>
                </c:pt>
                <c:pt idx="33" formatCode="#,##0">
                  <c:v>8906</c:v>
                </c:pt>
                <c:pt idx="34" formatCode="#,##0">
                  <c:v>9081</c:v>
                </c:pt>
                <c:pt idx="35" formatCode="#,##0">
                  <c:v>9258</c:v>
                </c:pt>
                <c:pt idx="36" formatCode="#,##0">
                  <c:v>9436</c:v>
                </c:pt>
                <c:pt idx="37" formatCode="#,##0">
                  <c:v>9613</c:v>
                </c:pt>
              </c:numCache>
            </c:numRef>
          </c:val>
        </c:ser>
        <c:ser>
          <c:idx val="2"/>
          <c:order val="4"/>
          <c:tx>
            <c:strRef>
              <c:f>Sep!$AM$6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Sep!$AM$16:$AM$53</c:f>
              <c:numCache>
                <c:formatCode>General</c:formatCode>
                <c:ptCount val="38"/>
                <c:pt idx="30" formatCode="#,##0">
                  <c:v>7546</c:v>
                </c:pt>
                <c:pt idx="31" formatCode="#,##0">
                  <c:v>7751</c:v>
                </c:pt>
                <c:pt idx="32" formatCode="#,##0">
                  <c:v>7985</c:v>
                </c:pt>
                <c:pt idx="33" formatCode="#,##0">
                  <c:v>8215</c:v>
                </c:pt>
                <c:pt idx="34" formatCode="#,##0">
                  <c:v>8447</c:v>
                </c:pt>
                <c:pt idx="35" formatCode="#,##0">
                  <c:v>8580</c:v>
                </c:pt>
                <c:pt idx="36" formatCode="#,##0">
                  <c:v>8705</c:v>
                </c:pt>
                <c:pt idx="37" formatCode="#,##0">
                  <c:v>8829</c:v>
                </c:pt>
              </c:numCache>
            </c:numRef>
          </c:val>
        </c:ser>
        <c:marker val="1"/>
        <c:axId val="233650048"/>
        <c:axId val="233651584"/>
      </c:lineChart>
      <c:catAx>
        <c:axId val="2336500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651584"/>
        <c:crosses val="autoZero"/>
        <c:auto val="1"/>
        <c:lblAlgn val="ctr"/>
        <c:lblOffset val="100"/>
        <c:tickLblSkip val="2"/>
        <c:tickMarkSkip val="2"/>
      </c:catAx>
      <c:valAx>
        <c:axId val="233651584"/>
        <c:scaling>
          <c:orientation val="minMax"/>
          <c:min val="2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650048"/>
        <c:crosses val="autoZero"/>
        <c:crossBetween val="midCat"/>
      </c:valAx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81146948930345"/>
          <c:y val="0.92658239341702009"/>
          <c:w val="0.80904896514209801"/>
          <c:h val="5.759750301482713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- September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230554748398195"/>
          <c:y val="0.10780226436192519"/>
          <c:w val="0.8602311527878137"/>
          <c:h val="0.6795396729255303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Sep!$AD$16:$AD$45</c:f>
              <c:numCache>
                <c:formatCode>General</c:formatCode>
                <c:ptCount val="30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</c:numCache>
            </c:numRef>
          </c:cat>
          <c:val>
            <c:numRef>
              <c:f>Sep!$AK$16:$AK$45</c:f>
              <c:numCache>
                <c:formatCode>#,##0</c:formatCode>
                <c:ptCount val="30"/>
                <c:pt idx="0">
                  <c:v>-312</c:v>
                </c:pt>
                <c:pt idx="1">
                  <c:v>-345</c:v>
                </c:pt>
                <c:pt idx="2">
                  <c:v>-219</c:v>
                </c:pt>
                <c:pt idx="3">
                  <c:v>-316</c:v>
                </c:pt>
                <c:pt idx="4">
                  <c:v>-201</c:v>
                </c:pt>
                <c:pt idx="5">
                  <c:v>-2</c:v>
                </c:pt>
                <c:pt idx="6">
                  <c:v>-110</c:v>
                </c:pt>
                <c:pt idx="7">
                  <c:v>-296.45819090803343</c:v>
                </c:pt>
                <c:pt idx="8">
                  <c:v>-294.27889780258101</c:v>
                </c:pt>
                <c:pt idx="9">
                  <c:v>154.90778754961411</c:v>
                </c:pt>
                <c:pt idx="10">
                  <c:v>-51.227022968747406</c:v>
                </c:pt>
                <c:pt idx="11">
                  <c:v>-23.894408353036852</c:v>
                </c:pt>
                <c:pt idx="12">
                  <c:v>-122.8850692406304</c:v>
                </c:pt>
                <c:pt idx="13">
                  <c:v>51.797452637172682</c:v>
                </c:pt>
                <c:pt idx="14">
                  <c:v>-125.69055333270808</c:v>
                </c:pt>
                <c:pt idx="15">
                  <c:v>-64.557069195017903</c:v>
                </c:pt>
                <c:pt idx="16">
                  <c:v>74.730034401465673</c:v>
                </c:pt>
                <c:pt idx="17">
                  <c:v>-20</c:v>
                </c:pt>
                <c:pt idx="18">
                  <c:v>62.600000000000364</c:v>
                </c:pt>
                <c:pt idx="19">
                  <c:v>222.30000000000018</c:v>
                </c:pt>
                <c:pt idx="20">
                  <c:v>-90.100000000000364</c:v>
                </c:pt>
                <c:pt idx="21">
                  <c:v>-37.500000000000909</c:v>
                </c:pt>
                <c:pt idx="22">
                  <c:v>-25.400000000000546</c:v>
                </c:pt>
                <c:pt idx="23">
                  <c:v>-41.800000000000182</c:v>
                </c:pt>
                <c:pt idx="24">
                  <c:v>136</c:v>
                </c:pt>
                <c:pt idx="25">
                  <c:v>46</c:v>
                </c:pt>
                <c:pt idx="26">
                  <c:v>25</c:v>
                </c:pt>
                <c:pt idx="27">
                  <c:v>66</c:v>
                </c:pt>
                <c:pt idx="28">
                  <c:v>-198</c:v>
                </c:pt>
                <c:pt idx="29">
                  <c:v>-38</c:v>
                </c:pt>
              </c:numCache>
            </c:numRef>
          </c:val>
        </c:ser>
        <c:marker val="1"/>
        <c:axId val="233663872"/>
        <c:axId val="233682048"/>
      </c:lineChart>
      <c:catAx>
        <c:axId val="233663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682048"/>
        <c:crosses val="autoZero"/>
        <c:auto val="1"/>
        <c:lblAlgn val="ctr"/>
        <c:lblOffset val="100"/>
        <c:tickLblSkip val="2"/>
        <c:tickMarkSkip val="2"/>
      </c:catAx>
      <c:valAx>
        <c:axId val="233682048"/>
        <c:scaling>
          <c:orientation val="minMax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663872"/>
        <c:crosses val="autoZero"/>
        <c:crossBetween val="midCat"/>
      </c:valAx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81146948930345"/>
          <c:y val="0.92658239341701987"/>
          <c:w val="0.80904896514209801"/>
          <c:h val="5.759750301482713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&amp; EE - October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8.9925056597144559E-2"/>
          <c:y val="9.9110426940577062E-2"/>
          <c:w val="0.89693647236160978"/>
          <c:h val="0.67846797264530623"/>
        </c:manualLayout>
      </c:layout>
      <c:lineChart>
        <c:grouping val="standard"/>
        <c:ser>
          <c:idx val="0"/>
          <c:order val="0"/>
          <c:tx>
            <c:strRef>
              <c:f>Oct!$AE$6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Oct!$AD$16:$AD$53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Oct!$AE$16:$AE$53</c:f>
              <c:numCache>
                <c:formatCode>#,##0</c:formatCode>
                <c:ptCount val="38"/>
                <c:pt idx="0">
                  <c:v>2798</c:v>
                </c:pt>
                <c:pt idx="1">
                  <c:v>2830</c:v>
                </c:pt>
                <c:pt idx="2">
                  <c:v>3557</c:v>
                </c:pt>
                <c:pt idx="3">
                  <c:v>3952</c:v>
                </c:pt>
                <c:pt idx="4">
                  <c:v>3095</c:v>
                </c:pt>
                <c:pt idx="5">
                  <c:v>3481</c:v>
                </c:pt>
                <c:pt idx="6">
                  <c:v>4158</c:v>
                </c:pt>
                <c:pt idx="7">
                  <c:v>4508.2040809208229</c:v>
                </c:pt>
                <c:pt idx="8">
                  <c:v>4047.26853854203</c:v>
                </c:pt>
                <c:pt idx="9">
                  <c:v>4090.6393536279975</c:v>
                </c:pt>
                <c:pt idx="10">
                  <c:v>4656.8394841510944</c:v>
                </c:pt>
                <c:pt idx="11">
                  <c:v>4742.0819811591964</c:v>
                </c:pt>
                <c:pt idx="12">
                  <c:v>5194.3308778409855</c:v>
                </c:pt>
                <c:pt idx="13">
                  <c:v>4536.5111325893449</c:v>
                </c:pt>
                <c:pt idx="14">
                  <c:v>5453.1186585752384</c:v>
                </c:pt>
                <c:pt idx="15">
                  <c:v>5902.6926173604425</c:v>
                </c:pt>
                <c:pt idx="16">
                  <c:v>5586.2</c:v>
                </c:pt>
                <c:pt idx="17">
                  <c:v>6275.3</c:v>
                </c:pt>
                <c:pt idx="18">
                  <c:v>5662</c:v>
                </c:pt>
                <c:pt idx="19">
                  <c:v>6614.69</c:v>
                </c:pt>
                <c:pt idx="20">
                  <c:v>6490.9</c:v>
                </c:pt>
                <c:pt idx="21">
                  <c:v>7069.9999999999991</c:v>
                </c:pt>
                <c:pt idx="22">
                  <c:v>6960.1999999999989</c:v>
                </c:pt>
                <c:pt idx="23">
                  <c:v>7107.2</c:v>
                </c:pt>
                <c:pt idx="24">
                  <c:v>7197</c:v>
                </c:pt>
                <c:pt idx="25">
                  <c:v>6593</c:v>
                </c:pt>
                <c:pt idx="26">
                  <c:v>7575</c:v>
                </c:pt>
                <c:pt idx="27">
                  <c:v>6647</c:v>
                </c:pt>
                <c:pt idx="28">
                  <c:v>6075</c:v>
                </c:pt>
                <c:pt idx="29">
                  <c:v>6798</c:v>
                </c:pt>
              </c:numCache>
            </c:numRef>
          </c:val>
        </c:ser>
        <c:ser>
          <c:idx val="3"/>
          <c:order val="1"/>
          <c:tx>
            <c:strRef>
              <c:f>Oct!$AJ$6</c:f>
              <c:strCache>
                <c:ptCount val="1"/>
                <c:pt idx="0">
                  <c:v>PRED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Oct!$AJ$16:$AJ$53</c:f>
              <c:numCache>
                <c:formatCode>#,##0</c:formatCode>
                <c:ptCount val="38"/>
                <c:pt idx="0">
                  <c:v>2786</c:v>
                </c:pt>
                <c:pt idx="1">
                  <c:v>2364</c:v>
                </c:pt>
                <c:pt idx="2">
                  <c:v>3538</c:v>
                </c:pt>
                <c:pt idx="3">
                  <c:v>3952</c:v>
                </c:pt>
                <c:pt idx="4">
                  <c:v>3322</c:v>
                </c:pt>
                <c:pt idx="5">
                  <c:v>3656</c:v>
                </c:pt>
                <c:pt idx="6">
                  <c:v>4074</c:v>
                </c:pt>
                <c:pt idx="7">
                  <c:v>4566</c:v>
                </c:pt>
                <c:pt idx="8">
                  <c:v>4045</c:v>
                </c:pt>
                <c:pt idx="9">
                  <c:v>4064</c:v>
                </c:pt>
                <c:pt idx="10">
                  <c:v>4612</c:v>
                </c:pt>
                <c:pt idx="11">
                  <c:v>4812</c:v>
                </c:pt>
                <c:pt idx="12">
                  <c:v>5261</c:v>
                </c:pt>
                <c:pt idx="13">
                  <c:v>4722</c:v>
                </c:pt>
                <c:pt idx="14">
                  <c:v>5438</c:v>
                </c:pt>
                <c:pt idx="15">
                  <c:v>5846</c:v>
                </c:pt>
                <c:pt idx="16">
                  <c:v>5592</c:v>
                </c:pt>
                <c:pt idx="17">
                  <c:v>6140</c:v>
                </c:pt>
                <c:pt idx="18">
                  <c:v>5629</c:v>
                </c:pt>
                <c:pt idx="19">
                  <c:v>6623</c:v>
                </c:pt>
                <c:pt idx="20">
                  <c:v>6547</c:v>
                </c:pt>
                <c:pt idx="21">
                  <c:v>6540</c:v>
                </c:pt>
                <c:pt idx="22">
                  <c:v>7006</c:v>
                </c:pt>
                <c:pt idx="23">
                  <c:v>7240</c:v>
                </c:pt>
                <c:pt idx="24">
                  <c:v>7294</c:v>
                </c:pt>
                <c:pt idx="25">
                  <c:v>6697</c:v>
                </c:pt>
                <c:pt idx="26">
                  <c:v>7646</c:v>
                </c:pt>
                <c:pt idx="27">
                  <c:v>6593</c:v>
                </c:pt>
                <c:pt idx="28">
                  <c:v>6134</c:v>
                </c:pt>
                <c:pt idx="29">
                  <c:v>6793</c:v>
                </c:pt>
              </c:numCache>
            </c:numRef>
          </c:val>
        </c:ser>
        <c:ser>
          <c:idx val="1"/>
          <c:order val="2"/>
          <c:tx>
            <c:strRef>
              <c:f>Oct!$BD$12</c:f>
              <c:strCache>
                <c:ptCount val="1"/>
                <c:pt idx="0">
                  <c:v>Pred w/Norm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Oct!$BD$16:$BD$53</c:f>
              <c:numCache>
                <c:formatCode>#,##0</c:formatCode>
                <c:ptCount val="38"/>
                <c:pt idx="0">
                  <c:v>2741</c:v>
                </c:pt>
                <c:pt idx="1">
                  <c:v>2981</c:v>
                </c:pt>
                <c:pt idx="2">
                  <c:v>3207</c:v>
                </c:pt>
                <c:pt idx="3">
                  <c:v>3440</c:v>
                </c:pt>
                <c:pt idx="4">
                  <c:v>3683</c:v>
                </c:pt>
                <c:pt idx="5">
                  <c:v>3521</c:v>
                </c:pt>
                <c:pt idx="6">
                  <c:v>4150</c:v>
                </c:pt>
                <c:pt idx="7">
                  <c:v>4326</c:v>
                </c:pt>
                <c:pt idx="8">
                  <c:v>4060</c:v>
                </c:pt>
                <c:pt idx="9">
                  <c:v>4199</c:v>
                </c:pt>
                <c:pt idx="10">
                  <c:v>4416</c:v>
                </c:pt>
                <c:pt idx="11">
                  <c:v>4947</c:v>
                </c:pt>
                <c:pt idx="12">
                  <c:v>5095</c:v>
                </c:pt>
                <c:pt idx="13">
                  <c:v>5234</c:v>
                </c:pt>
                <c:pt idx="14">
                  <c:v>5348</c:v>
                </c:pt>
                <c:pt idx="15">
                  <c:v>5530</c:v>
                </c:pt>
                <c:pt idx="16">
                  <c:v>5727</c:v>
                </c:pt>
                <c:pt idx="17">
                  <c:v>5959</c:v>
                </c:pt>
                <c:pt idx="18">
                  <c:v>5765</c:v>
                </c:pt>
                <c:pt idx="19">
                  <c:v>6352</c:v>
                </c:pt>
                <c:pt idx="20">
                  <c:v>6577</c:v>
                </c:pt>
                <c:pt idx="21">
                  <c:v>6811</c:v>
                </c:pt>
                <c:pt idx="22">
                  <c:v>6961</c:v>
                </c:pt>
                <c:pt idx="23">
                  <c:v>7180</c:v>
                </c:pt>
                <c:pt idx="24">
                  <c:v>7279</c:v>
                </c:pt>
                <c:pt idx="25">
                  <c:v>6863</c:v>
                </c:pt>
                <c:pt idx="26">
                  <c:v>7209</c:v>
                </c:pt>
                <c:pt idx="27">
                  <c:v>6533</c:v>
                </c:pt>
                <c:pt idx="28">
                  <c:v>6586</c:v>
                </c:pt>
                <c:pt idx="29">
                  <c:v>6672</c:v>
                </c:pt>
              </c:numCache>
            </c:numRef>
          </c:val>
        </c:ser>
        <c:ser>
          <c:idx val="4"/>
          <c:order val="3"/>
          <c:tx>
            <c:strRef>
              <c:f>Oct!$AN$6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Oct!$AN$16:$AN$53</c:f>
              <c:numCache>
                <c:formatCode>General</c:formatCode>
                <c:ptCount val="38"/>
                <c:pt idx="30" formatCode="#,##0">
                  <c:v>7874</c:v>
                </c:pt>
                <c:pt idx="31" formatCode="#,##0">
                  <c:v>8039</c:v>
                </c:pt>
                <c:pt idx="32" formatCode="#,##0">
                  <c:v>8217</c:v>
                </c:pt>
                <c:pt idx="33" formatCode="#,##0">
                  <c:v>8390</c:v>
                </c:pt>
                <c:pt idx="34" formatCode="#,##0">
                  <c:v>8570</c:v>
                </c:pt>
                <c:pt idx="35" formatCode="#,##0">
                  <c:v>8753</c:v>
                </c:pt>
                <c:pt idx="36" formatCode="#,##0">
                  <c:v>8936</c:v>
                </c:pt>
                <c:pt idx="37" formatCode="#,##0">
                  <c:v>9119</c:v>
                </c:pt>
              </c:numCache>
            </c:numRef>
          </c:val>
        </c:ser>
        <c:ser>
          <c:idx val="2"/>
          <c:order val="4"/>
          <c:tx>
            <c:strRef>
              <c:f>Oct!$AM$6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Oct!$AM$16:$AM$53</c:f>
              <c:numCache>
                <c:formatCode>General</c:formatCode>
                <c:ptCount val="38"/>
                <c:pt idx="30" formatCode="#,##0">
                  <c:v>6910</c:v>
                </c:pt>
                <c:pt idx="31" formatCode="#,##0">
                  <c:v>7185</c:v>
                </c:pt>
                <c:pt idx="32" formatCode="#,##0">
                  <c:v>7489</c:v>
                </c:pt>
                <c:pt idx="33" formatCode="#,##0">
                  <c:v>7788</c:v>
                </c:pt>
                <c:pt idx="34" formatCode="#,##0">
                  <c:v>8088</c:v>
                </c:pt>
                <c:pt idx="35" formatCode="#,##0">
                  <c:v>8235</c:v>
                </c:pt>
                <c:pt idx="36" formatCode="#,##0">
                  <c:v>8373</c:v>
                </c:pt>
                <c:pt idx="37" formatCode="#,##0">
                  <c:v>8510</c:v>
                </c:pt>
              </c:numCache>
            </c:numRef>
          </c:val>
        </c:ser>
        <c:marker val="1"/>
        <c:axId val="238106880"/>
        <c:axId val="238125056"/>
      </c:lineChart>
      <c:catAx>
        <c:axId val="238106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125056"/>
        <c:crosses val="autoZero"/>
        <c:auto val="1"/>
        <c:lblAlgn val="ctr"/>
        <c:lblOffset val="100"/>
        <c:tickLblSkip val="2"/>
        <c:tickMarkSkip val="2"/>
      </c:catAx>
      <c:valAx>
        <c:axId val="238125056"/>
        <c:scaling>
          <c:orientation val="minMax"/>
          <c:min val="2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1068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446835480793349"/>
          <c:y val="0.920637467191601"/>
          <c:w val="0.72198684681460268"/>
          <c:h val="6.349245406824212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EE - October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9.2803789954467281E-2"/>
          <c:y val="0.11192071767650343"/>
          <c:w val="0.89549710568294816"/>
          <c:h val="0.69127831398977801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Oct!$AD$16:$AD$44</c:f>
              <c:numCache>
                <c:formatCode>General</c:formatCode>
                <c:ptCount val="29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</c:numCache>
            </c:numRef>
          </c:cat>
          <c:val>
            <c:numRef>
              <c:f>Oct!$AK$16:$AK$45</c:f>
              <c:numCache>
                <c:formatCode>#,##0</c:formatCode>
                <c:ptCount val="30"/>
                <c:pt idx="0">
                  <c:v>12</c:v>
                </c:pt>
                <c:pt idx="1">
                  <c:v>466</c:v>
                </c:pt>
                <c:pt idx="2">
                  <c:v>19</c:v>
                </c:pt>
                <c:pt idx="3">
                  <c:v>0</c:v>
                </c:pt>
                <c:pt idx="4">
                  <c:v>-227</c:v>
                </c:pt>
                <c:pt idx="5">
                  <c:v>-175</c:v>
                </c:pt>
                <c:pt idx="6">
                  <c:v>84</c:v>
                </c:pt>
                <c:pt idx="7">
                  <c:v>-57.795919079177111</c:v>
                </c:pt>
                <c:pt idx="8">
                  <c:v>2.2685385420300008</c:v>
                </c:pt>
                <c:pt idx="9">
                  <c:v>26.63935362799748</c:v>
                </c:pt>
                <c:pt idx="10">
                  <c:v>44.839484151094439</c:v>
                </c:pt>
                <c:pt idx="11">
                  <c:v>-69.918018840803597</c:v>
                </c:pt>
                <c:pt idx="12">
                  <c:v>-66.669122159014478</c:v>
                </c:pt>
                <c:pt idx="13">
                  <c:v>-185.48886741065508</c:v>
                </c:pt>
                <c:pt idx="14">
                  <c:v>15.118658575238442</c:v>
                </c:pt>
                <c:pt idx="15">
                  <c:v>56.692617360442455</c:v>
                </c:pt>
                <c:pt idx="16">
                  <c:v>-5.8000000000001819</c:v>
                </c:pt>
                <c:pt idx="17">
                  <c:v>135.30000000000018</c:v>
                </c:pt>
                <c:pt idx="18">
                  <c:v>33</c:v>
                </c:pt>
                <c:pt idx="19">
                  <c:v>-8.3100000000004002</c:v>
                </c:pt>
                <c:pt idx="20">
                  <c:v>-56.100000000000364</c:v>
                </c:pt>
                <c:pt idx="21">
                  <c:v>529.99999999999909</c:v>
                </c:pt>
                <c:pt idx="22">
                  <c:v>-45.800000000001091</c:v>
                </c:pt>
                <c:pt idx="23">
                  <c:v>-132.80000000000018</c:v>
                </c:pt>
                <c:pt idx="24">
                  <c:v>-97</c:v>
                </c:pt>
                <c:pt idx="25">
                  <c:v>-104</c:v>
                </c:pt>
                <c:pt idx="26">
                  <c:v>-71</c:v>
                </c:pt>
                <c:pt idx="27">
                  <c:v>54</c:v>
                </c:pt>
                <c:pt idx="28">
                  <c:v>-59</c:v>
                </c:pt>
                <c:pt idx="29">
                  <c:v>5</c:v>
                </c:pt>
              </c:numCache>
            </c:numRef>
          </c:val>
        </c:ser>
        <c:marker val="1"/>
        <c:axId val="238161920"/>
        <c:axId val="238163456"/>
      </c:lineChart>
      <c:catAx>
        <c:axId val="238161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163456"/>
        <c:crosses val="autoZero"/>
        <c:auto val="1"/>
        <c:lblAlgn val="ctr"/>
        <c:lblOffset val="100"/>
        <c:tickLblSkip val="2"/>
        <c:tickMarkSkip val="2"/>
      </c:catAx>
      <c:valAx>
        <c:axId val="238163456"/>
        <c:scaling>
          <c:orientation val="minMax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1619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446835480793363"/>
          <c:y val="0.920637467191601"/>
          <c:w val="0.72198684681460268"/>
          <c:h val="6.349245406824212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&amp; Cuml EE - November</a:t>
            </a:r>
          </a:p>
        </c:rich>
      </c:tx>
      <c:layout>
        <c:manualLayout>
          <c:xMode val="edge"/>
          <c:yMode val="edge"/>
          <c:x val="0.22548415463412344"/>
          <c:y val="2.4193562011645093E-2"/>
        </c:manualLayout>
      </c:layout>
      <c:overlay val="1"/>
    </c:title>
    <c:plotArea>
      <c:layout>
        <c:manualLayout>
          <c:layoutTarget val="inner"/>
          <c:xMode val="edge"/>
          <c:yMode val="edge"/>
          <c:x val="9.1420660025300013E-2"/>
          <c:y val="8.8714216845343308E-2"/>
          <c:w val="0.87201244947209233"/>
          <c:h val="0.71766457764209957"/>
        </c:manualLayout>
      </c:layout>
      <c:lineChart>
        <c:grouping val="standard"/>
        <c:ser>
          <c:idx val="0"/>
          <c:order val="0"/>
          <c:tx>
            <c:strRef>
              <c:f>Nov!$AE$6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Nov!$AE$15:$AE$43</c:f>
              <c:numCache>
                <c:formatCode>#,##0</c:formatCode>
                <c:ptCount val="29"/>
                <c:pt idx="0">
                  <c:v>2329</c:v>
                </c:pt>
                <c:pt idx="1">
                  <c:v>2705</c:v>
                </c:pt>
                <c:pt idx="2">
                  <c:v>3045</c:v>
                </c:pt>
                <c:pt idx="3">
                  <c:v>2927</c:v>
                </c:pt>
                <c:pt idx="4">
                  <c:v>3391</c:v>
                </c:pt>
                <c:pt idx="5">
                  <c:v>3463.904708754796</c:v>
                </c:pt>
                <c:pt idx="6">
                  <c:v>4166.9813702377305</c:v>
                </c:pt>
                <c:pt idx="7">
                  <c:v>4431.3213887338916</c:v>
                </c:pt>
                <c:pt idx="8">
                  <c:v>4683.8039374368336</c:v>
                </c:pt>
                <c:pt idx="9">
                  <c:v>4741</c:v>
                </c:pt>
                <c:pt idx="10">
                  <c:v>4616.5</c:v>
                </c:pt>
                <c:pt idx="11">
                  <c:v>5778.26</c:v>
                </c:pt>
                <c:pt idx="12">
                  <c:v>5953.2</c:v>
                </c:pt>
                <c:pt idx="13">
                  <c:v>6074.7000000000007</c:v>
                </c:pt>
                <c:pt idx="14">
                  <c:v>5345.4000000000005</c:v>
                </c:pt>
                <c:pt idx="15">
                  <c:v>5343.5</c:v>
                </c:pt>
                <c:pt idx="16">
                  <c:v>5402</c:v>
                </c:pt>
                <c:pt idx="17">
                  <c:v>5337</c:v>
                </c:pt>
                <c:pt idx="18">
                  <c:v>5455</c:v>
                </c:pt>
                <c:pt idx="19">
                  <c:v>5137</c:v>
                </c:pt>
              </c:numCache>
            </c:numRef>
          </c:val>
        </c:ser>
        <c:ser>
          <c:idx val="3"/>
          <c:order val="1"/>
          <c:tx>
            <c:v>Predicted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Nov!$AD$15:$AD$43</c:f>
              <c:numCache>
                <c:formatCode>General</c:formatCode>
                <c:ptCount val="29"/>
                <c:pt idx="0">
                  <c:v>1982</c:v>
                </c:pt>
                <c:pt idx="1">
                  <c:v>1985</c:v>
                </c:pt>
                <c:pt idx="2">
                  <c:v>1986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1994</c:v>
                </c:pt>
                <c:pt idx="7">
                  <c:v>1996</c:v>
                </c:pt>
                <c:pt idx="8">
                  <c:v>1998</c:v>
                </c:pt>
                <c:pt idx="9">
                  <c:v>1999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</c:numCache>
            </c:numRef>
          </c:cat>
          <c:val>
            <c:numRef>
              <c:f>Nov!$AJ$15:$AJ$43</c:f>
              <c:numCache>
                <c:formatCode>#,##0</c:formatCode>
                <c:ptCount val="29"/>
                <c:pt idx="0">
                  <c:v>2835</c:v>
                </c:pt>
                <c:pt idx="1">
                  <c:v>3319</c:v>
                </c:pt>
                <c:pt idx="2">
                  <c:v>3524</c:v>
                </c:pt>
                <c:pt idx="3">
                  <c:v>3610</c:v>
                </c:pt>
                <c:pt idx="4">
                  <c:v>3845</c:v>
                </c:pt>
                <c:pt idx="5">
                  <c:v>4011</c:v>
                </c:pt>
                <c:pt idx="6">
                  <c:v>4429</c:v>
                </c:pt>
                <c:pt idx="7">
                  <c:v>4348</c:v>
                </c:pt>
                <c:pt idx="8">
                  <c:v>4740</c:v>
                </c:pt>
                <c:pt idx="9">
                  <c:v>4739</c:v>
                </c:pt>
                <c:pt idx="10">
                  <c:v>4353</c:v>
                </c:pt>
                <c:pt idx="11">
                  <c:v>5702</c:v>
                </c:pt>
                <c:pt idx="12">
                  <c:v>5757</c:v>
                </c:pt>
                <c:pt idx="13">
                  <c:v>6032</c:v>
                </c:pt>
                <c:pt idx="14">
                  <c:v>5371</c:v>
                </c:pt>
                <c:pt idx="15">
                  <c:v>5218</c:v>
                </c:pt>
                <c:pt idx="16">
                  <c:v>5485</c:v>
                </c:pt>
                <c:pt idx="17">
                  <c:v>5437</c:v>
                </c:pt>
                <c:pt idx="18">
                  <c:v>5411</c:v>
                </c:pt>
                <c:pt idx="19">
                  <c:v>5445</c:v>
                </c:pt>
              </c:numCache>
            </c:numRef>
          </c:val>
        </c:ser>
        <c:ser>
          <c:idx val="1"/>
          <c:order val="2"/>
          <c:tx>
            <c:strRef>
              <c:f>Nov!$BD$12</c:f>
              <c:strCache>
                <c:ptCount val="1"/>
                <c:pt idx="0">
                  <c:v>Pred w/Norm</c:v>
                </c:pt>
              </c:strCache>
            </c:strRef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Nov!$BD$15:$BD$44</c:f>
              <c:numCache>
                <c:formatCode>#,##0</c:formatCode>
                <c:ptCount val="30"/>
                <c:pt idx="0">
                  <c:v>3031</c:v>
                </c:pt>
                <c:pt idx="1">
                  <c:v>3444</c:v>
                </c:pt>
                <c:pt idx="2">
                  <c:v>3596</c:v>
                </c:pt>
                <c:pt idx="3">
                  <c:v>3888</c:v>
                </c:pt>
                <c:pt idx="4">
                  <c:v>4041</c:v>
                </c:pt>
                <c:pt idx="5">
                  <c:v>4148</c:v>
                </c:pt>
                <c:pt idx="6">
                  <c:v>4542</c:v>
                </c:pt>
                <c:pt idx="7">
                  <c:v>4103</c:v>
                </c:pt>
                <c:pt idx="8">
                  <c:v>4883</c:v>
                </c:pt>
                <c:pt idx="9">
                  <c:v>5011</c:v>
                </c:pt>
                <c:pt idx="10">
                  <c:v>4561</c:v>
                </c:pt>
                <c:pt idx="11">
                  <c:v>5391</c:v>
                </c:pt>
                <c:pt idx="12">
                  <c:v>5529</c:v>
                </c:pt>
                <c:pt idx="13">
                  <c:v>5657</c:v>
                </c:pt>
                <c:pt idx="14">
                  <c:v>5185</c:v>
                </c:pt>
                <c:pt idx="15">
                  <c:v>5314</c:v>
                </c:pt>
                <c:pt idx="16">
                  <c:v>5368</c:v>
                </c:pt>
                <c:pt idx="17">
                  <c:v>5321</c:v>
                </c:pt>
                <c:pt idx="18">
                  <c:v>5224</c:v>
                </c:pt>
                <c:pt idx="19">
                  <c:v>5258</c:v>
                </c:pt>
              </c:numCache>
            </c:numRef>
          </c:val>
        </c:ser>
        <c:ser>
          <c:idx val="4"/>
          <c:order val="3"/>
          <c:tx>
            <c:strRef>
              <c:f>Nov!$AN$6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Nov!$AN$15:$AN$43</c:f>
              <c:numCache>
                <c:formatCode>General</c:formatCode>
                <c:ptCount val="29"/>
                <c:pt idx="19" formatCode="#,##0">
                  <c:v>6617</c:v>
                </c:pt>
                <c:pt idx="20" formatCode="#,##0">
                  <c:v>6719</c:v>
                </c:pt>
                <c:pt idx="21" formatCode="#,##0">
                  <c:v>6853</c:v>
                </c:pt>
                <c:pt idx="22" formatCode="#,##0">
                  <c:v>6996</c:v>
                </c:pt>
                <c:pt idx="23" formatCode="#,##0">
                  <c:v>7135</c:v>
                </c:pt>
                <c:pt idx="24" formatCode="#,##0">
                  <c:v>7280</c:v>
                </c:pt>
                <c:pt idx="25" formatCode="#,##0">
                  <c:v>7427</c:v>
                </c:pt>
                <c:pt idx="26" formatCode="#,##0">
                  <c:v>7575</c:v>
                </c:pt>
                <c:pt idx="27">
                  <c:v>7721</c:v>
                </c:pt>
                <c:pt idx="28">
                  <c:v>7864</c:v>
                </c:pt>
              </c:numCache>
            </c:numRef>
          </c:val>
        </c:ser>
        <c:ser>
          <c:idx val="2"/>
          <c:order val="4"/>
          <c:tx>
            <c:strRef>
              <c:f>Nov!$AM$6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Nov!$AM$15:$AM$43</c:f>
              <c:numCache>
                <c:formatCode>#,##0</c:formatCode>
                <c:ptCount val="29"/>
                <c:pt idx="20">
                  <c:v>5503</c:v>
                </c:pt>
                <c:pt idx="21">
                  <c:v>5730</c:v>
                </c:pt>
                <c:pt idx="22">
                  <c:v>5971</c:v>
                </c:pt>
                <c:pt idx="23">
                  <c:v>6211</c:v>
                </c:pt>
                <c:pt idx="24">
                  <c:v>6450</c:v>
                </c:pt>
                <c:pt idx="25">
                  <c:v>6541</c:v>
                </c:pt>
                <c:pt idx="26">
                  <c:v>6628</c:v>
                </c:pt>
                <c:pt idx="27">
                  <c:v>6713</c:v>
                </c:pt>
                <c:pt idx="28">
                  <c:v>6795</c:v>
                </c:pt>
              </c:numCache>
            </c:numRef>
          </c:val>
        </c:ser>
        <c:marker val="1"/>
        <c:axId val="238406272"/>
        <c:axId val="238236032"/>
      </c:lineChart>
      <c:catAx>
        <c:axId val="2384062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236032"/>
        <c:crosses val="autoZero"/>
        <c:auto val="1"/>
        <c:lblAlgn val="ctr"/>
        <c:lblOffset val="100"/>
        <c:tickLblSkip val="1"/>
        <c:tickMarkSkip val="1"/>
      </c:catAx>
      <c:valAx>
        <c:axId val="238236032"/>
        <c:scaling>
          <c:orientation val="minMax"/>
          <c:min val="1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40627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767948124131541"/>
          <c:y val="0.93166392132017972"/>
          <c:w val="0.75808821851233565"/>
          <c:h val="5.466968353093753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&amp; Cuml EE - November</a:t>
            </a:r>
          </a:p>
        </c:rich>
      </c:tx>
      <c:layout>
        <c:manualLayout>
          <c:xMode val="edge"/>
          <c:yMode val="edge"/>
          <c:x val="0.22548415463412344"/>
          <c:y val="2.4193562011645093E-2"/>
        </c:manualLayout>
      </c:layout>
      <c:overlay val="1"/>
    </c:title>
    <c:plotArea>
      <c:layout>
        <c:manualLayout>
          <c:layoutTarget val="inner"/>
          <c:xMode val="edge"/>
          <c:yMode val="edge"/>
          <c:x val="9.1420660025300013E-2"/>
          <c:y val="8.8714216845343308E-2"/>
          <c:w val="0.87201244947209233"/>
          <c:h val="0.7176645776420999"/>
        </c:manualLayout>
      </c:layout>
      <c:lineChart>
        <c:grouping val="standard"/>
        <c:ser>
          <c:idx val="0"/>
          <c:order val="0"/>
          <c:tx>
            <c:v>Model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Nov!$AD$15:$AD$34</c:f>
              <c:numCache>
                <c:formatCode>General</c:formatCode>
                <c:ptCount val="20"/>
                <c:pt idx="0">
                  <c:v>1982</c:v>
                </c:pt>
                <c:pt idx="1">
                  <c:v>1985</c:v>
                </c:pt>
                <c:pt idx="2">
                  <c:v>1986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1994</c:v>
                </c:pt>
                <c:pt idx="7">
                  <c:v>1996</c:v>
                </c:pt>
                <c:pt idx="8">
                  <c:v>1998</c:v>
                </c:pt>
                <c:pt idx="9">
                  <c:v>1999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</c:numCache>
            </c:numRef>
          </c:cat>
          <c:val>
            <c:numRef>
              <c:f>Nov!$AK$15:$AK$34</c:f>
              <c:numCache>
                <c:formatCode>#,##0</c:formatCode>
                <c:ptCount val="20"/>
                <c:pt idx="0">
                  <c:v>-506</c:v>
                </c:pt>
                <c:pt idx="1">
                  <c:v>-614</c:v>
                </c:pt>
                <c:pt idx="2">
                  <c:v>-479</c:v>
                </c:pt>
                <c:pt idx="3">
                  <c:v>-683</c:v>
                </c:pt>
                <c:pt idx="4">
                  <c:v>-454</c:v>
                </c:pt>
                <c:pt idx="5">
                  <c:v>-547.09529124520395</c:v>
                </c:pt>
                <c:pt idx="6">
                  <c:v>-262.01862976226948</c:v>
                </c:pt>
                <c:pt idx="7">
                  <c:v>83.321388733891581</c:v>
                </c:pt>
                <c:pt idx="8">
                  <c:v>-56.196062563166379</c:v>
                </c:pt>
                <c:pt idx="9">
                  <c:v>2</c:v>
                </c:pt>
                <c:pt idx="10">
                  <c:v>263.5</c:v>
                </c:pt>
                <c:pt idx="11">
                  <c:v>76.260000000000218</c:v>
                </c:pt>
                <c:pt idx="12">
                  <c:v>196.19999999999982</c:v>
                </c:pt>
                <c:pt idx="13">
                  <c:v>42.700000000000728</c:v>
                </c:pt>
                <c:pt idx="14">
                  <c:v>-25.599999999999454</c:v>
                </c:pt>
                <c:pt idx="15">
                  <c:v>125.5</c:v>
                </c:pt>
                <c:pt idx="16">
                  <c:v>-83</c:v>
                </c:pt>
                <c:pt idx="17">
                  <c:v>-100</c:v>
                </c:pt>
                <c:pt idx="18">
                  <c:v>44</c:v>
                </c:pt>
                <c:pt idx="19">
                  <c:v>-308</c:v>
                </c:pt>
              </c:numCache>
            </c:numRef>
          </c:val>
        </c:ser>
        <c:marker val="1"/>
        <c:axId val="238276992"/>
        <c:axId val="238278528"/>
      </c:lineChart>
      <c:catAx>
        <c:axId val="238276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278528"/>
        <c:crosses val="autoZero"/>
        <c:auto val="1"/>
        <c:lblAlgn val="ctr"/>
        <c:lblOffset val="100"/>
        <c:tickLblSkip val="1"/>
        <c:tickMarkSkip val="1"/>
      </c:catAx>
      <c:valAx>
        <c:axId val="238278528"/>
        <c:scaling>
          <c:orientation val="minMax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2769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767948124131541"/>
          <c:y val="0.93166392132017972"/>
          <c:w val="0.75808821851233565"/>
          <c:h val="5.466968353093753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&amp; EE - December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1111126372305696"/>
          <c:y val="0.1124933315403811"/>
          <c:w val="0.85935420423782005"/>
          <c:h val="0.67792359598613861"/>
        </c:manualLayout>
      </c:layout>
      <c:lineChart>
        <c:grouping val="standard"/>
        <c:ser>
          <c:idx val="0"/>
          <c:order val="0"/>
          <c:tx>
            <c:strRef>
              <c:f>Dec!$AE$6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Dec!$AD$15:$AD$51</c:f>
              <c:numCache>
                <c:formatCode>General</c:formatCode>
                <c:ptCount val="37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  <c:pt idx="35">
                  <c:v>2019</c:v>
                </c:pt>
                <c:pt idx="36">
                  <c:v>2020</c:v>
                </c:pt>
              </c:numCache>
            </c:numRef>
          </c:cat>
          <c:val>
            <c:numRef>
              <c:f>Dec!$AE$15:$AE$51</c:f>
              <c:numCache>
                <c:formatCode>#,##0</c:formatCode>
                <c:ptCount val="37"/>
                <c:pt idx="0">
                  <c:v>2999</c:v>
                </c:pt>
                <c:pt idx="1">
                  <c:v>4058</c:v>
                </c:pt>
                <c:pt idx="2">
                  <c:v>3486</c:v>
                </c:pt>
                <c:pt idx="3">
                  <c:v>4540</c:v>
                </c:pt>
                <c:pt idx="4">
                  <c:v>4172</c:v>
                </c:pt>
                <c:pt idx="5">
                  <c:v>4617</c:v>
                </c:pt>
                <c:pt idx="6">
                  <c:v>6220</c:v>
                </c:pt>
                <c:pt idx="7">
                  <c:v>4167.0798976863152</c:v>
                </c:pt>
                <c:pt idx="8">
                  <c:v>4673.367910708057</c:v>
                </c:pt>
                <c:pt idx="9">
                  <c:v>4235.5025648988585</c:v>
                </c:pt>
                <c:pt idx="10">
                  <c:v>5394.4664188774441</c:v>
                </c:pt>
                <c:pt idx="11">
                  <c:v>5635.634411888911</c:v>
                </c:pt>
                <c:pt idx="12">
                  <c:v>5924.5996586953634</c:v>
                </c:pt>
                <c:pt idx="13">
                  <c:v>5494.7459326250137</c:v>
                </c:pt>
                <c:pt idx="14">
                  <c:v>4769.6460802379625</c:v>
                </c:pt>
                <c:pt idx="15">
                  <c:v>5706.8</c:v>
                </c:pt>
                <c:pt idx="16">
                  <c:v>7158.3</c:v>
                </c:pt>
                <c:pt idx="17">
                  <c:v>5554.6</c:v>
                </c:pt>
                <c:pt idx="18">
                  <c:v>6421.3</c:v>
                </c:pt>
                <c:pt idx="19">
                  <c:v>6662.6</c:v>
                </c:pt>
                <c:pt idx="20">
                  <c:v>6833.7999999999993</c:v>
                </c:pt>
                <c:pt idx="21">
                  <c:v>6226.8</c:v>
                </c:pt>
                <c:pt idx="22">
                  <c:v>5375.8</c:v>
                </c:pt>
                <c:pt idx="23">
                  <c:v>5698</c:v>
                </c:pt>
                <c:pt idx="24">
                  <c:v>6363</c:v>
                </c:pt>
                <c:pt idx="25">
                  <c:v>5951</c:v>
                </c:pt>
                <c:pt idx="26">
                  <c:v>8555</c:v>
                </c:pt>
                <c:pt idx="27">
                  <c:v>4585</c:v>
                </c:pt>
              </c:numCache>
            </c:numRef>
          </c:val>
        </c:ser>
        <c:ser>
          <c:idx val="3"/>
          <c:order val="1"/>
          <c:tx>
            <c:v>Predicted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Dec!$AK$15:$AK$51</c:f>
              <c:numCache>
                <c:formatCode>#,##0</c:formatCode>
                <c:ptCount val="37"/>
                <c:pt idx="0">
                  <c:v>3227</c:v>
                </c:pt>
                <c:pt idx="1">
                  <c:v>4173</c:v>
                </c:pt>
                <c:pt idx="2">
                  <c:v>3752</c:v>
                </c:pt>
                <c:pt idx="3">
                  <c:v>4899</c:v>
                </c:pt>
                <c:pt idx="4">
                  <c:v>3982</c:v>
                </c:pt>
                <c:pt idx="5">
                  <c:v>4990</c:v>
                </c:pt>
                <c:pt idx="6">
                  <c:v>5735</c:v>
                </c:pt>
                <c:pt idx="7">
                  <c:v>3912</c:v>
                </c:pt>
                <c:pt idx="8">
                  <c:v>4567</c:v>
                </c:pt>
                <c:pt idx="9">
                  <c:v>3955</c:v>
                </c:pt>
                <c:pt idx="10">
                  <c:v>5325</c:v>
                </c:pt>
                <c:pt idx="11">
                  <c:v>5741</c:v>
                </c:pt>
                <c:pt idx="12">
                  <c:v>5958</c:v>
                </c:pt>
                <c:pt idx="13">
                  <c:v>4829</c:v>
                </c:pt>
                <c:pt idx="14">
                  <c:v>4784</c:v>
                </c:pt>
                <c:pt idx="15">
                  <c:v>5456</c:v>
                </c:pt>
                <c:pt idx="16">
                  <c:v>7418</c:v>
                </c:pt>
                <c:pt idx="17">
                  <c:v>5551</c:v>
                </c:pt>
                <c:pt idx="18">
                  <c:v>5932</c:v>
                </c:pt>
                <c:pt idx="19">
                  <c:v>6580</c:v>
                </c:pt>
                <c:pt idx="20">
                  <c:v>6746</c:v>
                </c:pt>
                <c:pt idx="21">
                  <c:v>6355</c:v>
                </c:pt>
                <c:pt idx="22">
                  <c:v>5831</c:v>
                </c:pt>
                <c:pt idx="23">
                  <c:v>6418</c:v>
                </c:pt>
                <c:pt idx="24">
                  <c:v>6529</c:v>
                </c:pt>
                <c:pt idx="25">
                  <c:v>6549</c:v>
                </c:pt>
                <c:pt idx="26">
                  <c:v>7700</c:v>
                </c:pt>
                <c:pt idx="27">
                  <c:v>2634</c:v>
                </c:pt>
              </c:numCache>
            </c:numRef>
          </c:val>
        </c:ser>
        <c:ser>
          <c:idx val="1"/>
          <c:order val="2"/>
          <c:tx>
            <c:strRef>
              <c:f>Dec!$BD$12</c:f>
              <c:strCache>
                <c:ptCount val="1"/>
                <c:pt idx="0">
                  <c:v>Pred w/Norm</c:v>
                </c:pt>
              </c:strCache>
            </c:strRef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Dec!$BD$15:$BD$51</c:f>
              <c:numCache>
                <c:formatCode>#,##0</c:formatCode>
                <c:ptCount val="37"/>
                <c:pt idx="0">
                  <c:v>3538</c:v>
                </c:pt>
                <c:pt idx="1">
                  <c:v>3600</c:v>
                </c:pt>
                <c:pt idx="2">
                  <c:v>3885</c:v>
                </c:pt>
                <c:pt idx="3">
                  <c:v>3971</c:v>
                </c:pt>
                <c:pt idx="4">
                  <c:v>4341</c:v>
                </c:pt>
                <c:pt idx="5">
                  <c:v>4617</c:v>
                </c:pt>
                <c:pt idx="6">
                  <c:v>4803</c:v>
                </c:pt>
                <c:pt idx="7">
                  <c:v>4842</c:v>
                </c:pt>
                <c:pt idx="8">
                  <c:v>4940</c:v>
                </c:pt>
                <c:pt idx="9">
                  <c:v>5055</c:v>
                </c:pt>
                <c:pt idx="10">
                  <c:v>5323</c:v>
                </c:pt>
                <c:pt idx="11">
                  <c:v>5436</c:v>
                </c:pt>
                <c:pt idx="12">
                  <c:v>5919</c:v>
                </c:pt>
                <c:pt idx="13">
                  <c:v>6002</c:v>
                </c:pt>
                <c:pt idx="14">
                  <c:v>5766</c:v>
                </c:pt>
                <c:pt idx="15">
                  <c:v>5898</c:v>
                </c:pt>
                <c:pt idx="16">
                  <c:v>6478</c:v>
                </c:pt>
                <c:pt idx="17">
                  <c:v>6198</c:v>
                </c:pt>
                <c:pt idx="18">
                  <c:v>6436</c:v>
                </c:pt>
                <c:pt idx="19">
                  <c:v>6930</c:v>
                </c:pt>
                <c:pt idx="20">
                  <c:v>6674</c:v>
                </c:pt>
                <c:pt idx="21">
                  <c:v>6792</c:v>
                </c:pt>
                <c:pt idx="22">
                  <c:v>7264</c:v>
                </c:pt>
                <c:pt idx="23">
                  <c:v>6975</c:v>
                </c:pt>
                <c:pt idx="24">
                  <c:v>6959</c:v>
                </c:pt>
                <c:pt idx="25">
                  <c:v>6934</c:v>
                </c:pt>
                <c:pt idx="26">
                  <c:v>6940</c:v>
                </c:pt>
                <c:pt idx="27">
                  <c:v>7009</c:v>
                </c:pt>
              </c:numCache>
            </c:numRef>
          </c:val>
        </c:ser>
        <c:ser>
          <c:idx val="4"/>
          <c:order val="3"/>
          <c:tx>
            <c:strRef>
              <c:f>Dec!$AO$6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Dec!$AO$15:$AO$51</c:f>
              <c:numCache>
                <c:formatCode>General</c:formatCode>
                <c:ptCount val="37"/>
                <c:pt idx="28" formatCode="#,##0">
                  <c:v>7780</c:v>
                </c:pt>
                <c:pt idx="29" formatCode="#,##0">
                  <c:v>7890</c:v>
                </c:pt>
                <c:pt idx="30" formatCode="#,##0">
                  <c:v>8033</c:v>
                </c:pt>
                <c:pt idx="31" formatCode="#,##0">
                  <c:v>8181</c:v>
                </c:pt>
                <c:pt idx="32" formatCode="#,##0">
                  <c:v>8327</c:v>
                </c:pt>
                <c:pt idx="33" formatCode="#,##0">
                  <c:v>8479</c:v>
                </c:pt>
                <c:pt idx="34" formatCode="#,##0">
                  <c:v>8632</c:v>
                </c:pt>
                <c:pt idx="35" formatCode="#,##0">
                  <c:v>8787</c:v>
                </c:pt>
                <c:pt idx="36" formatCode="#,##0">
                  <c:v>8939</c:v>
                </c:pt>
              </c:numCache>
            </c:numRef>
          </c:val>
        </c:ser>
        <c:ser>
          <c:idx val="2"/>
          <c:order val="4"/>
          <c:tx>
            <c:strRef>
              <c:f>Dec!$AN$6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Dec!$AN$15:$AN$51</c:f>
              <c:numCache>
                <c:formatCode>General</c:formatCode>
                <c:ptCount val="37"/>
                <c:pt idx="28">
                  <c:v>7053</c:v>
                </c:pt>
                <c:pt idx="29">
                  <c:v>7150</c:v>
                </c:pt>
                <c:pt idx="30">
                  <c:v>7257</c:v>
                </c:pt>
                <c:pt idx="31">
                  <c:v>7379</c:v>
                </c:pt>
                <c:pt idx="32">
                  <c:v>7499</c:v>
                </c:pt>
                <c:pt idx="33">
                  <c:v>7617</c:v>
                </c:pt>
                <c:pt idx="34">
                  <c:v>7729</c:v>
                </c:pt>
                <c:pt idx="35">
                  <c:v>7837</c:v>
                </c:pt>
                <c:pt idx="36">
                  <c:v>7942</c:v>
                </c:pt>
              </c:numCache>
            </c:numRef>
          </c:val>
        </c:ser>
        <c:marker val="1"/>
        <c:axId val="238529536"/>
        <c:axId val="238539520"/>
      </c:lineChart>
      <c:catAx>
        <c:axId val="238529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539520"/>
        <c:crosses val="autoZero"/>
        <c:auto val="1"/>
        <c:lblAlgn val="ctr"/>
        <c:lblOffset val="100"/>
        <c:tickLblSkip val="2"/>
        <c:tickMarkSkip val="2"/>
      </c:catAx>
      <c:valAx>
        <c:axId val="238539520"/>
        <c:scaling>
          <c:orientation val="minMax"/>
          <c:min val="1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5295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893119372737799"/>
          <c:y val="0.9278295982233179"/>
          <c:w val="0.74402355559986966"/>
          <c:h val="4.8000057685097387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- December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1111126372305696"/>
          <c:y val="0.1124933315403811"/>
          <c:w val="0.85935420423782005"/>
          <c:h val="0.65997031340563106"/>
        </c:manualLayout>
      </c:layout>
      <c:lineChart>
        <c:grouping val="standard"/>
        <c:ser>
          <c:idx val="0"/>
          <c:order val="0"/>
          <c:tx>
            <c:strRef>
              <c:f>Dec!$AE$6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Dec!$AD$79:$AD$109</c:f>
              <c:numCache>
                <c:formatCode>0</c:formatCode>
                <c:ptCount val="3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1987</c:v>
                </c:pt>
                <c:pt idx="5">
                  <c:v>1988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1995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 formatCode="General">
                  <c:v>2012</c:v>
                </c:pt>
                <c:pt idx="24" formatCode="General">
                  <c:v>2013</c:v>
                </c:pt>
                <c:pt idx="25" formatCode="General">
                  <c:v>2014</c:v>
                </c:pt>
                <c:pt idx="26" formatCode="General">
                  <c:v>2015</c:v>
                </c:pt>
                <c:pt idx="27" formatCode="General">
                  <c:v>2016</c:v>
                </c:pt>
                <c:pt idx="28" formatCode="General">
                  <c:v>2017</c:v>
                </c:pt>
                <c:pt idx="29" formatCode="General">
                  <c:v>2018</c:v>
                </c:pt>
                <c:pt idx="30" formatCode="General">
                  <c:v>2019</c:v>
                </c:pt>
              </c:numCache>
            </c:numRef>
          </c:cat>
          <c:val>
            <c:numRef>
              <c:f>Dec!$AE$79:$AE$109</c:f>
              <c:numCache>
                <c:formatCode>#,##0</c:formatCode>
                <c:ptCount val="31"/>
                <c:pt idx="0">
                  <c:v>2999</c:v>
                </c:pt>
                <c:pt idx="1">
                  <c:v>4058</c:v>
                </c:pt>
                <c:pt idx="2">
                  <c:v>3486</c:v>
                </c:pt>
                <c:pt idx="3">
                  <c:v>4540</c:v>
                </c:pt>
                <c:pt idx="4">
                  <c:v>4172</c:v>
                </c:pt>
                <c:pt idx="5">
                  <c:v>4617</c:v>
                </c:pt>
                <c:pt idx="6">
                  <c:v>4167.0798976863152</c:v>
                </c:pt>
                <c:pt idx="7">
                  <c:v>4673.367910708057</c:v>
                </c:pt>
                <c:pt idx="8">
                  <c:v>4235.5025648988585</c:v>
                </c:pt>
                <c:pt idx="9">
                  <c:v>5394.4664188774441</c:v>
                </c:pt>
                <c:pt idx="10">
                  <c:v>5635.634411888911</c:v>
                </c:pt>
                <c:pt idx="11">
                  <c:v>4769.6460802379625</c:v>
                </c:pt>
                <c:pt idx="12">
                  <c:v>5706.8</c:v>
                </c:pt>
                <c:pt idx="13">
                  <c:v>7158.3</c:v>
                </c:pt>
                <c:pt idx="14">
                  <c:v>5554.6</c:v>
                </c:pt>
                <c:pt idx="15">
                  <c:v>6421.3</c:v>
                </c:pt>
                <c:pt idx="16">
                  <c:v>6662.6</c:v>
                </c:pt>
                <c:pt idx="17">
                  <c:v>6833.7999999999993</c:v>
                </c:pt>
                <c:pt idx="18">
                  <c:v>6226.8</c:v>
                </c:pt>
                <c:pt idx="19">
                  <c:v>5698</c:v>
                </c:pt>
                <c:pt idx="20">
                  <c:v>6363</c:v>
                </c:pt>
                <c:pt idx="21">
                  <c:v>5951</c:v>
                </c:pt>
                <c:pt idx="22">
                  <c:v>8555</c:v>
                </c:pt>
                <c:pt idx="23">
                  <c:v>5576</c:v>
                </c:pt>
              </c:numCache>
            </c:numRef>
          </c:val>
        </c:ser>
        <c:ser>
          <c:idx val="3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Dec!$AD$79:$AD$109</c:f>
              <c:numCache>
                <c:formatCode>0</c:formatCode>
                <c:ptCount val="3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1987</c:v>
                </c:pt>
                <c:pt idx="5">
                  <c:v>1988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1995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 formatCode="General">
                  <c:v>2012</c:v>
                </c:pt>
                <c:pt idx="24" formatCode="General">
                  <c:v>2013</c:v>
                </c:pt>
                <c:pt idx="25" formatCode="General">
                  <c:v>2014</c:v>
                </c:pt>
                <c:pt idx="26" formatCode="General">
                  <c:v>2015</c:v>
                </c:pt>
                <c:pt idx="27" formatCode="General">
                  <c:v>2016</c:v>
                </c:pt>
                <c:pt idx="28" formatCode="General">
                  <c:v>2017</c:v>
                </c:pt>
                <c:pt idx="29" formatCode="General">
                  <c:v>2018</c:v>
                </c:pt>
                <c:pt idx="30" formatCode="General">
                  <c:v>2019</c:v>
                </c:pt>
              </c:numCache>
            </c:numRef>
          </c:cat>
          <c:val>
            <c:numRef>
              <c:f>Dec!$AK$79:$AK$109</c:f>
              <c:numCache>
                <c:formatCode>#,##0</c:formatCode>
                <c:ptCount val="31"/>
                <c:pt idx="0">
                  <c:v>3460</c:v>
                </c:pt>
                <c:pt idx="1">
                  <c:v>5139</c:v>
                </c:pt>
                <c:pt idx="2">
                  <c:v>4303</c:v>
                </c:pt>
                <c:pt idx="3">
                  <c:v>5778</c:v>
                </c:pt>
                <c:pt idx="4">
                  <c:v>4421</c:v>
                </c:pt>
                <c:pt idx="5">
                  <c:v>5544</c:v>
                </c:pt>
                <c:pt idx="6">
                  <c:v>4013</c:v>
                </c:pt>
                <c:pt idx="7">
                  <c:v>4874</c:v>
                </c:pt>
                <c:pt idx="8">
                  <c:v>3946</c:v>
                </c:pt>
                <c:pt idx="9">
                  <c:v>5616</c:v>
                </c:pt>
                <c:pt idx="10">
                  <c:v>6243</c:v>
                </c:pt>
                <c:pt idx="11">
                  <c:v>4686</c:v>
                </c:pt>
                <c:pt idx="12">
                  <c:v>5570</c:v>
                </c:pt>
                <c:pt idx="13">
                  <c:v>7253</c:v>
                </c:pt>
                <c:pt idx="14">
                  <c:v>5617</c:v>
                </c:pt>
                <c:pt idx="15">
                  <c:v>5926</c:v>
                </c:pt>
                <c:pt idx="16">
                  <c:v>5966</c:v>
                </c:pt>
                <c:pt idx="17">
                  <c:v>6920</c:v>
                </c:pt>
                <c:pt idx="18">
                  <c:v>6362</c:v>
                </c:pt>
                <c:pt idx="19">
                  <c:v>6047</c:v>
                </c:pt>
                <c:pt idx="20">
                  <c:v>6507</c:v>
                </c:pt>
                <c:pt idx="21">
                  <c:v>6061</c:v>
                </c:pt>
                <c:pt idx="22">
                  <c:v>7843</c:v>
                </c:pt>
                <c:pt idx="23">
                  <c:v>6178</c:v>
                </c:pt>
              </c:numCache>
            </c:numRef>
          </c:val>
        </c:ser>
        <c:ser>
          <c:idx val="1"/>
          <c:order val="2"/>
          <c:tx>
            <c:strRef>
              <c:f>Dec!$BD$12</c:f>
              <c:strCache>
                <c:ptCount val="1"/>
                <c:pt idx="0">
                  <c:v>Pred w/Norm</c:v>
                </c:pt>
              </c:strCache>
            </c:strRef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Dec!$AD$79:$AD$109</c:f>
              <c:numCache>
                <c:formatCode>0</c:formatCode>
                <c:ptCount val="3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1987</c:v>
                </c:pt>
                <c:pt idx="5">
                  <c:v>1988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1995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 formatCode="General">
                  <c:v>2012</c:v>
                </c:pt>
                <c:pt idx="24" formatCode="General">
                  <c:v>2013</c:v>
                </c:pt>
                <c:pt idx="25" formatCode="General">
                  <c:v>2014</c:v>
                </c:pt>
                <c:pt idx="26" formatCode="General">
                  <c:v>2015</c:v>
                </c:pt>
                <c:pt idx="27" formatCode="General">
                  <c:v>2016</c:v>
                </c:pt>
                <c:pt idx="28" formatCode="General">
                  <c:v>2017</c:v>
                </c:pt>
                <c:pt idx="29" formatCode="General">
                  <c:v>2018</c:v>
                </c:pt>
                <c:pt idx="30" formatCode="General">
                  <c:v>2019</c:v>
                </c:pt>
              </c:numCache>
            </c:numRef>
          </c:cat>
          <c:val>
            <c:numRef>
              <c:f>Dec!$BD$79:$BD$109</c:f>
              <c:numCache>
                <c:formatCode>#,##0</c:formatCode>
                <c:ptCount val="31"/>
                <c:pt idx="0">
                  <c:v>3880</c:v>
                </c:pt>
                <c:pt idx="1">
                  <c:v>4290</c:v>
                </c:pt>
                <c:pt idx="2">
                  <c:v>4448</c:v>
                </c:pt>
                <c:pt idx="3">
                  <c:v>4598</c:v>
                </c:pt>
                <c:pt idx="4">
                  <c:v>4904</c:v>
                </c:pt>
                <c:pt idx="5">
                  <c:v>5055</c:v>
                </c:pt>
                <c:pt idx="6">
                  <c:v>5319</c:v>
                </c:pt>
                <c:pt idx="7">
                  <c:v>5400</c:v>
                </c:pt>
                <c:pt idx="8">
                  <c:v>5495</c:v>
                </c:pt>
                <c:pt idx="9">
                  <c:v>5640</c:v>
                </c:pt>
                <c:pt idx="10">
                  <c:v>5811</c:v>
                </c:pt>
                <c:pt idx="11">
                  <c:v>6084</c:v>
                </c:pt>
                <c:pt idx="12">
                  <c:v>6209</c:v>
                </c:pt>
                <c:pt idx="13">
                  <c:v>6034</c:v>
                </c:pt>
                <c:pt idx="14">
                  <c:v>6474</c:v>
                </c:pt>
                <c:pt idx="15">
                  <c:v>6593</c:v>
                </c:pt>
                <c:pt idx="16">
                  <c:v>6410</c:v>
                </c:pt>
                <c:pt idx="17">
                  <c:v>6876</c:v>
                </c:pt>
                <c:pt idx="18">
                  <c:v>6984</c:v>
                </c:pt>
                <c:pt idx="19">
                  <c:v>7141</c:v>
                </c:pt>
                <c:pt idx="20">
                  <c:v>7125</c:v>
                </c:pt>
                <c:pt idx="21">
                  <c:v>6828</c:v>
                </c:pt>
                <c:pt idx="22">
                  <c:v>6862</c:v>
                </c:pt>
                <c:pt idx="23">
                  <c:v>6637</c:v>
                </c:pt>
              </c:numCache>
            </c:numRef>
          </c:val>
        </c:ser>
        <c:ser>
          <c:idx val="4"/>
          <c:order val="3"/>
          <c:tx>
            <c:strRef>
              <c:f>Dec!$AO$6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Dec!$AD$79:$AD$109</c:f>
              <c:numCache>
                <c:formatCode>0</c:formatCode>
                <c:ptCount val="3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1987</c:v>
                </c:pt>
                <c:pt idx="5">
                  <c:v>1988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1995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 formatCode="General">
                  <c:v>2012</c:v>
                </c:pt>
                <c:pt idx="24" formatCode="General">
                  <c:v>2013</c:v>
                </c:pt>
                <c:pt idx="25" formatCode="General">
                  <c:v>2014</c:v>
                </c:pt>
                <c:pt idx="26" formatCode="General">
                  <c:v>2015</c:v>
                </c:pt>
                <c:pt idx="27" formatCode="General">
                  <c:v>2016</c:v>
                </c:pt>
                <c:pt idx="28" formatCode="General">
                  <c:v>2017</c:v>
                </c:pt>
                <c:pt idx="29" formatCode="General">
                  <c:v>2018</c:v>
                </c:pt>
                <c:pt idx="30" formatCode="General">
                  <c:v>2019</c:v>
                </c:pt>
              </c:numCache>
            </c:numRef>
          </c:cat>
          <c:val>
            <c:numRef>
              <c:f>Dec!$AO$79:$AO$109</c:f>
              <c:numCache>
                <c:formatCode>General</c:formatCode>
                <c:ptCount val="31"/>
                <c:pt idx="24" formatCode="#,##0">
                  <c:v>7780</c:v>
                </c:pt>
                <c:pt idx="25" formatCode="#,##0">
                  <c:v>7890</c:v>
                </c:pt>
                <c:pt idx="26" formatCode="#,##0">
                  <c:v>8033</c:v>
                </c:pt>
                <c:pt idx="27" formatCode="#,##0">
                  <c:v>8181</c:v>
                </c:pt>
                <c:pt idx="28" formatCode="#,##0">
                  <c:v>8327</c:v>
                </c:pt>
                <c:pt idx="29" formatCode="#,##0">
                  <c:v>8479</c:v>
                </c:pt>
                <c:pt idx="30" formatCode="#,##0">
                  <c:v>8632</c:v>
                </c:pt>
              </c:numCache>
            </c:numRef>
          </c:val>
        </c:ser>
        <c:ser>
          <c:idx val="2"/>
          <c:order val="4"/>
          <c:tx>
            <c:strRef>
              <c:f>Dec!$AN$6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Dec!$AD$79:$AD$109</c:f>
              <c:numCache>
                <c:formatCode>0</c:formatCode>
                <c:ptCount val="3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1987</c:v>
                </c:pt>
                <c:pt idx="5">
                  <c:v>1988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1995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 formatCode="General">
                  <c:v>2012</c:v>
                </c:pt>
                <c:pt idx="24" formatCode="General">
                  <c:v>2013</c:v>
                </c:pt>
                <c:pt idx="25" formatCode="General">
                  <c:v>2014</c:v>
                </c:pt>
                <c:pt idx="26" formatCode="General">
                  <c:v>2015</c:v>
                </c:pt>
                <c:pt idx="27" formatCode="General">
                  <c:v>2016</c:v>
                </c:pt>
                <c:pt idx="28" formatCode="General">
                  <c:v>2017</c:v>
                </c:pt>
                <c:pt idx="29" formatCode="General">
                  <c:v>2018</c:v>
                </c:pt>
                <c:pt idx="30" formatCode="General">
                  <c:v>2019</c:v>
                </c:pt>
              </c:numCache>
            </c:numRef>
          </c:cat>
          <c:val>
            <c:numRef>
              <c:f>Dec!$AN$79:$AN$109</c:f>
              <c:numCache>
                <c:formatCode>General</c:formatCode>
                <c:ptCount val="31"/>
                <c:pt idx="24" formatCode="#,##0">
                  <c:v>7061</c:v>
                </c:pt>
                <c:pt idx="25" formatCode="#,##0">
                  <c:v>7207</c:v>
                </c:pt>
                <c:pt idx="26" formatCode="#,##0">
                  <c:v>7366</c:v>
                </c:pt>
                <c:pt idx="27" formatCode="#,##0">
                  <c:v>7522</c:v>
                </c:pt>
                <c:pt idx="28" formatCode="#,##0">
                  <c:v>7678</c:v>
                </c:pt>
                <c:pt idx="29" formatCode="#,##0">
                  <c:v>7773</c:v>
                </c:pt>
                <c:pt idx="30" formatCode="#,##0">
                  <c:v>7863</c:v>
                </c:pt>
              </c:numCache>
            </c:numRef>
          </c:val>
        </c:ser>
        <c:marker val="1"/>
        <c:axId val="194566016"/>
        <c:axId val="194567552"/>
      </c:lineChart>
      <c:catAx>
        <c:axId val="194566016"/>
        <c:scaling>
          <c:orientation val="minMax"/>
        </c:scaling>
        <c:axPos val="b"/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4567552"/>
        <c:crosses val="autoZero"/>
        <c:auto val="1"/>
        <c:lblAlgn val="ctr"/>
        <c:lblOffset val="100"/>
        <c:tickLblSkip val="2"/>
        <c:tickMarkSkip val="2"/>
      </c:catAx>
      <c:valAx>
        <c:axId val="194567552"/>
        <c:scaling>
          <c:orientation val="minMax"/>
          <c:min val="1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45660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893119372737813"/>
          <c:y val="0.92782959822331812"/>
          <c:w val="0.74402355559986988"/>
          <c:h val="4.8000057685097387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- December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1111126372305696"/>
          <c:y val="0.1124933315403811"/>
          <c:w val="0.85935420423782005"/>
          <c:h val="0.6599703134056315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Dec!$AD$79:$AD$102</c:f>
              <c:numCache>
                <c:formatCode>0</c:formatCode>
                <c:ptCount val="24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1987</c:v>
                </c:pt>
                <c:pt idx="5">
                  <c:v>1988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1995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 formatCode="General">
                  <c:v>2012</c:v>
                </c:pt>
              </c:numCache>
            </c:numRef>
          </c:cat>
          <c:val>
            <c:numRef>
              <c:f>Dec!$AL$79:$AL$102</c:f>
              <c:numCache>
                <c:formatCode>#,##0</c:formatCode>
                <c:ptCount val="24"/>
                <c:pt idx="0">
                  <c:v>-881</c:v>
                </c:pt>
                <c:pt idx="1">
                  <c:v>-1081</c:v>
                </c:pt>
                <c:pt idx="2">
                  <c:v>-817</c:v>
                </c:pt>
                <c:pt idx="3">
                  <c:v>-1238</c:v>
                </c:pt>
                <c:pt idx="4">
                  <c:v>-249</c:v>
                </c:pt>
                <c:pt idx="5">
                  <c:v>-927</c:v>
                </c:pt>
                <c:pt idx="6">
                  <c:v>154.07989768631523</c:v>
                </c:pt>
                <c:pt idx="7">
                  <c:v>-200.63208929194298</c:v>
                </c:pt>
                <c:pt idx="8">
                  <c:v>289.50256489885851</c:v>
                </c:pt>
                <c:pt idx="9">
                  <c:v>-221.53358112255592</c:v>
                </c:pt>
                <c:pt idx="10">
                  <c:v>-607.36558811108898</c:v>
                </c:pt>
                <c:pt idx="11">
                  <c:v>83.646080237962451</c:v>
                </c:pt>
                <c:pt idx="12">
                  <c:v>136.80000000000018</c:v>
                </c:pt>
                <c:pt idx="13">
                  <c:v>-94.699999999999818</c:v>
                </c:pt>
                <c:pt idx="14">
                  <c:v>-62.399999999999636</c:v>
                </c:pt>
                <c:pt idx="15">
                  <c:v>495.30000000000018</c:v>
                </c:pt>
                <c:pt idx="16">
                  <c:v>696.60000000000036</c:v>
                </c:pt>
                <c:pt idx="17">
                  <c:v>-86.200000000000728</c:v>
                </c:pt>
                <c:pt idx="18">
                  <c:v>-135.19999999999982</c:v>
                </c:pt>
                <c:pt idx="19">
                  <c:v>-349</c:v>
                </c:pt>
                <c:pt idx="20">
                  <c:v>-144</c:v>
                </c:pt>
                <c:pt idx="21">
                  <c:v>-110</c:v>
                </c:pt>
                <c:pt idx="22">
                  <c:v>712</c:v>
                </c:pt>
                <c:pt idx="23">
                  <c:v>-602</c:v>
                </c:pt>
              </c:numCache>
            </c:numRef>
          </c:val>
        </c:ser>
        <c:marker val="1"/>
        <c:axId val="56627200"/>
        <c:axId val="56628736"/>
      </c:lineChart>
      <c:catAx>
        <c:axId val="56627200"/>
        <c:scaling>
          <c:orientation val="minMax"/>
        </c:scaling>
        <c:axPos val="b"/>
        <c:numFmt formatCode="0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28736"/>
        <c:crosses val="autoZero"/>
        <c:auto val="1"/>
        <c:lblAlgn val="ctr"/>
        <c:lblOffset val="100"/>
        <c:tickLblSkip val="2"/>
        <c:tickMarkSkip val="2"/>
      </c:catAx>
      <c:valAx>
        <c:axId val="56628736"/>
        <c:scaling>
          <c:orientation val="minMax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272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893119372737827"/>
          <c:y val="0.92782959822331834"/>
          <c:w val="0.7440235555998701"/>
          <c:h val="4.8000057685097387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PEF Firm System Winter Peak MW Comparison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7.2580373154713523E-2"/>
          <c:y val="9.8419970230993858E-2"/>
          <c:w val="0.91082837495991731"/>
          <c:h val="0.7383367988092302"/>
        </c:manualLayout>
      </c:layout>
      <c:lineChart>
        <c:grouping val="standard"/>
        <c:ser>
          <c:idx val="2"/>
          <c:order val="0"/>
          <c:tx>
            <c:v>Jan'11 Budget</c:v>
          </c:tx>
          <c:spPr>
            <a:ln>
              <a:solidFill>
                <a:prstClr val="black"/>
              </a:solidFill>
              <a:prstDash val="dash"/>
            </a:ln>
          </c:spPr>
          <c:marker>
            <c:symbol val="none"/>
          </c:marker>
          <c:val>
            <c:numRef>
              <c:f>'FALL13 vs TYSP13'!$R$32:$R$36</c:f>
              <c:numCache>
                <c:formatCode>#,##0</c:formatCode>
                <c:ptCount val="4"/>
                <c:pt idx="0">
                  <c:v>9089.6080000000002</c:v>
                </c:pt>
                <c:pt idx="1">
                  <c:v>9709.6080000000002</c:v>
                </c:pt>
                <c:pt idx="2">
                  <c:v>9841.6080000000002</c:v>
                </c:pt>
                <c:pt idx="3">
                  <c:v>9910</c:v>
                </c:pt>
              </c:numCache>
            </c:numRef>
          </c:val>
        </c:ser>
        <c:ser>
          <c:idx val="1"/>
          <c:order val="1"/>
          <c:tx>
            <c:strRef>
              <c:f>SMC!$B$4</c:f>
              <c:strCache>
                <c:ptCount val="1"/>
                <c:pt idx="0">
                  <c:v>SEP'11</c:v>
                </c:pt>
              </c:strCache>
            </c:strRef>
          </c:tx>
          <c:spPr>
            <a:ln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SMC!$A$6:$A$11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SMC!$B$6:$B$11</c:f>
              <c:numCache>
                <c:formatCode>#,##0</c:formatCode>
                <c:ptCount val="6"/>
                <c:pt idx="0">
                  <c:v>0</c:v>
                </c:pt>
                <c:pt idx="1">
                  <c:v>5306.7199999999993</c:v>
                </c:pt>
                <c:pt idx="2">
                  <c:v>8870.3544139750011</c:v>
                </c:pt>
                <c:pt idx="3">
                  <c:v>9132.947738014449</c:v>
                </c:pt>
                <c:pt idx="4">
                  <c:v>9369.8190458519275</c:v>
                </c:pt>
                <c:pt idx="5">
                  <c:v>9298.1477882975305</c:v>
                </c:pt>
              </c:numCache>
            </c:numRef>
          </c:val>
        </c:ser>
        <c:marker val="1"/>
        <c:axId val="59484800"/>
        <c:axId val="59322752"/>
      </c:lineChart>
      <c:catAx>
        <c:axId val="59484800"/>
        <c:scaling>
          <c:orientation val="minMax"/>
        </c:scaling>
        <c:axPos val="b"/>
        <c:numFmt formatCode="General" sourceLinked="1"/>
        <c:tickLblPos val="nextTo"/>
        <c:crossAx val="59322752"/>
        <c:crosses val="autoZero"/>
        <c:auto val="1"/>
        <c:lblAlgn val="ctr"/>
        <c:lblOffset val="100"/>
      </c:catAx>
      <c:valAx>
        <c:axId val="59322752"/>
        <c:scaling>
          <c:orientation val="minMax"/>
          <c:min val="8800"/>
        </c:scaling>
        <c:axPos val="l"/>
        <c:majorGridlines/>
        <c:numFmt formatCode="#,##0" sourceLinked="1"/>
        <c:tickLblPos val="nextTo"/>
        <c:crossAx val="594848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Retail MW - Winter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8.3136612873885823E-2"/>
          <c:y val="0.10845445839540305"/>
          <c:w val="0.89871157194459605"/>
          <c:h val="0.67317141945096848"/>
        </c:manualLayout>
      </c:layout>
      <c:lineChart>
        <c:grouping val="standard"/>
        <c:ser>
          <c:idx val="0"/>
          <c:order val="0"/>
          <c:tx>
            <c:v>Total Retail MW</c:v>
          </c:tx>
          <c:cat>
            <c:numRef>
              <c:f>Summer!$AI$13:$AI$53</c:f>
              <c:numCache>
                <c:formatCode>General</c:formatCode>
                <c:ptCount val="4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Winter!$K$13:$K$53</c:f>
              <c:numCache>
                <c:formatCode>#,##0_);\(#,##0\)</c:formatCode>
                <c:ptCount val="41"/>
                <c:pt idx="0">
                  <c:v>4062</c:v>
                </c:pt>
                <c:pt idx="1">
                  <c:v>4387</c:v>
                </c:pt>
                <c:pt idx="2">
                  <c:v>4477</c:v>
                </c:pt>
                <c:pt idx="3">
                  <c:v>3953</c:v>
                </c:pt>
                <c:pt idx="4">
                  <c:v>4262</c:v>
                </c:pt>
                <c:pt idx="5">
                  <c:v>5374</c:v>
                </c:pt>
                <c:pt idx="6">
                  <c:v>5454</c:v>
                </c:pt>
                <c:pt idx="7">
                  <c:v>4765</c:v>
                </c:pt>
                <c:pt idx="8">
                  <c:v>5252</c:v>
                </c:pt>
                <c:pt idx="9">
                  <c:v>6047</c:v>
                </c:pt>
                <c:pt idx="10">
                  <c:v>6556</c:v>
                </c:pt>
                <c:pt idx="11">
                  <c:v>5282.4884083246134</c:v>
                </c:pt>
                <c:pt idx="12">
                  <c:v>6009.7434387856429</c:v>
                </c:pt>
                <c:pt idx="13">
                  <c:v>6149.9674395613647</c:v>
                </c:pt>
                <c:pt idx="14">
                  <c:v>5990.3130660555562</c:v>
                </c:pt>
                <c:pt idx="15">
                  <c:v>7696.6527825594803</c:v>
                </c:pt>
                <c:pt idx="16">
                  <c:v>8804.2203334661881</c:v>
                </c:pt>
                <c:pt idx="17">
                  <c:v>6949.7032539214597</c:v>
                </c:pt>
                <c:pt idx="18">
                  <c:v>6461.1856784802858</c:v>
                </c:pt>
                <c:pt idx="19">
                  <c:v>8351.7487787452465</c:v>
                </c:pt>
                <c:pt idx="20">
                  <c:v>7974.7</c:v>
                </c:pt>
                <c:pt idx="21">
                  <c:v>8537.9</c:v>
                </c:pt>
                <c:pt idx="22">
                  <c:v>8624.7999999999993</c:v>
                </c:pt>
                <c:pt idx="23">
                  <c:v>8773.7999999999993</c:v>
                </c:pt>
                <c:pt idx="24">
                  <c:v>7585.1999999999989</c:v>
                </c:pt>
                <c:pt idx="25">
                  <c:v>8626.5</c:v>
                </c:pt>
                <c:pt idx="26">
                  <c:v>8679.2000000000007</c:v>
                </c:pt>
                <c:pt idx="27">
                  <c:v>7607</c:v>
                </c:pt>
                <c:pt idx="28">
                  <c:v>8454</c:v>
                </c:pt>
                <c:pt idx="29">
                  <c:v>9085</c:v>
                </c:pt>
                <c:pt idx="30">
                  <c:v>10685.938372330642</c:v>
                </c:pt>
                <c:pt idx="31">
                  <c:v>8909</c:v>
                </c:pt>
                <c:pt idx="32">
                  <c:v>7817</c:v>
                </c:pt>
                <c:pt idx="33">
                  <c:v>7200</c:v>
                </c:pt>
                <c:pt idx="34" formatCode="#,##0_);[Red]\(#,##0\)">
                  <c:v>8745.5755860249992</c:v>
                </c:pt>
                <c:pt idx="35" formatCode="#,##0_);[Red]\(#,##0\)">
                  <c:v>8677.1022619855503</c:v>
                </c:pt>
                <c:pt idx="36" formatCode="#,##0_);[Red]\(#,##0\)">
                  <c:v>9027.4509541480729</c:v>
                </c:pt>
                <c:pt idx="37" formatCode="#,##0_);[Red]\(#,##0\)">
                  <c:v>9374.5122117024694</c:v>
                </c:pt>
                <c:pt idx="38" formatCode="#,##0_);[Red]\(#,##0\)">
                  <c:v>9701.7110167581541</c:v>
                </c:pt>
                <c:pt idx="39" formatCode="#,##0_);[Red]\(#,##0\)">
                  <c:v>9837.1396315610546</c:v>
                </c:pt>
                <c:pt idx="40" formatCode="#,##0_);[Red]\(#,##0\)">
                  <c:v>9994.0427931670529</c:v>
                </c:pt>
              </c:numCache>
            </c:numRef>
          </c:val>
        </c:ser>
        <c:ser>
          <c:idx val="1"/>
          <c:order val="1"/>
          <c:tx>
            <c:v>Firm</c:v>
          </c:tx>
          <c:val>
            <c:numRef>
              <c:f>Winter!$R$13:$R$53</c:f>
              <c:numCache>
                <c:formatCode>#,##0_);[Red]\(#,##0\)</c:formatCode>
                <c:ptCount val="41"/>
                <c:pt idx="0">
                  <c:v>3751</c:v>
                </c:pt>
                <c:pt idx="1">
                  <c:v>4086</c:v>
                </c:pt>
                <c:pt idx="2">
                  <c:v>4326</c:v>
                </c:pt>
                <c:pt idx="3">
                  <c:v>3768</c:v>
                </c:pt>
                <c:pt idx="4">
                  <c:v>4058</c:v>
                </c:pt>
                <c:pt idx="5">
                  <c:v>5155</c:v>
                </c:pt>
                <c:pt idx="6">
                  <c:v>5257</c:v>
                </c:pt>
                <c:pt idx="7">
                  <c:v>4540</c:v>
                </c:pt>
                <c:pt idx="8">
                  <c:v>5008</c:v>
                </c:pt>
                <c:pt idx="9">
                  <c:v>5779</c:v>
                </c:pt>
                <c:pt idx="10">
                  <c:v>6260</c:v>
                </c:pt>
                <c:pt idx="11">
                  <c:v>5053.9884083246134</c:v>
                </c:pt>
                <c:pt idx="12">
                  <c:v>5763.2434387856429</c:v>
                </c:pt>
                <c:pt idx="13">
                  <c:v>5929.4674395613647</c:v>
                </c:pt>
                <c:pt idx="14">
                  <c:v>5725.8130660555562</c:v>
                </c:pt>
                <c:pt idx="15">
                  <c:v>7350.1527825594803</c:v>
                </c:pt>
                <c:pt idx="16">
                  <c:v>8477.7203334661881</c:v>
                </c:pt>
                <c:pt idx="17">
                  <c:v>6588.2032539214597</c:v>
                </c:pt>
                <c:pt idx="18">
                  <c:v>6040.1856784802858</c:v>
                </c:pt>
                <c:pt idx="19">
                  <c:v>7947.7487787452465</c:v>
                </c:pt>
                <c:pt idx="20">
                  <c:v>7651.7</c:v>
                </c:pt>
                <c:pt idx="21">
                  <c:v>8213.8139584824621</c:v>
                </c:pt>
                <c:pt idx="22">
                  <c:v>8242.0999999999985</c:v>
                </c:pt>
                <c:pt idx="23">
                  <c:v>8448.8918187410291</c:v>
                </c:pt>
                <c:pt idx="24">
                  <c:v>7159.7483408439157</c:v>
                </c:pt>
                <c:pt idx="25">
                  <c:v>8209.6128328553878</c:v>
                </c:pt>
                <c:pt idx="26">
                  <c:v>8333.4379638147821</c:v>
                </c:pt>
                <c:pt idx="27">
                  <c:v>7213</c:v>
                </c:pt>
                <c:pt idx="28">
                  <c:v>8057.9117241537988</c:v>
                </c:pt>
                <c:pt idx="29">
                  <c:v>8713.910243304028</c:v>
                </c:pt>
                <c:pt idx="30">
                  <c:v>10330.040472054765</c:v>
                </c:pt>
                <c:pt idx="31">
                  <c:v>8601.5238581792182</c:v>
                </c:pt>
                <c:pt idx="32">
                  <c:v>7523.403623040912</c:v>
                </c:pt>
                <c:pt idx="33">
                  <c:v>6846</c:v>
                </c:pt>
                <c:pt idx="34">
                  <c:v>7813.9999999999991</c:v>
                </c:pt>
                <c:pt idx="35">
                  <c:v>7660</c:v>
                </c:pt>
                <c:pt idx="36">
                  <c:v>7944</c:v>
                </c:pt>
                <c:pt idx="37">
                  <c:v>8210</c:v>
                </c:pt>
                <c:pt idx="38">
                  <c:v>8485</c:v>
                </c:pt>
                <c:pt idx="39">
                  <c:v>8571</c:v>
                </c:pt>
                <c:pt idx="40">
                  <c:v>8672</c:v>
                </c:pt>
              </c:numCache>
            </c:numRef>
          </c:val>
        </c:ser>
        <c:marker val="1"/>
        <c:axId val="230220160"/>
        <c:axId val="230221696"/>
      </c:lineChart>
      <c:catAx>
        <c:axId val="2302201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0221696"/>
        <c:crosses val="autoZero"/>
        <c:auto val="1"/>
        <c:lblAlgn val="ctr"/>
        <c:lblOffset val="100"/>
      </c:catAx>
      <c:valAx>
        <c:axId val="230221696"/>
        <c:scaling>
          <c:orientation val="minMax"/>
          <c:min val="2000"/>
        </c:scaling>
        <c:axPos val="l"/>
        <c:majorGridlines/>
        <c:numFmt formatCode="#,##0_);\(#,##0\)" sourceLinked="1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0220160"/>
        <c:crosses val="autoZero"/>
        <c:crossBetween val="between"/>
      </c:valAx>
    </c:plotArea>
    <c:legend>
      <c:legendPos val="b"/>
      <c:layout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PEF Firm System Summer Peak MW Comparison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7.2580373154713523E-2"/>
          <c:y val="9.8419970230993858E-2"/>
          <c:w val="0.91082837495991731"/>
          <c:h val="0.73833679880922998"/>
        </c:manualLayout>
      </c:layout>
      <c:lineChart>
        <c:grouping val="standard"/>
        <c:ser>
          <c:idx val="2"/>
          <c:order val="0"/>
          <c:tx>
            <c:v>Jan'11 Budget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SMC!$U$5:$U$10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'FALL13 vs TYSP13'!$R$108:$R$113</c:f>
              <c:numCache>
                <c:formatCode>#,##0</c:formatCode>
                <c:ptCount val="3"/>
                <c:pt idx="0">
                  <c:v>9025.6080000000002</c:v>
                </c:pt>
                <c:pt idx="1">
                  <c:v>9184.6080000000002</c:v>
                </c:pt>
                <c:pt idx="2">
                  <c:v>9441.6080000000002</c:v>
                </c:pt>
              </c:numCache>
            </c:numRef>
          </c:val>
        </c:ser>
        <c:ser>
          <c:idx val="1"/>
          <c:order val="1"/>
          <c:tx>
            <c:strRef>
              <c:f>SMC!$V$4</c:f>
              <c:strCache>
                <c:ptCount val="1"/>
                <c:pt idx="0">
                  <c:v>SEP'11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marker val="1"/>
        <c:axId val="59356672"/>
        <c:axId val="59358208"/>
      </c:lineChart>
      <c:catAx>
        <c:axId val="59356672"/>
        <c:scaling>
          <c:orientation val="minMax"/>
        </c:scaling>
        <c:axPos val="b"/>
        <c:numFmt formatCode="General" sourceLinked="1"/>
        <c:tickLblPos val="nextTo"/>
        <c:crossAx val="59358208"/>
        <c:crosses val="autoZero"/>
        <c:auto val="1"/>
        <c:lblAlgn val="ctr"/>
        <c:lblOffset val="100"/>
      </c:catAx>
      <c:valAx>
        <c:axId val="59358208"/>
        <c:scaling>
          <c:orientation val="minMax"/>
          <c:min val="8500"/>
        </c:scaling>
        <c:axPos val="l"/>
        <c:majorGridlines/>
        <c:numFmt formatCode="#,##0" sourceLinked="1"/>
        <c:tickLblPos val="nextTo"/>
        <c:crossAx val="593566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PEF Total System Winter Peak MW Comparison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7.2580373154713523E-2"/>
          <c:y val="9.8419970230993858E-2"/>
          <c:w val="0.91082837495991731"/>
          <c:h val="0.73833679880922998"/>
        </c:manualLayout>
      </c:layout>
      <c:lineChart>
        <c:grouping val="standard"/>
        <c:ser>
          <c:idx val="2"/>
          <c:order val="0"/>
          <c:tx>
            <c:v>Jan'11 Budget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Ref>
              <c:f>'FALL13 vs TYSP13'!$O$32:$O$36</c:f>
              <c:numCache>
                <c:formatCode>#,##0</c:formatCode>
                <c:ptCount val="4"/>
                <c:pt idx="0">
                  <c:v>10245.608</c:v>
                </c:pt>
                <c:pt idx="1">
                  <c:v>10882.608</c:v>
                </c:pt>
                <c:pt idx="2">
                  <c:v>11026.608</c:v>
                </c:pt>
                <c:pt idx="3">
                  <c:v>11128</c:v>
                </c:pt>
              </c:numCache>
            </c:numRef>
          </c:val>
        </c:ser>
        <c:ser>
          <c:idx val="1"/>
          <c:order val="1"/>
          <c:tx>
            <c:strRef>
              <c:f>SMC!$B$4</c:f>
              <c:strCache>
                <c:ptCount val="1"/>
                <c:pt idx="0">
                  <c:v>SEP'11</c:v>
                </c:pt>
              </c:strCache>
            </c:strRef>
          </c:tx>
          <c:spPr>
            <a:ln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SMC!$A$6:$A$11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'FALL13 vs TYSP13'!$O$8:$O$12</c:f>
              <c:numCache>
                <c:formatCode>#,##0</c:formatCode>
                <c:ptCount val="4"/>
                <c:pt idx="0">
                  <c:v>9973.3544139750011</c:v>
                </c:pt>
                <c:pt idx="1">
                  <c:v>10256.947738014449</c:v>
                </c:pt>
                <c:pt idx="2">
                  <c:v>10510.819045851928</c:v>
                </c:pt>
                <c:pt idx="3">
                  <c:v>10473.14778829753</c:v>
                </c:pt>
              </c:numCache>
            </c:numRef>
          </c:val>
        </c:ser>
        <c:marker val="1"/>
        <c:axId val="59548032"/>
        <c:axId val="59549568"/>
      </c:lineChart>
      <c:catAx>
        <c:axId val="59548032"/>
        <c:scaling>
          <c:orientation val="minMax"/>
        </c:scaling>
        <c:axPos val="b"/>
        <c:numFmt formatCode="General" sourceLinked="1"/>
        <c:tickLblPos val="nextTo"/>
        <c:crossAx val="59549568"/>
        <c:crosses val="autoZero"/>
        <c:auto val="1"/>
        <c:lblAlgn val="ctr"/>
        <c:lblOffset val="100"/>
      </c:catAx>
      <c:valAx>
        <c:axId val="59549568"/>
        <c:scaling>
          <c:orientation val="minMax"/>
          <c:min val="9800"/>
        </c:scaling>
        <c:axPos val="l"/>
        <c:majorGridlines/>
        <c:numFmt formatCode="#,##0" sourceLinked="1"/>
        <c:tickLblPos val="nextTo"/>
        <c:crossAx val="5954803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PEF Total System Summer Peak MW Comparison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7.2580373154713523E-2"/>
          <c:y val="9.8419970230993858E-2"/>
          <c:w val="0.91082837495991731"/>
          <c:h val="0.73833679880922976"/>
        </c:manualLayout>
      </c:layout>
      <c:lineChart>
        <c:grouping val="standard"/>
        <c:ser>
          <c:idx val="2"/>
          <c:order val="0"/>
          <c:tx>
            <c:v>Jan'11 Budget</c:v>
          </c:tx>
          <c:spPr>
            <a:ln>
              <a:solidFill>
                <a:prstClr val="black"/>
              </a:solidFill>
              <a:prstDash val="dash"/>
            </a:ln>
          </c:spPr>
          <c:marker>
            <c:symbol val="none"/>
          </c:marker>
          <c:cat>
            <c:numRef>
              <c:f>SMC!$U$5:$U$10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'FALL13 vs TYSP13'!$O$108:$O$113</c:f>
              <c:numCache>
                <c:formatCode>#,##0</c:formatCode>
                <c:ptCount val="3"/>
                <c:pt idx="0">
                  <c:v>9741.6080000000002</c:v>
                </c:pt>
                <c:pt idx="1">
                  <c:v>9911.6080000000002</c:v>
                </c:pt>
                <c:pt idx="2">
                  <c:v>10175.608</c:v>
                </c:pt>
              </c:numCache>
            </c:numRef>
          </c:val>
        </c:ser>
        <c:ser>
          <c:idx val="1"/>
          <c:order val="1"/>
          <c:tx>
            <c:strRef>
              <c:f>SMC!$V$31</c:f>
              <c:strCache>
                <c:ptCount val="1"/>
                <c:pt idx="0">
                  <c:v>SEP'11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'FALL13 vs TYSP13'!$O$83:$O$86</c:f>
              <c:numCache>
                <c:formatCode>#,##0</c:formatCode>
                <c:ptCount val="3"/>
                <c:pt idx="0">
                  <c:v>9508.8907469557034</c:v>
                </c:pt>
                <c:pt idx="1">
                  <c:v>9749.8019886142738</c:v>
                </c:pt>
                <c:pt idx="2">
                  <c:v>9864.7656515232466</c:v>
                </c:pt>
              </c:numCache>
            </c:numRef>
          </c:val>
        </c:ser>
        <c:marker val="1"/>
        <c:axId val="59579392"/>
        <c:axId val="59589376"/>
      </c:lineChart>
      <c:catAx>
        <c:axId val="59579392"/>
        <c:scaling>
          <c:orientation val="minMax"/>
        </c:scaling>
        <c:axPos val="b"/>
        <c:numFmt formatCode="General" sourceLinked="1"/>
        <c:tickLblPos val="nextTo"/>
        <c:crossAx val="59589376"/>
        <c:crosses val="autoZero"/>
        <c:auto val="1"/>
        <c:lblAlgn val="ctr"/>
        <c:lblOffset val="100"/>
      </c:catAx>
      <c:valAx>
        <c:axId val="59589376"/>
        <c:scaling>
          <c:orientation val="minMax"/>
          <c:max val="10300"/>
          <c:min val="9300"/>
        </c:scaling>
        <c:axPos val="l"/>
        <c:majorGridlines/>
        <c:numFmt formatCode="#,##0" sourceLinked="1"/>
        <c:tickLblPos val="nextTo"/>
        <c:crossAx val="59579392"/>
        <c:crosses val="autoZero"/>
        <c:crossBetween val="between"/>
        <c:majorUnit val="200"/>
      </c:valAx>
    </c:plotArea>
    <c:legend>
      <c:legendPos val="b"/>
    </c:legend>
    <c:plotVisOnly val="1"/>
    <c:dispBlanksAs val="gap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PEF Wholesale Summer Peak MW Comparison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6.6547190650942389E-2"/>
          <c:y val="0.12727999909102294"/>
          <c:w val="0.91082837495991731"/>
          <c:h val="0.69504675551920003"/>
        </c:manualLayout>
      </c:layout>
      <c:lineChart>
        <c:grouping val="standard"/>
        <c:ser>
          <c:idx val="2"/>
          <c:order val="0"/>
          <c:tx>
            <c:v>Jan'11 Budget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SMC!$U$57:$U$62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'FALL13 vs TYSP13'!$L$108:$L$113</c:f>
              <c:numCache>
                <c:formatCode>#,##0</c:formatCode>
                <c:ptCount val="3"/>
                <c:pt idx="0">
                  <c:v>870.60799999999995</c:v>
                </c:pt>
                <c:pt idx="1">
                  <c:v>872.60799999999995</c:v>
                </c:pt>
                <c:pt idx="2">
                  <c:v>976.60799999999995</c:v>
                </c:pt>
              </c:numCache>
            </c:numRef>
          </c:val>
        </c:ser>
        <c:ser>
          <c:idx val="1"/>
          <c:order val="1"/>
          <c:tx>
            <c:strRef>
              <c:f>SMC!$V$56</c:f>
              <c:strCache>
                <c:ptCount val="1"/>
                <c:pt idx="0">
                  <c:v>SEP'11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SMC!$V$32:$V$37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944.8599999999999</c:v>
                </c:pt>
                <c:pt idx="3">
                  <c:v>803.9799999999999</c:v>
                </c:pt>
                <c:pt idx="4">
                  <c:v>806.06</c:v>
                </c:pt>
                <c:pt idx="5">
                  <c:v>658.23</c:v>
                </c:pt>
              </c:numCache>
            </c:numRef>
          </c:val>
        </c:ser>
        <c:marker val="1"/>
        <c:axId val="59636736"/>
        <c:axId val="59638528"/>
      </c:lineChart>
      <c:catAx>
        <c:axId val="59636736"/>
        <c:scaling>
          <c:orientation val="minMax"/>
        </c:scaling>
        <c:axPos val="b"/>
        <c:numFmt formatCode="General" sourceLinked="1"/>
        <c:tickLblPos val="nextTo"/>
        <c:crossAx val="59638528"/>
        <c:crosses val="autoZero"/>
        <c:auto val="1"/>
        <c:lblAlgn val="ctr"/>
        <c:lblOffset val="100"/>
      </c:catAx>
      <c:valAx>
        <c:axId val="59638528"/>
        <c:scaling>
          <c:orientation val="minMax"/>
          <c:max val="1200"/>
          <c:min val="500"/>
        </c:scaling>
        <c:axPos val="l"/>
        <c:majorGridlines/>
        <c:numFmt formatCode="#,##0" sourceLinked="1"/>
        <c:tickLblPos val="nextTo"/>
        <c:crossAx val="59636736"/>
        <c:crosses val="autoZero"/>
        <c:crossBetween val="between"/>
      </c:valAx>
    </c:plotArea>
    <c:legend>
      <c:legendPos val="b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PEF Wholesale Winter Peak MW Comparison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7.2580373154713523E-2"/>
          <c:y val="9.8419970230993858E-2"/>
          <c:w val="0.91082837495991731"/>
          <c:h val="0.73833679880922998"/>
        </c:manualLayout>
      </c:layout>
      <c:lineChart>
        <c:grouping val="standard"/>
        <c:ser>
          <c:idx val="2"/>
          <c:order val="0"/>
          <c:tx>
            <c:v>Jan'11 Budget</c:v>
          </c:tx>
          <c:spPr>
            <a:ln>
              <a:solidFill>
                <a:prstClr val="black"/>
              </a:solidFill>
              <a:prstDash val="dash"/>
            </a:ln>
          </c:spPr>
          <c:marker>
            <c:symbol val="none"/>
          </c:marker>
          <c:val>
            <c:numRef>
              <c:f>SMC!$C$33:$C$38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908.60799999999995</c:v>
                </c:pt>
                <c:pt idx="3">
                  <c:v>941.60799999999995</c:v>
                </c:pt>
                <c:pt idx="4">
                  <c:v>1444.6079999999999</c:v>
                </c:pt>
                <c:pt idx="5">
                  <c:v>1446.6079999999999</c:v>
                </c:pt>
              </c:numCache>
            </c:numRef>
          </c:val>
        </c:ser>
        <c:ser>
          <c:idx val="1"/>
          <c:order val="1"/>
          <c:tx>
            <c:v>MPlan'11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SMC!$A$33:$A$38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SMC!$B$33:$B$38</c:f>
              <c:numCache>
                <c:formatCode>#,##0</c:formatCode>
                <c:ptCount val="6"/>
                <c:pt idx="0">
                  <c:v>0</c:v>
                </c:pt>
                <c:pt idx="1">
                  <c:v>896.73</c:v>
                </c:pt>
                <c:pt idx="2">
                  <c:v>894.93000000000006</c:v>
                </c:pt>
                <c:pt idx="3">
                  <c:v>1376.05</c:v>
                </c:pt>
                <c:pt idx="4">
                  <c:v>1378.27</c:v>
                </c:pt>
                <c:pt idx="5">
                  <c:v>1087.6600000000001</c:v>
                </c:pt>
              </c:numCache>
            </c:numRef>
          </c:val>
        </c:ser>
        <c:marker val="1"/>
        <c:axId val="59671296"/>
        <c:axId val="59672832"/>
      </c:lineChart>
      <c:catAx>
        <c:axId val="59671296"/>
        <c:scaling>
          <c:orientation val="minMax"/>
        </c:scaling>
        <c:axPos val="b"/>
        <c:numFmt formatCode="General" sourceLinked="1"/>
        <c:tickLblPos val="nextTo"/>
        <c:crossAx val="59672832"/>
        <c:crosses val="autoZero"/>
        <c:auto val="1"/>
        <c:lblAlgn val="ctr"/>
        <c:lblOffset val="100"/>
      </c:catAx>
      <c:valAx>
        <c:axId val="59672832"/>
        <c:scaling>
          <c:orientation val="minMax"/>
          <c:min val="600"/>
        </c:scaling>
        <c:axPos val="l"/>
        <c:majorGridlines/>
        <c:numFmt formatCode="#,##0" sourceLinked="1"/>
        <c:tickLblPos val="nextTo"/>
        <c:crossAx val="596712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- FEBRUARY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823133871716079"/>
          <c:y val="0.11384851958893107"/>
          <c:w val="0.8601706779808489"/>
          <c:h val="0.6842367221015786"/>
        </c:manualLayout>
      </c:layout>
      <c:lineChart>
        <c:grouping val="standard"/>
        <c:ser>
          <c:idx val="0"/>
          <c:order val="0"/>
          <c:tx>
            <c:strRef>
              <c:f>Feb!$AC$6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Feb!$AB$17:$AB$53</c:f>
              <c:numCache>
                <c:formatCode>General</c:formatCode>
                <c:ptCount val="37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  <c:pt idx="35">
                  <c:v>2019</c:v>
                </c:pt>
                <c:pt idx="36">
                  <c:v>2020</c:v>
                </c:pt>
              </c:numCache>
            </c:numRef>
          </c:cat>
          <c:val>
            <c:numRef>
              <c:f>Feb!$AC$17:$AC$53</c:f>
              <c:numCache>
                <c:formatCode>#,##0</c:formatCode>
                <c:ptCount val="37"/>
                <c:pt idx="0">
                  <c:v>3900</c:v>
                </c:pt>
                <c:pt idx="1">
                  <c:v>3882</c:v>
                </c:pt>
                <c:pt idx="2">
                  <c:v>3903</c:v>
                </c:pt>
                <c:pt idx="3">
                  <c:v>4540</c:v>
                </c:pt>
                <c:pt idx="4">
                  <c:v>4280</c:v>
                </c:pt>
                <c:pt idx="5">
                  <c:v>5779</c:v>
                </c:pt>
                <c:pt idx="6">
                  <c:v>3755.1872689222182</c:v>
                </c:pt>
                <c:pt idx="7">
                  <c:v>5053.9884083246134</c:v>
                </c:pt>
                <c:pt idx="8">
                  <c:v>4544.696290591708</c:v>
                </c:pt>
                <c:pt idx="9">
                  <c:v>5050.689719911813</c:v>
                </c:pt>
                <c:pt idx="10">
                  <c:v>5725.8130660555562</c:v>
                </c:pt>
                <c:pt idx="11">
                  <c:v>7350.1527825594803</c:v>
                </c:pt>
                <c:pt idx="12">
                  <c:v>8477.7203334661881</c:v>
                </c:pt>
                <c:pt idx="13">
                  <c:v>5180.8669862056631</c:v>
                </c:pt>
                <c:pt idx="14">
                  <c:v>5504.0520354171949</c:v>
                </c:pt>
                <c:pt idx="15">
                  <c:v>5966.0261349082175</c:v>
                </c:pt>
                <c:pt idx="16">
                  <c:v>6230.7</c:v>
                </c:pt>
                <c:pt idx="17">
                  <c:v>6109.9</c:v>
                </c:pt>
                <c:pt idx="18">
                  <c:v>7163.2</c:v>
                </c:pt>
                <c:pt idx="19">
                  <c:v>5537.5</c:v>
                </c:pt>
                <c:pt idx="20">
                  <c:v>6530</c:v>
                </c:pt>
                <c:pt idx="21">
                  <c:v>6048.6</c:v>
                </c:pt>
                <c:pt idx="22">
                  <c:v>8331.2000000000007</c:v>
                </c:pt>
                <c:pt idx="23">
                  <c:v>7209</c:v>
                </c:pt>
                <c:pt idx="24">
                  <c:v>6392</c:v>
                </c:pt>
                <c:pt idx="25">
                  <c:v>8713.910243304028</c:v>
                </c:pt>
                <c:pt idx="26">
                  <c:v>7505.2276489220394</c:v>
                </c:pt>
                <c:pt idx="27">
                  <c:v>6327.372311142828</c:v>
                </c:pt>
                <c:pt idx="28">
                  <c:v>7280.4709953185429</c:v>
                </c:pt>
                <c:pt idx="29">
                  <c:v>6846</c:v>
                </c:pt>
              </c:numCache>
            </c:numRef>
          </c:val>
        </c:ser>
        <c:ser>
          <c:idx val="3"/>
          <c:order val="1"/>
          <c:tx>
            <c:v>Predicted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Feb!$BE$17:$BE$53</c:f>
              <c:numCache>
                <c:formatCode>#,##0</c:formatCode>
                <c:ptCount val="37"/>
                <c:pt idx="1">
                  <c:v>4228</c:v>
                </c:pt>
                <c:pt idx="2">
                  <c:v>4570</c:v>
                </c:pt>
                <c:pt idx="3">
                  <c:v>5004</c:v>
                </c:pt>
                <c:pt idx="4">
                  <c:v>4815</c:v>
                </c:pt>
                <c:pt idx="5">
                  <c:v>6228</c:v>
                </c:pt>
                <c:pt idx="6">
                  <c:v>3634</c:v>
                </c:pt>
                <c:pt idx="7">
                  <c:v>4951</c:v>
                </c:pt>
                <c:pt idx="8">
                  <c:v>4735</c:v>
                </c:pt>
                <c:pt idx="9">
                  <c:v>5104</c:v>
                </c:pt>
                <c:pt idx="10">
                  <c:v>5539</c:v>
                </c:pt>
                <c:pt idx="11">
                  <c:v>7516</c:v>
                </c:pt>
                <c:pt idx="12">
                  <c:v>8229</c:v>
                </c:pt>
                <c:pt idx="13">
                  <c:v>5227</c:v>
                </c:pt>
                <c:pt idx="14">
                  <c:v>5189</c:v>
                </c:pt>
                <c:pt idx="15">
                  <c:v>6098</c:v>
                </c:pt>
                <c:pt idx="16">
                  <c:v>6114</c:v>
                </c:pt>
                <c:pt idx="17">
                  <c:v>6200</c:v>
                </c:pt>
                <c:pt idx="18">
                  <c:v>7463</c:v>
                </c:pt>
                <c:pt idx="19">
                  <c:v>5703</c:v>
                </c:pt>
                <c:pt idx="20">
                  <c:v>6683</c:v>
                </c:pt>
                <c:pt idx="21">
                  <c:v>5715</c:v>
                </c:pt>
                <c:pt idx="22">
                  <c:v>7977</c:v>
                </c:pt>
                <c:pt idx="23">
                  <c:v>7064</c:v>
                </c:pt>
                <c:pt idx="24">
                  <c:v>6388</c:v>
                </c:pt>
                <c:pt idx="25">
                  <c:v>8442</c:v>
                </c:pt>
                <c:pt idx="26">
                  <c:v>7718</c:v>
                </c:pt>
                <c:pt idx="27">
                  <c:v>6172</c:v>
                </c:pt>
                <c:pt idx="28">
                  <c:v>7605</c:v>
                </c:pt>
                <c:pt idx="29">
                  <c:v>6619</c:v>
                </c:pt>
              </c:numCache>
            </c:numRef>
          </c:val>
        </c:ser>
        <c:ser>
          <c:idx val="1"/>
          <c:order val="2"/>
          <c:tx>
            <c:v>Pred w/Norm</c:v>
          </c:tx>
          <c:spPr>
            <a:ln w="28575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Feb!$BB$17:$BB$53</c:f>
              <c:numCache>
                <c:formatCode>#,##0</c:formatCode>
                <c:ptCount val="37"/>
                <c:pt idx="1">
                  <c:v>4473</c:v>
                </c:pt>
                <c:pt idx="2">
                  <c:v>4658</c:v>
                </c:pt>
                <c:pt idx="3">
                  <c:v>4846</c:v>
                </c:pt>
                <c:pt idx="4">
                  <c:v>5025</c:v>
                </c:pt>
                <c:pt idx="5">
                  <c:v>5195</c:v>
                </c:pt>
                <c:pt idx="6">
                  <c:v>5369</c:v>
                </c:pt>
                <c:pt idx="7">
                  <c:v>4443</c:v>
                </c:pt>
                <c:pt idx="8">
                  <c:v>5593</c:v>
                </c:pt>
                <c:pt idx="9">
                  <c:v>5016</c:v>
                </c:pt>
                <c:pt idx="10">
                  <c:v>5189</c:v>
                </c:pt>
                <c:pt idx="11">
                  <c:v>5991</c:v>
                </c:pt>
                <c:pt idx="12">
                  <c:v>6092</c:v>
                </c:pt>
                <c:pt idx="13">
                  <c:v>6209</c:v>
                </c:pt>
                <c:pt idx="14">
                  <c:v>6293</c:v>
                </c:pt>
                <c:pt idx="15">
                  <c:v>6413</c:v>
                </c:pt>
                <c:pt idx="16">
                  <c:v>6552</c:v>
                </c:pt>
                <c:pt idx="17">
                  <c:v>6725</c:v>
                </c:pt>
                <c:pt idx="18">
                  <c:v>6868</c:v>
                </c:pt>
                <c:pt idx="19">
                  <c:v>7000</c:v>
                </c:pt>
                <c:pt idx="20">
                  <c:v>7156</c:v>
                </c:pt>
                <c:pt idx="21">
                  <c:v>6626</c:v>
                </c:pt>
                <c:pt idx="22">
                  <c:v>7451</c:v>
                </c:pt>
                <c:pt idx="23">
                  <c:v>6538</c:v>
                </c:pt>
                <c:pt idx="24">
                  <c:v>6563</c:v>
                </c:pt>
                <c:pt idx="25">
                  <c:v>7583</c:v>
                </c:pt>
                <c:pt idx="26">
                  <c:v>7578</c:v>
                </c:pt>
                <c:pt idx="27">
                  <c:v>6926</c:v>
                </c:pt>
                <c:pt idx="28">
                  <c:v>6974</c:v>
                </c:pt>
                <c:pt idx="29">
                  <c:v>5988</c:v>
                </c:pt>
              </c:numCache>
            </c:numRef>
          </c:val>
        </c:ser>
        <c:ser>
          <c:idx val="4"/>
          <c:order val="3"/>
          <c:tx>
            <c:strRef>
              <c:f>Feb!$AN$6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Feb!$AN$17:$AN$53</c:f>
              <c:numCache>
                <c:formatCode>General</c:formatCode>
                <c:ptCount val="37"/>
                <c:pt idx="30" formatCode="#,##0">
                  <c:v>8611</c:v>
                </c:pt>
                <c:pt idx="31" formatCode="#,##0">
                  <c:v>8772</c:v>
                </c:pt>
                <c:pt idx="32" formatCode="#,##0">
                  <c:v>8934</c:v>
                </c:pt>
                <c:pt idx="33" formatCode="#,##0">
                  <c:v>9096</c:v>
                </c:pt>
                <c:pt idx="34" formatCode="#,##0">
                  <c:v>9265</c:v>
                </c:pt>
                <c:pt idx="35" formatCode="#,##0">
                  <c:v>9435</c:v>
                </c:pt>
                <c:pt idx="36" formatCode="#,##0">
                  <c:v>9605</c:v>
                </c:pt>
              </c:numCache>
            </c:numRef>
          </c:val>
        </c:ser>
        <c:ser>
          <c:idx val="2"/>
          <c:order val="4"/>
          <c:tx>
            <c:strRef>
              <c:f>Feb!$AM$6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Feb!$AM$17:$AM$53</c:f>
              <c:numCache>
                <c:formatCode>#,##0</c:formatCode>
                <c:ptCount val="37"/>
                <c:pt idx="30">
                  <c:v>7370</c:v>
                </c:pt>
                <c:pt idx="31">
                  <c:v>7619</c:v>
                </c:pt>
                <c:pt idx="32">
                  <c:v>7877</c:v>
                </c:pt>
                <c:pt idx="33">
                  <c:v>8134</c:v>
                </c:pt>
                <c:pt idx="34">
                  <c:v>8250</c:v>
                </c:pt>
                <c:pt idx="35">
                  <c:v>8360</c:v>
                </c:pt>
                <c:pt idx="36">
                  <c:v>8466</c:v>
                </c:pt>
              </c:numCache>
            </c:numRef>
          </c:val>
        </c:ser>
        <c:marker val="1"/>
        <c:axId val="231689216"/>
        <c:axId val="231695104"/>
      </c:lineChart>
      <c:catAx>
        <c:axId val="231689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695104"/>
        <c:crosses val="autoZero"/>
        <c:auto val="1"/>
        <c:lblAlgn val="ctr"/>
        <c:lblOffset val="100"/>
        <c:tickLblSkip val="2"/>
        <c:tickMarkSkip val="2"/>
      </c:catAx>
      <c:valAx>
        <c:axId val="231695104"/>
        <c:scaling>
          <c:orientation val="minMax"/>
          <c:min val="2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6892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384226045818348"/>
          <c:y val="0.92000240244568965"/>
          <c:w val="0.73870166229223155"/>
          <c:h val="6.400019219565500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- FEBRUARY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823133871716079"/>
          <c:y val="0.11384851958893107"/>
          <c:w val="0.86017067798084912"/>
          <c:h val="0.7067531133076449"/>
        </c:manualLayout>
      </c:layout>
      <c:lineChart>
        <c:grouping val="standard"/>
        <c:ser>
          <c:idx val="3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Feb!$BA$17:$BA$46</c:f>
              <c:numCache>
                <c:formatCode>General</c:formatCode>
                <c:ptCount val="30"/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</c:numCache>
            </c:numRef>
          </c:cat>
          <c:val>
            <c:numRef>
              <c:f>Feb!$AK$17:$AK$46</c:f>
              <c:numCache>
                <c:formatCode>#,##0</c:formatCode>
                <c:ptCount val="30"/>
                <c:pt idx="0">
                  <c:v>-337</c:v>
                </c:pt>
                <c:pt idx="1">
                  <c:v>-346</c:v>
                </c:pt>
                <c:pt idx="2">
                  <c:v>-667</c:v>
                </c:pt>
                <c:pt idx="3">
                  <c:v>-464</c:v>
                </c:pt>
                <c:pt idx="4">
                  <c:v>-535</c:v>
                </c:pt>
                <c:pt idx="5">
                  <c:v>-449</c:v>
                </c:pt>
                <c:pt idx="6">
                  <c:v>121.18726892221821</c:v>
                </c:pt>
                <c:pt idx="7">
                  <c:v>102.98840832461337</c:v>
                </c:pt>
                <c:pt idx="8">
                  <c:v>-190.30370940829198</c:v>
                </c:pt>
                <c:pt idx="9">
                  <c:v>-53.310280088187028</c:v>
                </c:pt>
                <c:pt idx="10">
                  <c:v>186.81306605555619</c:v>
                </c:pt>
                <c:pt idx="11">
                  <c:v>-165.84721744051967</c:v>
                </c:pt>
                <c:pt idx="12">
                  <c:v>248.72033346618809</c:v>
                </c:pt>
                <c:pt idx="13">
                  <c:v>-46.133013794336875</c:v>
                </c:pt>
                <c:pt idx="14">
                  <c:v>315.05203541719493</c:v>
                </c:pt>
                <c:pt idx="15">
                  <c:v>-131.9738650917825</c:v>
                </c:pt>
                <c:pt idx="16">
                  <c:v>116.69999999999982</c:v>
                </c:pt>
                <c:pt idx="17">
                  <c:v>-90.100000000000364</c:v>
                </c:pt>
                <c:pt idx="18">
                  <c:v>-299.80000000000018</c:v>
                </c:pt>
                <c:pt idx="19">
                  <c:v>-165.5</c:v>
                </c:pt>
                <c:pt idx="20">
                  <c:v>-153</c:v>
                </c:pt>
                <c:pt idx="21">
                  <c:v>333.60000000000036</c:v>
                </c:pt>
                <c:pt idx="22">
                  <c:v>354.20000000000073</c:v>
                </c:pt>
                <c:pt idx="23">
                  <c:v>145</c:v>
                </c:pt>
                <c:pt idx="24">
                  <c:v>4</c:v>
                </c:pt>
                <c:pt idx="25">
                  <c:v>271.91024330402797</c:v>
                </c:pt>
                <c:pt idx="26">
                  <c:v>-212.77235107796059</c:v>
                </c:pt>
                <c:pt idx="27">
                  <c:v>155.37231114282804</c:v>
                </c:pt>
                <c:pt idx="28">
                  <c:v>-324.52900468145708</c:v>
                </c:pt>
                <c:pt idx="29">
                  <c:v>227</c:v>
                </c:pt>
              </c:numCache>
            </c:numRef>
          </c:val>
        </c:ser>
        <c:marker val="1"/>
        <c:axId val="231731968"/>
        <c:axId val="231733504"/>
      </c:lineChart>
      <c:catAx>
        <c:axId val="231731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733504"/>
        <c:crosses val="autoZero"/>
        <c:auto val="1"/>
        <c:lblAlgn val="ctr"/>
        <c:lblOffset val="100"/>
        <c:tickLblSkip val="2"/>
        <c:tickMarkSkip val="2"/>
      </c:catAx>
      <c:valAx>
        <c:axId val="231733504"/>
        <c:scaling>
          <c:orientation val="minMax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7319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384226045818348"/>
          <c:y val="0.92000240244568965"/>
          <c:w val="0.73870166229223178"/>
          <c:h val="6.400019219565500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&amp; Cuml EE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096832448392722"/>
          <c:y val="0.10805676585712159"/>
          <c:w val="0.86307170517767962"/>
          <c:h val="0.67675348273773472"/>
        </c:manualLayout>
      </c:layout>
      <c:lineChart>
        <c:grouping val="standard"/>
        <c:ser>
          <c:idx val="0"/>
          <c:order val="0"/>
          <c:tx>
            <c:strRef>
              <c:f>Mar!$AD$6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Mar!$AC$70:$AC$98</c:f>
              <c:numCache>
                <c:formatCode>General</c:formatCode>
                <c:ptCount val="29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1988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1995</c:v>
                </c:pt>
                <c:pt idx="11">
                  <c:v>1996</c:v>
                </c:pt>
                <c:pt idx="12">
                  <c:v>1998</c:v>
                </c:pt>
                <c:pt idx="13">
                  <c:v>1999</c:v>
                </c:pt>
                <c:pt idx="14">
                  <c:v>2001</c:v>
                </c:pt>
                <c:pt idx="15">
                  <c:v>2002</c:v>
                </c:pt>
                <c:pt idx="16">
                  <c:v>2004</c:v>
                </c:pt>
                <c:pt idx="17">
                  <c:v>2007</c:v>
                </c:pt>
                <c:pt idx="18">
                  <c:v>2009</c:v>
                </c:pt>
                <c:pt idx="19">
                  <c:v>2010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</c:numCache>
            </c:numRef>
          </c:cat>
          <c:val>
            <c:numRef>
              <c:f>Mar!$AD$70:$AD$98</c:f>
              <c:numCache>
                <c:formatCode>#,##0</c:formatCode>
                <c:ptCount val="29"/>
                <c:pt idx="0">
                  <c:v>2399</c:v>
                </c:pt>
                <c:pt idx="1">
                  <c:v>2696</c:v>
                </c:pt>
                <c:pt idx="2">
                  <c:v>3113</c:v>
                </c:pt>
                <c:pt idx="3">
                  <c:v>3768</c:v>
                </c:pt>
                <c:pt idx="4">
                  <c:v>2902</c:v>
                </c:pt>
                <c:pt idx="5">
                  <c:v>3623</c:v>
                </c:pt>
                <c:pt idx="6">
                  <c:v>4059</c:v>
                </c:pt>
                <c:pt idx="7">
                  <c:v>4272.7410301127775</c:v>
                </c:pt>
                <c:pt idx="8">
                  <c:v>4128.9159493522666</c:v>
                </c:pt>
                <c:pt idx="9">
                  <c:v>5929.4674395613647</c:v>
                </c:pt>
                <c:pt idx="10">
                  <c:v>4172.423034443199</c:v>
                </c:pt>
                <c:pt idx="11">
                  <c:v>5942.8845562641163</c:v>
                </c:pt>
                <c:pt idx="12">
                  <c:v>5740.1856784802858</c:v>
                </c:pt>
                <c:pt idx="13">
                  <c:v>5026.4789228649934</c:v>
                </c:pt>
                <c:pt idx="14">
                  <c:v>4935.18</c:v>
                </c:pt>
                <c:pt idx="15">
                  <c:v>6806</c:v>
                </c:pt>
                <c:pt idx="16">
                  <c:v>5024.7</c:v>
                </c:pt>
                <c:pt idx="17" formatCode="#,##0_);[Red]\(#,##0\)">
                  <c:v>5650</c:v>
                </c:pt>
                <c:pt idx="18" formatCode="#,##0_);[Red]\(#,##0\)">
                  <c:v>6279</c:v>
                </c:pt>
                <c:pt idx="19" formatCode="#,##0_);[Red]\(#,##0\)">
                  <c:v>6904</c:v>
                </c:pt>
                <c:pt idx="20" formatCode="#,##0_);[Red]\(#,##0\)">
                  <c:v>6658</c:v>
                </c:pt>
              </c:numCache>
            </c:numRef>
          </c:val>
        </c:ser>
        <c:ser>
          <c:idx val="3"/>
          <c:order val="1"/>
          <c:tx>
            <c:strRef>
              <c:f>Mar!$AJ$68</c:f>
              <c:strCache>
                <c:ptCount val="1"/>
                <c:pt idx="0">
                  <c:v>PRED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Mar!$AJ$70:$AJ$90</c:f>
              <c:numCache>
                <c:formatCode>#,##0</c:formatCode>
                <c:ptCount val="21"/>
                <c:pt idx="0">
                  <c:v>2217</c:v>
                </c:pt>
                <c:pt idx="1">
                  <c:v>2509</c:v>
                </c:pt>
                <c:pt idx="2">
                  <c:v>2885</c:v>
                </c:pt>
                <c:pt idx="3">
                  <c:v>4041</c:v>
                </c:pt>
                <c:pt idx="4">
                  <c:v>3341</c:v>
                </c:pt>
                <c:pt idx="5">
                  <c:v>3623</c:v>
                </c:pt>
                <c:pt idx="6">
                  <c:v>4124</c:v>
                </c:pt>
                <c:pt idx="7">
                  <c:v>4233</c:v>
                </c:pt>
                <c:pt idx="8">
                  <c:v>4032</c:v>
                </c:pt>
                <c:pt idx="9">
                  <c:v>5676</c:v>
                </c:pt>
                <c:pt idx="10">
                  <c:v>4412</c:v>
                </c:pt>
                <c:pt idx="11">
                  <c:v>5926</c:v>
                </c:pt>
                <c:pt idx="12">
                  <c:v>5419</c:v>
                </c:pt>
                <c:pt idx="13">
                  <c:v>4971</c:v>
                </c:pt>
                <c:pt idx="14">
                  <c:v>5201</c:v>
                </c:pt>
                <c:pt idx="15">
                  <c:v>6521</c:v>
                </c:pt>
                <c:pt idx="16">
                  <c:v>4895</c:v>
                </c:pt>
                <c:pt idx="17">
                  <c:v>5848</c:v>
                </c:pt>
                <c:pt idx="18">
                  <c:v>6273</c:v>
                </c:pt>
                <c:pt idx="19">
                  <c:v>6937</c:v>
                </c:pt>
                <c:pt idx="20">
                  <c:v>6783</c:v>
                </c:pt>
              </c:numCache>
            </c:numRef>
          </c:val>
        </c:ser>
        <c:ser>
          <c:idx val="1"/>
          <c:order val="2"/>
          <c:tx>
            <c:strRef>
              <c:f>Mar!$BD$68</c:f>
              <c:strCache>
                <c:ptCount val="1"/>
                <c:pt idx="0">
                  <c:v>Pred w/Norm</c:v>
                </c:pt>
              </c:strCache>
            </c:strRef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Mar!$BD$70:$BD$90</c:f>
              <c:numCache>
                <c:formatCode>General</c:formatCode>
                <c:ptCount val="21"/>
                <c:pt idx="0">
                  <c:v>2905</c:v>
                </c:pt>
                <c:pt idx="1">
                  <c:v>2295</c:v>
                </c:pt>
                <c:pt idx="2">
                  <c:v>3170</c:v>
                </c:pt>
                <c:pt idx="3">
                  <c:v>3330</c:v>
                </c:pt>
                <c:pt idx="4">
                  <c:v>3519</c:v>
                </c:pt>
                <c:pt idx="5">
                  <c:v>3718</c:v>
                </c:pt>
                <c:pt idx="6">
                  <c:v>4064</c:v>
                </c:pt>
                <c:pt idx="7">
                  <c:v>4530</c:v>
                </c:pt>
                <c:pt idx="8">
                  <c:v>4625</c:v>
                </c:pt>
                <c:pt idx="9">
                  <c:v>4739</c:v>
                </c:pt>
                <c:pt idx="10">
                  <c:v>4993</c:v>
                </c:pt>
                <c:pt idx="11">
                  <c:v>5120</c:v>
                </c:pt>
                <c:pt idx="12">
                  <c:v>5324</c:v>
                </c:pt>
                <c:pt idx="13">
                  <c:v>5446</c:v>
                </c:pt>
                <c:pt idx="14">
                  <c:v>5758</c:v>
                </c:pt>
                <c:pt idx="15">
                  <c:v>5892</c:v>
                </c:pt>
                <c:pt idx="16">
                  <c:v>5453</c:v>
                </c:pt>
                <c:pt idx="17">
                  <c:v>5884</c:v>
                </c:pt>
                <c:pt idx="18">
                  <c:v>5869</c:v>
                </c:pt>
                <c:pt idx="19">
                  <c:v>6605</c:v>
                </c:pt>
                <c:pt idx="20">
                  <c:v>6024</c:v>
                </c:pt>
              </c:numCache>
            </c:numRef>
          </c:val>
        </c:ser>
        <c:ser>
          <c:idx val="4"/>
          <c:order val="3"/>
          <c:tx>
            <c:strRef>
              <c:f>Mar!$AN$6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Mar!$AN$70:$AN$97</c:f>
              <c:numCache>
                <c:formatCode>General</c:formatCode>
                <c:ptCount val="28"/>
                <c:pt idx="21" formatCode="#,##0">
                  <c:v>7002</c:v>
                </c:pt>
                <c:pt idx="22" formatCode="#,##0">
                  <c:v>7110</c:v>
                </c:pt>
                <c:pt idx="23" formatCode="#,##0">
                  <c:v>7244</c:v>
                </c:pt>
                <c:pt idx="24" formatCode="#,##0">
                  <c:v>7377</c:v>
                </c:pt>
                <c:pt idx="25" formatCode="#,##0">
                  <c:v>7511</c:v>
                </c:pt>
                <c:pt idx="26" formatCode="#,##0">
                  <c:v>7650</c:v>
                </c:pt>
                <c:pt idx="27" formatCode="#,##0">
                  <c:v>7790</c:v>
                </c:pt>
              </c:numCache>
            </c:numRef>
          </c:val>
        </c:ser>
        <c:ser>
          <c:idx val="2"/>
          <c:order val="4"/>
          <c:tx>
            <c:strRef>
              <c:f>Mar!$AM$6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Mar!$AM$70:$AM$97</c:f>
              <c:numCache>
                <c:formatCode>General</c:formatCode>
                <c:ptCount val="28"/>
                <c:pt idx="21" formatCode="#,##0">
                  <c:v>6366</c:v>
                </c:pt>
                <c:pt idx="22" formatCode="#,##0">
                  <c:v>6625</c:v>
                </c:pt>
                <c:pt idx="23" formatCode="#,##0">
                  <c:v>6922</c:v>
                </c:pt>
                <c:pt idx="24" formatCode="#,##0">
                  <c:v>7041</c:v>
                </c:pt>
                <c:pt idx="25" formatCode="#,##0">
                  <c:v>7160</c:v>
                </c:pt>
                <c:pt idx="26" formatCode="#,##0">
                  <c:v>7275</c:v>
                </c:pt>
                <c:pt idx="27" formatCode="#,##0">
                  <c:v>7384</c:v>
                </c:pt>
              </c:numCache>
            </c:numRef>
          </c:val>
        </c:ser>
        <c:marker val="1"/>
        <c:axId val="231797120"/>
        <c:axId val="231798656"/>
      </c:lineChart>
      <c:catAx>
        <c:axId val="231797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798656"/>
        <c:crosses val="autoZero"/>
        <c:auto val="1"/>
        <c:lblAlgn val="ctr"/>
        <c:lblOffset val="100"/>
        <c:tickLblSkip val="2"/>
        <c:tickMarkSkip val="2"/>
      </c:catAx>
      <c:valAx>
        <c:axId val="231798656"/>
        <c:scaling>
          <c:orientation val="minMax"/>
          <c:min val="1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7971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598778876045245"/>
          <c:y val="0.92405070735452965"/>
          <c:w val="0.7519884837090407"/>
          <c:h val="5.260212805349573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&amp; Cuml EE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0.10096833774853808"/>
          <c:y val="0.12451767603123744"/>
          <c:w val="0.86307170517767962"/>
          <c:h val="0.69321430500199499"/>
        </c:manualLayout>
      </c:layout>
      <c:lineChart>
        <c:grouping val="standard"/>
        <c:ser>
          <c:idx val="0"/>
          <c:order val="0"/>
          <c:tx>
            <c:v>Model Error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Mar!$AC$69:$AC$90</c:f>
              <c:numCache>
                <c:formatCode>General</c:formatCode>
                <c:ptCount val="22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1988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1995</c:v>
                </c:pt>
                <c:pt idx="12">
                  <c:v>1996</c:v>
                </c:pt>
                <c:pt idx="13">
                  <c:v>1998</c:v>
                </c:pt>
                <c:pt idx="14">
                  <c:v>1999</c:v>
                </c:pt>
                <c:pt idx="15">
                  <c:v>2001</c:v>
                </c:pt>
                <c:pt idx="16">
                  <c:v>2002</c:v>
                </c:pt>
                <c:pt idx="17">
                  <c:v>2004</c:v>
                </c:pt>
                <c:pt idx="18">
                  <c:v>2007</c:v>
                </c:pt>
                <c:pt idx="19">
                  <c:v>2009</c:v>
                </c:pt>
                <c:pt idx="20">
                  <c:v>2010</c:v>
                </c:pt>
                <c:pt idx="21">
                  <c:v>2013</c:v>
                </c:pt>
              </c:numCache>
            </c:numRef>
          </c:cat>
          <c:val>
            <c:numRef>
              <c:f>Mar!$AK$69:$AK$90</c:f>
              <c:numCache>
                <c:formatCode>0</c:formatCode>
                <c:ptCount val="22"/>
                <c:pt idx="0">
                  <c:v>-163</c:v>
                </c:pt>
                <c:pt idx="1">
                  <c:v>182</c:v>
                </c:pt>
                <c:pt idx="2">
                  <c:v>187</c:v>
                </c:pt>
                <c:pt idx="3">
                  <c:v>228</c:v>
                </c:pt>
                <c:pt idx="4">
                  <c:v>-273</c:v>
                </c:pt>
                <c:pt idx="5">
                  <c:v>-439</c:v>
                </c:pt>
                <c:pt idx="6">
                  <c:v>0</c:v>
                </c:pt>
                <c:pt idx="7">
                  <c:v>-65</c:v>
                </c:pt>
                <c:pt idx="8">
                  <c:v>39.74103011277748</c:v>
                </c:pt>
                <c:pt idx="9">
                  <c:v>96.91594935226658</c:v>
                </c:pt>
                <c:pt idx="10">
                  <c:v>253.4674395613647</c:v>
                </c:pt>
                <c:pt idx="11">
                  <c:v>-239.57696555680104</c:v>
                </c:pt>
                <c:pt idx="12">
                  <c:v>16.884556264116327</c:v>
                </c:pt>
                <c:pt idx="13">
                  <c:v>321.18567848028579</c:v>
                </c:pt>
                <c:pt idx="14">
                  <c:v>55.478922864993365</c:v>
                </c:pt>
                <c:pt idx="15">
                  <c:v>-265.81999999999971</c:v>
                </c:pt>
                <c:pt idx="16">
                  <c:v>285</c:v>
                </c:pt>
                <c:pt idx="17">
                  <c:v>129.69999999999982</c:v>
                </c:pt>
                <c:pt idx="18">
                  <c:v>-198</c:v>
                </c:pt>
                <c:pt idx="19">
                  <c:v>6</c:v>
                </c:pt>
                <c:pt idx="20">
                  <c:v>-33</c:v>
                </c:pt>
                <c:pt idx="21">
                  <c:v>-125</c:v>
                </c:pt>
              </c:numCache>
            </c:numRef>
          </c:val>
        </c:ser>
        <c:marker val="1"/>
        <c:axId val="231581184"/>
        <c:axId val="231582720"/>
      </c:lineChart>
      <c:catAx>
        <c:axId val="2315811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582720"/>
        <c:crosses val="autoZero"/>
        <c:auto val="1"/>
        <c:lblAlgn val="ctr"/>
        <c:lblOffset val="100"/>
        <c:tickLblSkip val="2"/>
        <c:tickMarkSkip val="2"/>
      </c:catAx>
      <c:valAx>
        <c:axId val="231582720"/>
        <c:scaling>
          <c:orientation val="minMax"/>
        </c:scaling>
        <c:axPos val="l"/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1581184"/>
        <c:crosses val="autoZero"/>
        <c:crossBetween val="midCat"/>
      </c:valAx>
      <c:spPr>
        <a:noFill/>
        <a:ln w="25400">
          <a:solidFill>
            <a:srgbClr val="000000"/>
          </a:solidFill>
        </a:ln>
      </c:spPr>
    </c:plotArea>
    <c:legend>
      <c:legendPos val="b"/>
      <c:layout>
        <c:manualLayout>
          <c:xMode val="edge"/>
          <c:yMode val="edge"/>
          <c:x val="0.1359877887604525"/>
          <c:y val="0.92405070735452965"/>
          <c:w val="0.7519884837090407"/>
          <c:h val="5.260212805349573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8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Retail MW Before DLC &amp; Cuml EE - April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9.8916120051183706E-2"/>
          <c:y val="0.10143972698201822"/>
          <c:w val="0.85772471222467295"/>
          <c:h val="0.70615527897722452"/>
        </c:manualLayout>
      </c:layout>
      <c:lineChart>
        <c:grouping val="standard"/>
        <c:ser>
          <c:idx val="0"/>
          <c:order val="0"/>
          <c:tx>
            <c:strRef>
              <c:f>Apr!$AE$6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Apr!$AD$13:$AD$53</c:f>
              <c:numCache>
                <c:formatCode>General</c:formatCode>
                <c:ptCount val="4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Apr!$AE$13:$AE$53</c:f>
              <c:numCache>
                <c:formatCode>#,##0</c:formatCode>
                <c:ptCount val="41"/>
                <c:pt idx="0">
                  <c:v>2092</c:v>
                </c:pt>
                <c:pt idx="1">
                  <c:v>2138</c:v>
                </c:pt>
                <c:pt idx="2">
                  <c:v>2544</c:v>
                </c:pt>
                <c:pt idx="3">
                  <c:v>2226</c:v>
                </c:pt>
                <c:pt idx="4">
                  <c:v>2462</c:v>
                </c:pt>
                <c:pt idx="5">
                  <c:v>2568</c:v>
                </c:pt>
                <c:pt idx="6">
                  <c:v>2646</c:v>
                </c:pt>
                <c:pt idx="7">
                  <c:v>3562</c:v>
                </c:pt>
                <c:pt idx="8">
                  <c:v>3090</c:v>
                </c:pt>
                <c:pt idx="9">
                  <c:v>3589</c:v>
                </c:pt>
                <c:pt idx="10">
                  <c:v>3851.4783978607138</c:v>
                </c:pt>
                <c:pt idx="11">
                  <c:v>4553.0998256016737</c:v>
                </c:pt>
                <c:pt idx="12">
                  <c:v>3781.498622792381</c:v>
                </c:pt>
                <c:pt idx="13">
                  <c:v>3276.4722984372643</c:v>
                </c:pt>
                <c:pt idx="14">
                  <c:v>4475.6097547505906</c:v>
                </c:pt>
                <c:pt idx="15">
                  <c:v>4687.452250303716</c:v>
                </c:pt>
                <c:pt idx="16">
                  <c:v>4862.0584679155045</c:v>
                </c:pt>
                <c:pt idx="17">
                  <c:v>4413.2365175219602</c:v>
                </c:pt>
                <c:pt idx="18">
                  <c:v>4835.7974178978857</c:v>
                </c:pt>
                <c:pt idx="19">
                  <c:v>5588.6102094905327</c:v>
                </c:pt>
                <c:pt idx="20">
                  <c:v>4912.25</c:v>
                </c:pt>
                <c:pt idx="21">
                  <c:v>5736.35</c:v>
                </c:pt>
                <c:pt idx="22">
                  <c:v>6193.4</c:v>
                </c:pt>
                <c:pt idx="23">
                  <c:v>6192.3</c:v>
                </c:pt>
                <c:pt idx="24">
                  <c:v>5843.1</c:v>
                </c:pt>
                <c:pt idx="25">
                  <c:v>5832.2</c:v>
                </c:pt>
                <c:pt idx="26">
                  <c:v>6749.5</c:v>
                </c:pt>
                <c:pt idx="27">
                  <c:v>6208</c:v>
                </c:pt>
                <c:pt idx="28">
                  <c:v>5879</c:v>
                </c:pt>
                <c:pt idx="29">
                  <c:v>5728</c:v>
                </c:pt>
                <c:pt idx="30">
                  <c:v>5352</c:v>
                </c:pt>
                <c:pt idx="31">
                  <c:v>7001</c:v>
                </c:pt>
                <c:pt idx="32">
                  <c:v>6233</c:v>
                </c:pt>
                <c:pt idx="33">
                  <c:v>6146</c:v>
                </c:pt>
              </c:numCache>
            </c:numRef>
          </c:val>
        </c:ser>
        <c:ser>
          <c:idx val="3"/>
          <c:order val="1"/>
          <c:tx>
            <c:v>Predicted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Apr!$AJ$13:$AJ$53</c:f>
              <c:numCache>
                <c:formatCode>#,##0</c:formatCode>
                <c:ptCount val="41"/>
                <c:pt idx="0">
                  <c:v>1919</c:v>
                </c:pt>
                <c:pt idx="1">
                  <c:v>2089</c:v>
                </c:pt>
                <c:pt idx="2">
                  <c:v>2254</c:v>
                </c:pt>
                <c:pt idx="3">
                  <c:v>2405</c:v>
                </c:pt>
                <c:pt idx="4">
                  <c:v>2616</c:v>
                </c:pt>
                <c:pt idx="5">
                  <c:v>2840</c:v>
                </c:pt>
                <c:pt idx="6">
                  <c:v>3053</c:v>
                </c:pt>
                <c:pt idx="7">
                  <c:v>3174</c:v>
                </c:pt>
                <c:pt idx="8">
                  <c:v>3473</c:v>
                </c:pt>
                <c:pt idx="9">
                  <c:v>3706</c:v>
                </c:pt>
                <c:pt idx="10">
                  <c:v>3894</c:v>
                </c:pt>
                <c:pt idx="11">
                  <c:v>4031</c:v>
                </c:pt>
                <c:pt idx="12">
                  <c:v>4132</c:v>
                </c:pt>
                <c:pt idx="13">
                  <c:v>3449</c:v>
                </c:pt>
                <c:pt idx="14">
                  <c:v>4474</c:v>
                </c:pt>
                <c:pt idx="15">
                  <c:v>4607</c:v>
                </c:pt>
                <c:pt idx="16">
                  <c:v>4735</c:v>
                </c:pt>
                <c:pt idx="17">
                  <c:v>4080</c:v>
                </c:pt>
                <c:pt idx="18">
                  <c:v>5002</c:v>
                </c:pt>
                <c:pt idx="19">
                  <c:v>5135</c:v>
                </c:pt>
                <c:pt idx="20">
                  <c:v>5295</c:v>
                </c:pt>
                <c:pt idx="21">
                  <c:v>5285</c:v>
                </c:pt>
                <c:pt idx="22">
                  <c:v>5012</c:v>
                </c:pt>
                <c:pt idx="23">
                  <c:v>4992</c:v>
                </c:pt>
                <c:pt idx="24">
                  <c:v>5807</c:v>
                </c:pt>
                <c:pt idx="25">
                  <c:v>6206</c:v>
                </c:pt>
                <c:pt idx="26">
                  <c:v>6390</c:v>
                </c:pt>
                <c:pt idx="27">
                  <c:v>6322</c:v>
                </c:pt>
                <c:pt idx="28">
                  <c:v>5904</c:v>
                </c:pt>
                <c:pt idx="29">
                  <c:v>5641</c:v>
                </c:pt>
                <c:pt idx="30">
                  <c:v>5512</c:v>
                </c:pt>
                <c:pt idx="31">
                  <c:v>6566</c:v>
                </c:pt>
                <c:pt idx="32">
                  <c:v>6620</c:v>
                </c:pt>
                <c:pt idx="33">
                  <c:v>6702</c:v>
                </c:pt>
              </c:numCache>
            </c:numRef>
          </c:val>
        </c:ser>
        <c:ser>
          <c:idx val="1"/>
          <c:order val="2"/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Apr!$AD$13:$AD$53</c:f>
              <c:numCache>
                <c:formatCode>General</c:formatCode>
                <c:ptCount val="4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Apr!$BD$13:$BD$53</c:f>
              <c:numCache>
                <c:formatCode>0</c:formatCode>
                <c:ptCount val="41"/>
                <c:pt idx="0">
                  <c:v>1927.4359790814844</c:v>
                </c:pt>
                <c:pt idx="1">
                  <c:v>2087.4076297794195</c:v>
                </c:pt>
                <c:pt idx="2">
                  <c:v>2247.8661181542161</c:v>
                </c:pt>
                <c:pt idx="3">
                  <c:v>2410.4271033093041</c:v>
                </c:pt>
                <c:pt idx="4">
                  <c:v>2615.6853576845183</c:v>
                </c:pt>
                <c:pt idx="5">
                  <c:v>2837.9615312915616</c:v>
                </c:pt>
                <c:pt idx="6">
                  <c:v>3046.1675610508487</c:v>
                </c:pt>
                <c:pt idx="7">
                  <c:v>3276.8002231332507</c:v>
                </c:pt>
                <c:pt idx="8">
                  <c:v>3475.5583920426766</c:v>
                </c:pt>
                <c:pt idx="9">
                  <c:v>3701.1033329086472</c:v>
                </c:pt>
                <c:pt idx="10">
                  <c:v>3889.739558031019</c:v>
                </c:pt>
                <c:pt idx="11">
                  <c:v>4022.4161996372254</c:v>
                </c:pt>
                <c:pt idx="12">
                  <c:v>4134.4263143674325</c:v>
                </c:pt>
                <c:pt idx="13">
                  <c:v>3539.7690975225369</c:v>
                </c:pt>
                <c:pt idx="14">
                  <c:v>4468.7179525692636</c:v>
                </c:pt>
                <c:pt idx="15">
                  <c:v>4602.7855589665023</c:v>
                </c:pt>
                <c:pt idx="16">
                  <c:v>4728.5341259404495</c:v>
                </c:pt>
                <c:pt idx="17">
                  <c:v>4080.1482191096211</c:v>
                </c:pt>
                <c:pt idx="18">
                  <c:v>5005.2719209810075</c:v>
                </c:pt>
                <c:pt idx="19">
                  <c:v>5133.6793706516592</c:v>
                </c:pt>
                <c:pt idx="20">
                  <c:v>5304.2544529489287</c:v>
                </c:pt>
                <c:pt idx="21">
                  <c:v>5495.2499683514761</c:v>
                </c:pt>
                <c:pt idx="22">
                  <c:v>5649.0960241042849</c:v>
                </c:pt>
                <c:pt idx="23">
                  <c:v>5847.6776474825419</c:v>
                </c:pt>
                <c:pt idx="24">
                  <c:v>6025.8441876201023</c:v>
                </c:pt>
                <c:pt idx="25">
                  <c:v>6215.6680826794336</c:v>
                </c:pt>
                <c:pt idx="26">
                  <c:v>6382.2842651868405</c:v>
                </c:pt>
                <c:pt idx="27">
                  <c:v>6319.8033393291089</c:v>
                </c:pt>
                <c:pt idx="28">
                  <c:v>5909.4208623582945</c:v>
                </c:pt>
                <c:pt idx="29">
                  <c:v>5643.6504322911187</c:v>
                </c:pt>
                <c:pt idx="30">
                  <c:v>5517.6248753912796</c:v>
                </c:pt>
                <c:pt idx="31">
                  <c:v>6555.9408694827061</c:v>
                </c:pt>
                <c:pt idx="32">
                  <c:v>6618.5449848083435</c:v>
                </c:pt>
                <c:pt idx="33">
                  <c:v>6701.360888520604</c:v>
                </c:pt>
              </c:numCache>
            </c:numRef>
          </c:val>
        </c:ser>
        <c:ser>
          <c:idx val="4"/>
          <c:order val="3"/>
          <c:tx>
            <c:strRef>
              <c:f>Apr!$AN$6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Apr!$AN$13:$AN$53</c:f>
              <c:numCache>
                <c:formatCode>General</c:formatCode>
                <c:ptCount val="41"/>
                <c:pt idx="34" formatCode="#,##0">
                  <c:v>7500</c:v>
                </c:pt>
                <c:pt idx="35" formatCode="#,##0">
                  <c:v>7677</c:v>
                </c:pt>
                <c:pt idx="36" formatCode="#,##0">
                  <c:v>7850</c:v>
                </c:pt>
                <c:pt idx="37" formatCode="#,##0">
                  <c:v>8028</c:v>
                </c:pt>
                <c:pt idx="38" formatCode="#,##0">
                  <c:v>8210</c:v>
                </c:pt>
                <c:pt idx="39" formatCode="#,##0">
                  <c:v>8395</c:v>
                </c:pt>
                <c:pt idx="40" formatCode="#,##0">
                  <c:v>8579</c:v>
                </c:pt>
              </c:numCache>
            </c:numRef>
          </c:val>
        </c:ser>
        <c:ser>
          <c:idx val="2"/>
          <c:order val="4"/>
          <c:tx>
            <c:strRef>
              <c:f>Apr!$AM$6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Apr!$AD$13:$AD$53</c:f>
              <c:numCache>
                <c:formatCode>General</c:formatCode>
                <c:ptCount val="4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Apr!$AM$13:$AM$53</c:f>
              <c:numCache>
                <c:formatCode>General</c:formatCode>
                <c:ptCount val="41"/>
                <c:pt idx="34" formatCode="#,##0">
                  <c:v>6795</c:v>
                </c:pt>
                <c:pt idx="35" formatCode="#,##0">
                  <c:v>6932</c:v>
                </c:pt>
                <c:pt idx="36" formatCode="#,##0">
                  <c:v>7073</c:v>
                </c:pt>
                <c:pt idx="37" formatCode="#,##0">
                  <c:v>7214</c:v>
                </c:pt>
                <c:pt idx="38" formatCode="#,##0">
                  <c:v>7351</c:v>
                </c:pt>
                <c:pt idx="39" formatCode="#,##0">
                  <c:v>7479</c:v>
                </c:pt>
                <c:pt idx="40" formatCode="#,##0">
                  <c:v>7604</c:v>
                </c:pt>
              </c:numCache>
            </c:numRef>
          </c:val>
        </c:ser>
        <c:marker val="1"/>
        <c:axId val="232000128"/>
        <c:axId val="232022400"/>
      </c:lineChart>
      <c:catAx>
        <c:axId val="2320001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022400"/>
        <c:crosses val="autoZero"/>
        <c:auto val="1"/>
        <c:lblAlgn val="ctr"/>
        <c:lblOffset val="100"/>
        <c:tickLblSkip val="2"/>
        <c:tickMarkSkip val="2"/>
      </c:catAx>
      <c:valAx>
        <c:axId val="232022400"/>
        <c:scaling>
          <c:orientation val="minMax"/>
          <c:min val="1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000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073201727646894"/>
          <c:y val="0.9240507247609"/>
          <c:w val="0.71409314293728543"/>
          <c:h val="6.0759510892672883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Firm Retail MW Before DLC &amp; Cuml EE - April</a:t>
            </a:r>
          </a:p>
        </c:rich>
      </c:tx>
      <c:layout/>
      <c:overlay val="1"/>
    </c:title>
    <c:plotArea>
      <c:layout>
        <c:manualLayout>
          <c:layoutTarget val="inner"/>
          <c:xMode val="edge"/>
          <c:yMode val="edge"/>
          <c:x val="9.8916120051183706E-2"/>
          <c:y val="9.4519555425942245E-2"/>
          <c:w val="0.86585480428366746"/>
          <c:h val="0.69083594180358165"/>
        </c:manualLayout>
      </c:layout>
      <c:lineChart>
        <c:grouping val="standard"/>
        <c:ser>
          <c:idx val="0"/>
          <c:order val="0"/>
          <c:tx>
            <c:strRef>
              <c:f>Apr!$AE$69</c:f>
              <c:strCache>
                <c:ptCount val="1"/>
                <c:pt idx="0">
                  <c:v>History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Apr!$AD$73:$AD$108</c:f>
              <c:numCache>
                <c:formatCode>General</c:formatCode>
                <c:ptCount val="36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Apr!$AE$73:$AE$108</c:f>
              <c:numCache>
                <c:formatCode>#,##0</c:formatCode>
                <c:ptCount val="36"/>
                <c:pt idx="0">
                  <c:v>2226</c:v>
                </c:pt>
                <c:pt idx="1">
                  <c:v>2462</c:v>
                </c:pt>
                <c:pt idx="2">
                  <c:v>2568</c:v>
                </c:pt>
                <c:pt idx="3">
                  <c:v>2646</c:v>
                </c:pt>
                <c:pt idx="4">
                  <c:v>3090</c:v>
                </c:pt>
                <c:pt idx="5">
                  <c:v>3589</c:v>
                </c:pt>
                <c:pt idx="6">
                  <c:v>3851.4783978607138</c:v>
                </c:pt>
                <c:pt idx="7">
                  <c:v>4553.0998256016737</c:v>
                </c:pt>
                <c:pt idx="8">
                  <c:v>3781.498622792381</c:v>
                </c:pt>
                <c:pt idx="9">
                  <c:v>4475.6097547505906</c:v>
                </c:pt>
                <c:pt idx="10">
                  <c:v>4687.452250303716</c:v>
                </c:pt>
                <c:pt idx="11">
                  <c:v>4862.0584679155045</c:v>
                </c:pt>
                <c:pt idx="12">
                  <c:v>4413.2365175219602</c:v>
                </c:pt>
                <c:pt idx="13">
                  <c:v>4835.7974178978857</c:v>
                </c:pt>
                <c:pt idx="14">
                  <c:v>5588.6102094905327</c:v>
                </c:pt>
                <c:pt idx="15">
                  <c:v>4912.25</c:v>
                </c:pt>
                <c:pt idx="16">
                  <c:v>5736.35</c:v>
                </c:pt>
                <c:pt idx="17">
                  <c:v>6193.4</c:v>
                </c:pt>
                <c:pt idx="18">
                  <c:v>6192.3</c:v>
                </c:pt>
                <c:pt idx="19">
                  <c:v>5843.1</c:v>
                </c:pt>
                <c:pt idx="20">
                  <c:v>5832.2</c:v>
                </c:pt>
                <c:pt idx="21">
                  <c:v>6749.5</c:v>
                </c:pt>
                <c:pt idx="22">
                  <c:v>6208</c:v>
                </c:pt>
                <c:pt idx="23">
                  <c:v>5879</c:v>
                </c:pt>
                <c:pt idx="24">
                  <c:v>5728</c:v>
                </c:pt>
                <c:pt idx="25">
                  <c:v>5352</c:v>
                </c:pt>
                <c:pt idx="26">
                  <c:v>7001</c:v>
                </c:pt>
                <c:pt idx="27">
                  <c:v>6233</c:v>
                </c:pt>
                <c:pt idx="28">
                  <c:v>6146</c:v>
                </c:pt>
              </c:numCache>
            </c:numRef>
          </c:val>
        </c:ser>
        <c:ser>
          <c:idx val="3"/>
          <c:order val="1"/>
          <c:tx>
            <c:v>Predicted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Apr!$AJ$73:$AJ$108</c:f>
              <c:numCache>
                <c:formatCode>#,##0</c:formatCode>
                <c:ptCount val="36"/>
                <c:pt idx="0">
                  <c:v>2048</c:v>
                </c:pt>
                <c:pt idx="1">
                  <c:v>2326</c:v>
                </c:pt>
                <c:pt idx="2">
                  <c:v>2653</c:v>
                </c:pt>
                <c:pt idx="3">
                  <c:v>3081</c:v>
                </c:pt>
                <c:pt idx="4">
                  <c:v>3189</c:v>
                </c:pt>
                <c:pt idx="5">
                  <c:v>3724</c:v>
                </c:pt>
                <c:pt idx="6">
                  <c:v>3915</c:v>
                </c:pt>
                <c:pt idx="7">
                  <c:v>4240</c:v>
                </c:pt>
                <c:pt idx="8">
                  <c:v>3905</c:v>
                </c:pt>
                <c:pt idx="9">
                  <c:v>4611</c:v>
                </c:pt>
                <c:pt idx="10">
                  <c:v>4702</c:v>
                </c:pt>
                <c:pt idx="11">
                  <c:v>4921</c:v>
                </c:pt>
                <c:pt idx="12">
                  <c:v>4191</c:v>
                </c:pt>
                <c:pt idx="13">
                  <c:v>4808</c:v>
                </c:pt>
                <c:pt idx="14">
                  <c:v>5187</c:v>
                </c:pt>
                <c:pt idx="15">
                  <c:v>4959</c:v>
                </c:pt>
                <c:pt idx="16">
                  <c:v>5698</c:v>
                </c:pt>
                <c:pt idx="17">
                  <c:v>5900</c:v>
                </c:pt>
                <c:pt idx="18">
                  <c:v>5928</c:v>
                </c:pt>
                <c:pt idx="19">
                  <c:v>5942</c:v>
                </c:pt>
                <c:pt idx="20">
                  <c:v>5963</c:v>
                </c:pt>
                <c:pt idx="21">
                  <c:v>6838</c:v>
                </c:pt>
                <c:pt idx="22">
                  <c:v>6113</c:v>
                </c:pt>
                <c:pt idx="23">
                  <c:v>5807</c:v>
                </c:pt>
                <c:pt idx="24">
                  <c:v>5885</c:v>
                </c:pt>
                <c:pt idx="25">
                  <c:v>5366</c:v>
                </c:pt>
                <c:pt idx="26">
                  <c:v>7149</c:v>
                </c:pt>
                <c:pt idx="27">
                  <c:v>6279</c:v>
                </c:pt>
                <c:pt idx="28">
                  <c:v>6308</c:v>
                </c:pt>
              </c:numCache>
            </c:numRef>
          </c:val>
        </c:ser>
        <c:ser>
          <c:idx val="1"/>
          <c:order val="2"/>
          <c:tx>
            <c:strRef>
              <c:f>Apr!$BD$72</c:f>
              <c:strCache>
                <c:ptCount val="1"/>
                <c:pt idx="0">
                  <c:v>Pred w/Norm</c:v>
                </c:pt>
              </c:strCache>
            </c:strRef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Apr!$AD$73:$AD$108</c:f>
              <c:numCache>
                <c:formatCode>General</c:formatCode>
                <c:ptCount val="36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Apr!$BD$73:$BD$101</c:f>
              <c:numCache>
                <c:formatCode>#,##0</c:formatCode>
                <c:ptCount val="29"/>
                <c:pt idx="0">
                  <c:v>2087</c:v>
                </c:pt>
                <c:pt idx="1">
                  <c:v>2316</c:v>
                </c:pt>
                <c:pt idx="2">
                  <c:v>2565</c:v>
                </c:pt>
                <c:pt idx="3">
                  <c:v>2797</c:v>
                </c:pt>
                <c:pt idx="4">
                  <c:v>3277</c:v>
                </c:pt>
                <c:pt idx="5">
                  <c:v>3529</c:v>
                </c:pt>
                <c:pt idx="6">
                  <c:v>3739</c:v>
                </c:pt>
                <c:pt idx="7">
                  <c:v>3887</c:v>
                </c:pt>
                <c:pt idx="8">
                  <c:v>4012</c:v>
                </c:pt>
                <c:pt idx="9">
                  <c:v>4386</c:v>
                </c:pt>
                <c:pt idx="10">
                  <c:v>4536</c:v>
                </c:pt>
                <c:pt idx="11">
                  <c:v>4676</c:v>
                </c:pt>
                <c:pt idx="12">
                  <c:v>4201</c:v>
                </c:pt>
                <c:pt idx="13">
                  <c:v>4945</c:v>
                </c:pt>
                <c:pt idx="14">
                  <c:v>5119</c:v>
                </c:pt>
                <c:pt idx="15">
                  <c:v>5321</c:v>
                </c:pt>
                <c:pt idx="16">
                  <c:v>5541</c:v>
                </c:pt>
                <c:pt idx="17">
                  <c:v>5714</c:v>
                </c:pt>
                <c:pt idx="18">
                  <c:v>5938</c:v>
                </c:pt>
                <c:pt idx="19">
                  <c:v>6147</c:v>
                </c:pt>
                <c:pt idx="20">
                  <c:v>6355</c:v>
                </c:pt>
                <c:pt idx="21">
                  <c:v>6545</c:v>
                </c:pt>
                <c:pt idx="22">
                  <c:v>6025</c:v>
                </c:pt>
                <c:pt idx="23">
                  <c:v>6042</c:v>
                </c:pt>
                <c:pt idx="24">
                  <c:v>5992</c:v>
                </c:pt>
                <c:pt idx="25">
                  <c:v>5571</c:v>
                </c:pt>
                <c:pt idx="26">
                  <c:v>6748</c:v>
                </c:pt>
                <c:pt idx="27">
                  <c:v>6210</c:v>
                </c:pt>
                <c:pt idx="28">
                  <c:v>6299</c:v>
                </c:pt>
              </c:numCache>
            </c:numRef>
          </c:val>
        </c:ser>
        <c:ser>
          <c:idx val="4"/>
          <c:order val="3"/>
          <c:tx>
            <c:strRef>
              <c:f>Apr!$AN$6</c:f>
              <c:strCache>
                <c:ptCount val="1"/>
                <c:pt idx="0">
                  <c:v>TYSP'13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Apr!$AN$73:$AN$108</c:f>
              <c:numCache>
                <c:formatCode>General</c:formatCode>
                <c:ptCount val="36"/>
                <c:pt idx="29" formatCode="#,##0">
                  <c:v>7500</c:v>
                </c:pt>
                <c:pt idx="30" formatCode="#,##0">
                  <c:v>7677</c:v>
                </c:pt>
                <c:pt idx="31" formatCode="#,##0">
                  <c:v>7850</c:v>
                </c:pt>
                <c:pt idx="32" formatCode="#,##0">
                  <c:v>8028</c:v>
                </c:pt>
                <c:pt idx="33" formatCode="#,##0">
                  <c:v>8210</c:v>
                </c:pt>
                <c:pt idx="34" formatCode="#,##0">
                  <c:v>8395</c:v>
                </c:pt>
                <c:pt idx="35" formatCode="#,##0">
                  <c:v>8579</c:v>
                </c:pt>
              </c:numCache>
            </c:numRef>
          </c:val>
        </c:ser>
        <c:ser>
          <c:idx val="2"/>
          <c:order val="4"/>
          <c:tx>
            <c:strRef>
              <c:f>Apr!$AM$6</c:f>
              <c:strCache>
                <c:ptCount val="1"/>
                <c:pt idx="0">
                  <c:v>Fall'13</c:v>
                </c:pt>
              </c:strCache>
            </c:strRef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Apr!$AD$73:$AD$108</c:f>
              <c:numCache>
                <c:formatCode>General</c:formatCode>
                <c:ptCount val="36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Apr!$AM$73:$AM$108</c:f>
              <c:numCache>
                <c:formatCode>General</c:formatCode>
                <c:ptCount val="36"/>
                <c:pt idx="29" formatCode="#,##0">
                  <c:v>6502</c:v>
                </c:pt>
                <c:pt idx="30" formatCode="#,##0">
                  <c:v>6779</c:v>
                </c:pt>
                <c:pt idx="31" formatCode="#,##0">
                  <c:v>7059</c:v>
                </c:pt>
                <c:pt idx="32" formatCode="#,##0">
                  <c:v>7340</c:v>
                </c:pt>
                <c:pt idx="33" formatCode="#,##0">
                  <c:v>7616</c:v>
                </c:pt>
                <c:pt idx="34" formatCode="#,##0">
                  <c:v>7761</c:v>
                </c:pt>
                <c:pt idx="35" formatCode="#,##0">
                  <c:v>7901</c:v>
                </c:pt>
              </c:numCache>
            </c:numRef>
          </c:val>
        </c:ser>
        <c:marker val="1"/>
        <c:axId val="232211584"/>
        <c:axId val="232213120"/>
      </c:lineChart>
      <c:catAx>
        <c:axId val="232211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213120"/>
        <c:crosses val="autoZero"/>
        <c:auto val="1"/>
        <c:lblAlgn val="ctr"/>
        <c:lblOffset val="100"/>
        <c:tickLblSkip val="2"/>
        <c:tickMarkSkip val="2"/>
      </c:catAx>
      <c:valAx>
        <c:axId val="232213120"/>
        <c:scaling>
          <c:orientation val="minMax"/>
          <c:min val="1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2115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479698869977078"/>
          <c:y val="0.92424446944131977"/>
          <c:w val="0.71409332516070201"/>
          <c:h val="6.0606131130160903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30</xdr:row>
      <xdr:rowOff>83003</xdr:rowOff>
    </xdr:from>
    <xdr:to>
      <xdr:col>59</xdr:col>
      <xdr:colOff>533400</xdr:colOff>
      <xdr:row>58</xdr:row>
      <xdr:rowOff>68035</xdr:rowOff>
    </xdr:to>
    <xdr:graphicFrame macro="">
      <xdr:nvGraphicFramePr>
        <xdr:cNvPr id="118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39460</xdr:colOff>
      <xdr:row>60</xdr:row>
      <xdr:rowOff>69396</xdr:rowOff>
    </xdr:from>
    <xdr:to>
      <xdr:col>59</xdr:col>
      <xdr:colOff>517071</xdr:colOff>
      <xdr:row>86</xdr:row>
      <xdr:rowOff>122464</xdr:rowOff>
    </xdr:to>
    <xdr:graphicFrame macro="">
      <xdr:nvGraphicFramePr>
        <xdr:cNvPr id="11894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76</xdr:row>
      <xdr:rowOff>0</xdr:rowOff>
    </xdr:from>
    <xdr:to>
      <xdr:col>18</xdr:col>
      <xdr:colOff>133350</xdr:colOff>
      <xdr:row>98</xdr:row>
      <xdr:rowOff>152400</xdr:rowOff>
    </xdr:to>
    <xdr:graphicFrame macro="">
      <xdr:nvGraphicFramePr>
        <xdr:cNvPr id="1189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0.58723</cdr:x>
      <cdr:y>0.11149</cdr:y>
    </cdr:from>
    <cdr:to>
      <cdr:x>0.59317</cdr:x>
      <cdr:y>0.77703</cdr:y>
    </cdr:to>
    <cdr:sp macro="" textlink="">
      <cdr:nvSpPr>
        <cdr:cNvPr id="3" name="Straight Connector 2"/>
        <cdr:cNvSpPr/>
      </cdr:nvSpPr>
      <cdr:spPr bwMode="auto">
        <a:xfrm xmlns:a="http://schemas.openxmlformats.org/drawingml/2006/main" rot="5400000" flipH="1">
          <a:off x="3291369" y="1647190"/>
          <a:ext cx="2501902" cy="45719"/>
        </a:xfrm>
        <a:prstGeom xmlns:a="http://schemas.openxmlformats.org/drawingml/2006/main" prst="line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57150</xdr:colOff>
      <xdr:row>19</xdr:row>
      <xdr:rowOff>38100</xdr:rowOff>
    </xdr:from>
    <xdr:to>
      <xdr:col>53</xdr:col>
      <xdr:colOff>504825</xdr:colOff>
      <xdr:row>44</xdr:row>
      <xdr:rowOff>63500</xdr:rowOff>
    </xdr:to>
    <xdr:graphicFrame macro="">
      <xdr:nvGraphicFramePr>
        <xdr:cNvPr id="350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63500</xdr:colOff>
      <xdr:row>45</xdr:row>
      <xdr:rowOff>0</xdr:rowOff>
    </xdr:from>
    <xdr:to>
      <xdr:col>53</xdr:col>
      <xdr:colOff>511175</xdr:colOff>
      <xdr:row>69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53975</xdr:colOff>
      <xdr:row>19</xdr:row>
      <xdr:rowOff>73025</xdr:rowOff>
    </xdr:from>
    <xdr:to>
      <xdr:col>52</xdr:col>
      <xdr:colOff>711200</xdr:colOff>
      <xdr:row>43</xdr:row>
      <xdr:rowOff>114300</xdr:rowOff>
    </xdr:to>
    <xdr:graphicFrame macro="">
      <xdr:nvGraphicFramePr>
        <xdr:cNvPr id="360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76200</xdr:colOff>
      <xdr:row>44</xdr:row>
      <xdr:rowOff>25400</xdr:rowOff>
    </xdr:from>
    <xdr:to>
      <xdr:col>52</xdr:col>
      <xdr:colOff>733425</xdr:colOff>
      <xdr:row>68</xdr:row>
      <xdr:rowOff>28575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47625</xdr:colOff>
      <xdr:row>18</xdr:row>
      <xdr:rowOff>95250</xdr:rowOff>
    </xdr:from>
    <xdr:to>
      <xdr:col>51</xdr:col>
      <xdr:colOff>571500</xdr:colOff>
      <xdr:row>44</xdr:row>
      <xdr:rowOff>25400</xdr:rowOff>
    </xdr:to>
    <xdr:graphicFrame macro="">
      <xdr:nvGraphicFramePr>
        <xdr:cNvPr id="37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45</xdr:row>
      <xdr:rowOff>0</xdr:rowOff>
    </xdr:from>
    <xdr:to>
      <xdr:col>51</xdr:col>
      <xdr:colOff>523875</xdr:colOff>
      <xdr:row>70</xdr:row>
      <xdr:rowOff>95250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111124</xdr:colOff>
      <xdr:row>18</xdr:row>
      <xdr:rowOff>73025</xdr:rowOff>
    </xdr:from>
    <xdr:to>
      <xdr:col>51</xdr:col>
      <xdr:colOff>546099</xdr:colOff>
      <xdr:row>39</xdr:row>
      <xdr:rowOff>142875</xdr:rowOff>
    </xdr:to>
    <xdr:graphicFrame macro="">
      <xdr:nvGraphicFramePr>
        <xdr:cNvPr id="38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50800</xdr:colOff>
      <xdr:row>86</xdr:row>
      <xdr:rowOff>25400</xdr:rowOff>
    </xdr:from>
    <xdr:to>
      <xdr:col>53</xdr:col>
      <xdr:colOff>254000</xdr:colOff>
      <xdr:row>110</xdr:row>
      <xdr:rowOff>50800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63500</xdr:colOff>
      <xdr:row>111</xdr:row>
      <xdr:rowOff>0</xdr:rowOff>
    </xdr:from>
    <xdr:to>
      <xdr:col>53</xdr:col>
      <xdr:colOff>266700</xdr:colOff>
      <xdr:row>135</xdr:row>
      <xdr:rowOff>25400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15</xdr:row>
      <xdr:rowOff>38100</xdr:rowOff>
    </xdr:from>
    <xdr:to>
      <xdr:col>7</xdr:col>
      <xdr:colOff>247650</xdr:colOff>
      <xdr:row>21</xdr:row>
      <xdr:rowOff>95250</xdr:rowOff>
    </xdr:to>
    <xdr:sp macro="" textlink="">
      <xdr:nvSpPr>
        <xdr:cNvPr id="40137" name="AutoShape 1"/>
        <xdr:cNvSpPr>
          <a:spLocks/>
        </xdr:cNvSpPr>
      </xdr:nvSpPr>
      <xdr:spPr bwMode="auto">
        <a:xfrm>
          <a:off x="4810125" y="2466975"/>
          <a:ext cx="161925" cy="1028700"/>
        </a:xfrm>
        <a:prstGeom prst="rightBrace">
          <a:avLst>
            <a:gd name="adj1" fmla="val 52941"/>
            <a:gd name="adj2" fmla="val 50926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19</xdr:col>
      <xdr:colOff>495300</xdr:colOff>
      <xdr:row>29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2</xdr:row>
      <xdr:rowOff>0</xdr:rowOff>
    </xdr:from>
    <xdr:to>
      <xdr:col>39</xdr:col>
      <xdr:colOff>495300</xdr:colOff>
      <xdr:row>29</xdr:row>
      <xdr:rowOff>28575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19</xdr:col>
      <xdr:colOff>495300</xdr:colOff>
      <xdr:row>57</xdr:row>
      <xdr:rowOff>28575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0</xdr:colOff>
      <xdr:row>30</xdr:row>
      <xdr:rowOff>0</xdr:rowOff>
    </xdr:from>
    <xdr:to>
      <xdr:col>39</xdr:col>
      <xdr:colOff>495300</xdr:colOff>
      <xdr:row>57</xdr:row>
      <xdr:rowOff>28575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11075</xdr:colOff>
      <xdr:row>58</xdr:row>
      <xdr:rowOff>33227</xdr:rowOff>
    </xdr:from>
    <xdr:to>
      <xdr:col>39</xdr:col>
      <xdr:colOff>512134</xdr:colOff>
      <xdr:row>84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58</xdr:row>
      <xdr:rowOff>0</xdr:rowOff>
    </xdr:from>
    <xdr:to>
      <xdr:col>19</xdr:col>
      <xdr:colOff>501059</xdr:colOff>
      <xdr:row>84</xdr:row>
      <xdr:rowOff>81073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0.70503</cdr:x>
      <cdr:y>0.09749</cdr:y>
    </cdr:from>
    <cdr:to>
      <cdr:x>0.71097</cdr:x>
      <cdr:y>0.76641</cdr:y>
    </cdr:to>
    <cdr:sp macro="" textlink="">
      <cdr:nvSpPr>
        <cdr:cNvPr id="3" name="Straight Connector 2"/>
        <cdr:cNvSpPr/>
      </cdr:nvSpPr>
      <cdr:spPr bwMode="auto">
        <a:xfrm xmlns:a="http://schemas.openxmlformats.org/drawingml/2006/main" rot="5400000" flipH="1" flipV="1">
          <a:off x="4191596" y="1600931"/>
          <a:ext cx="2514604" cy="45715"/>
        </a:xfrm>
        <a:prstGeom xmlns:a="http://schemas.openxmlformats.org/drawingml/2006/main" prst="line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775607</xdr:colOff>
      <xdr:row>28</xdr:row>
      <xdr:rowOff>46264</xdr:rowOff>
    </xdr:from>
    <xdr:to>
      <xdr:col>51</xdr:col>
      <xdr:colOff>625928</xdr:colOff>
      <xdr:row>57</xdr:row>
      <xdr:rowOff>108855</xdr:rowOff>
    </xdr:to>
    <xdr:graphicFrame macro="">
      <xdr:nvGraphicFramePr>
        <xdr:cNvPr id="247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13606</xdr:colOff>
      <xdr:row>58</xdr:row>
      <xdr:rowOff>54430</xdr:rowOff>
    </xdr:from>
    <xdr:to>
      <xdr:col>51</xdr:col>
      <xdr:colOff>612320</xdr:colOff>
      <xdr:row>85</xdr:row>
      <xdr:rowOff>122466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39007</xdr:colOff>
      <xdr:row>78</xdr:row>
      <xdr:rowOff>111579</xdr:rowOff>
    </xdr:from>
    <xdr:to>
      <xdr:col>52</xdr:col>
      <xdr:colOff>496207</xdr:colOff>
      <xdr:row>107</xdr:row>
      <xdr:rowOff>5443</xdr:rowOff>
    </xdr:to>
    <xdr:graphicFrame macro="">
      <xdr:nvGraphicFramePr>
        <xdr:cNvPr id="259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40822</xdr:colOff>
      <xdr:row>107</xdr:row>
      <xdr:rowOff>40821</xdr:rowOff>
    </xdr:from>
    <xdr:to>
      <xdr:col>52</xdr:col>
      <xdr:colOff>498022</xdr:colOff>
      <xdr:row>135</xdr:row>
      <xdr:rowOff>97971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19050</xdr:colOff>
      <xdr:row>25</xdr:row>
      <xdr:rowOff>133350</xdr:rowOff>
    </xdr:from>
    <xdr:to>
      <xdr:col>52</xdr:col>
      <xdr:colOff>638175</xdr:colOff>
      <xdr:row>53</xdr:row>
      <xdr:rowOff>9525</xdr:rowOff>
    </xdr:to>
    <xdr:graphicFrame macro="">
      <xdr:nvGraphicFramePr>
        <xdr:cNvPr id="31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25400</xdr:colOff>
      <xdr:row>81</xdr:row>
      <xdr:rowOff>101600</xdr:rowOff>
    </xdr:from>
    <xdr:to>
      <xdr:col>53</xdr:col>
      <xdr:colOff>28575</xdr:colOff>
      <xdr:row>105</xdr:row>
      <xdr:rowOff>85725</xdr:rowOff>
    </xdr:to>
    <xdr:graphicFrame macro="">
      <xdr:nvGraphicFramePr>
        <xdr:cNvPr id="311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0</xdr:colOff>
      <xdr:row>106</xdr:row>
      <xdr:rowOff>0</xdr:rowOff>
    </xdr:from>
    <xdr:to>
      <xdr:col>53</xdr:col>
      <xdr:colOff>3175</xdr:colOff>
      <xdr:row>129</xdr:row>
      <xdr:rowOff>149225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19050</xdr:colOff>
      <xdr:row>19</xdr:row>
      <xdr:rowOff>28575</xdr:rowOff>
    </xdr:from>
    <xdr:to>
      <xdr:col>52</xdr:col>
      <xdr:colOff>495300</xdr:colOff>
      <xdr:row>43</xdr:row>
      <xdr:rowOff>76200</xdr:rowOff>
    </xdr:to>
    <xdr:graphicFrame macro="">
      <xdr:nvGraphicFramePr>
        <xdr:cNvPr id="319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38100</xdr:colOff>
      <xdr:row>44</xdr:row>
      <xdr:rowOff>38100</xdr:rowOff>
    </xdr:from>
    <xdr:to>
      <xdr:col>52</xdr:col>
      <xdr:colOff>514350</xdr:colOff>
      <xdr:row>68</xdr:row>
      <xdr:rowOff>85725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38100</xdr:colOff>
      <xdr:row>19</xdr:row>
      <xdr:rowOff>6350</xdr:rowOff>
    </xdr:from>
    <xdr:to>
      <xdr:col>52</xdr:col>
      <xdr:colOff>571500</xdr:colOff>
      <xdr:row>43</xdr:row>
      <xdr:rowOff>88900</xdr:rowOff>
    </xdr:to>
    <xdr:graphicFrame macro="">
      <xdr:nvGraphicFramePr>
        <xdr:cNvPr id="329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38100</xdr:colOff>
      <xdr:row>44</xdr:row>
      <xdr:rowOff>38100</xdr:rowOff>
    </xdr:from>
    <xdr:to>
      <xdr:col>52</xdr:col>
      <xdr:colOff>546100</xdr:colOff>
      <xdr:row>71</xdr:row>
      <xdr:rowOff>63500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95250</xdr:colOff>
      <xdr:row>19</xdr:row>
      <xdr:rowOff>63500</xdr:rowOff>
    </xdr:from>
    <xdr:to>
      <xdr:col>52</xdr:col>
      <xdr:colOff>571500</xdr:colOff>
      <xdr:row>42</xdr:row>
      <xdr:rowOff>25400</xdr:rowOff>
    </xdr:to>
    <xdr:graphicFrame macro="">
      <xdr:nvGraphicFramePr>
        <xdr:cNvPr id="339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88900</xdr:colOff>
      <xdr:row>42</xdr:row>
      <xdr:rowOff>50800</xdr:rowOff>
    </xdr:from>
    <xdr:to>
      <xdr:col>52</xdr:col>
      <xdr:colOff>565150</xdr:colOff>
      <xdr:row>67</xdr:row>
      <xdr:rowOff>76200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19050</xdr:colOff>
      <xdr:row>19</xdr:row>
      <xdr:rowOff>148167</xdr:rowOff>
    </xdr:from>
    <xdr:to>
      <xdr:col>57</xdr:col>
      <xdr:colOff>600075</xdr:colOff>
      <xdr:row>46</xdr:row>
      <xdr:rowOff>114300</xdr:rowOff>
    </xdr:to>
    <xdr:graphicFrame macro="">
      <xdr:nvGraphicFramePr>
        <xdr:cNvPr id="128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66</xdr:row>
      <xdr:rowOff>104775</xdr:rowOff>
    </xdr:from>
    <xdr:to>
      <xdr:col>16</xdr:col>
      <xdr:colOff>581025</xdr:colOff>
      <xdr:row>89</xdr:row>
      <xdr:rowOff>66675</xdr:rowOff>
    </xdr:to>
    <xdr:graphicFrame macro="">
      <xdr:nvGraphicFramePr>
        <xdr:cNvPr id="128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38100</xdr:colOff>
      <xdr:row>47</xdr:row>
      <xdr:rowOff>12700</xdr:rowOff>
    </xdr:from>
    <xdr:to>
      <xdr:col>57</xdr:col>
      <xdr:colOff>619125</xdr:colOff>
      <xdr:row>75</xdr:row>
      <xdr:rowOff>60325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corpplng/fc/for9906/demand/sys_m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corpplng/lynch/FOR200607/Demand/WPARK%20Data%20bas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301/MW_201209_GFF_Re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09/trueup_v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FC/DLC/DLC2008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FC/DLC/DLC2009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FC/DLC/DLC2010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FC/DLC/DLC201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FC/DLC/DLC201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308/Demand/DLC2013_08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Demand/iscsdata/ISCSSS_2008_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MREPORTS/2013/13_EDB_Adjmt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Demand/iscsdata/ISCSSS_2009_Fina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Demand/iscsdata/ISCSSS_2010_Final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Demand/iscsdata/ISCSSS_2011_Final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Demand/iscsdata/ISCSSS_2012_Final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Demand/iscsdata/ISCSSS_2013080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Phos_mwh_mw_201308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209/Demand/Minimum%20Load%20Study_2012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301/MW_201209_TYSP1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DSM-PEV-PV/DSM-NonDisp%20MW-2013071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DSM-PEV-PV/DSM-Dispatchable%20MW%20Savings-201307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corpplng/lynch/demand/dem_mopk_Kee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WP_201308_D_E_BR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SF_201309_Itron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corpplng/fc/prosym/psym_m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0905/Demand/Retail%20Custs%20wo%20SH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308/Demand/mpktmp-TP_OR_T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FOR201308/Demand/MwHist_20130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Lynch/wholesale/Mainframe%20Files/MoCoinM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FSR/Shared%20Documents/140110-Citrus%20CC%20(Big%20GBRA)/Discovery%20-%20Data%20Requests/Lynch%20Discovery%20Documents/Fall13F/CF_20130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corpplng/lynch/FOR200607/Demand/TIMESHAR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Winter"/>
      <sheetName val="Summer"/>
      <sheetName val="Interruptible Forecast"/>
      <sheetName val="Monthly Peaks"/>
      <sheetName val="Jun'99 vs Jun'98"/>
      <sheetName val="Jun'99 vs Jan'99"/>
      <sheetName val="Monthly Allocation"/>
      <sheetName val="By Load Area"/>
    </sheetNames>
    <sheetDataSet>
      <sheetData sheetId="0" refreshError="1"/>
      <sheetData sheetId="1" refreshError="1"/>
      <sheetData sheetId="2" refreshError="1">
        <row r="6">
          <cell r="S6" t="str">
            <v>T O T A L</v>
          </cell>
          <cell r="T6" t="str">
            <v>JAN</v>
          </cell>
          <cell r="U6" t="str">
            <v>FEB</v>
          </cell>
          <cell r="V6" t="str">
            <v>MAR</v>
          </cell>
          <cell r="W6" t="str">
            <v>APR</v>
          </cell>
          <cell r="X6" t="str">
            <v>MAY</v>
          </cell>
          <cell r="Y6" t="str">
            <v>JUN</v>
          </cell>
          <cell r="Z6" t="str">
            <v>JUL</v>
          </cell>
          <cell r="AA6" t="str">
            <v>AUG</v>
          </cell>
          <cell r="AB6" t="str">
            <v>SEP</v>
          </cell>
          <cell r="AC6" t="str">
            <v>OCT</v>
          </cell>
          <cell r="AD6" t="str">
            <v>NOV</v>
          </cell>
          <cell r="AE6" t="str">
            <v>DEC</v>
          </cell>
        </row>
        <row r="7">
          <cell r="S7">
            <v>1996</v>
          </cell>
          <cell r="T7">
            <v>263</v>
          </cell>
          <cell r="U7">
            <v>266</v>
          </cell>
          <cell r="V7">
            <v>268</v>
          </cell>
          <cell r="W7">
            <v>270</v>
          </cell>
          <cell r="X7">
            <v>272</v>
          </cell>
          <cell r="Y7">
            <v>275</v>
          </cell>
          <cell r="Z7">
            <v>277</v>
          </cell>
          <cell r="AA7">
            <v>279</v>
          </cell>
          <cell r="AB7">
            <v>281</v>
          </cell>
          <cell r="AC7">
            <v>283</v>
          </cell>
          <cell r="AD7">
            <v>286</v>
          </cell>
          <cell r="AE7">
            <v>288</v>
          </cell>
        </row>
        <row r="8">
          <cell r="S8">
            <v>1997</v>
          </cell>
          <cell r="T8">
            <v>290</v>
          </cell>
          <cell r="U8">
            <v>287</v>
          </cell>
          <cell r="V8">
            <v>284</v>
          </cell>
          <cell r="W8">
            <v>282</v>
          </cell>
          <cell r="X8">
            <v>279</v>
          </cell>
          <cell r="Y8">
            <v>276</v>
          </cell>
          <cell r="Z8">
            <v>273</v>
          </cell>
          <cell r="AA8">
            <v>270</v>
          </cell>
          <cell r="AB8">
            <v>267</v>
          </cell>
          <cell r="AC8">
            <v>265</v>
          </cell>
          <cell r="AD8">
            <v>262</v>
          </cell>
          <cell r="AE8">
            <v>259</v>
          </cell>
        </row>
        <row r="9">
          <cell r="S9">
            <v>1998</v>
          </cell>
          <cell r="T9">
            <v>318</v>
          </cell>
          <cell r="U9">
            <v>318</v>
          </cell>
          <cell r="V9">
            <v>318</v>
          </cell>
          <cell r="W9">
            <v>320</v>
          </cell>
          <cell r="X9">
            <v>327</v>
          </cell>
          <cell r="Y9">
            <v>327</v>
          </cell>
          <cell r="Z9">
            <v>327</v>
          </cell>
          <cell r="AA9">
            <v>327</v>
          </cell>
          <cell r="AB9">
            <v>328</v>
          </cell>
          <cell r="AC9">
            <v>328</v>
          </cell>
          <cell r="AD9">
            <v>338</v>
          </cell>
          <cell r="AE9">
            <v>338</v>
          </cell>
        </row>
        <row r="10">
          <cell r="S10">
            <v>1999</v>
          </cell>
          <cell r="T10">
            <v>312</v>
          </cell>
          <cell r="U10">
            <v>312</v>
          </cell>
          <cell r="V10">
            <v>313</v>
          </cell>
          <cell r="W10">
            <v>313</v>
          </cell>
          <cell r="X10">
            <v>313</v>
          </cell>
          <cell r="Y10">
            <v>313</v>
          </cell>
          <cell r="Z10">
            <v>313</v>
          </cell>
          <cell r="AA10">
            <v>313</v>
          </cell>
          <cell r="AB10">
            <v>314</v>
          </cell>
          <cell r="AC10">
            <v>314</v>
          </cell>
          <cell r="AD10">
            <v>314</v>
          </cell>
          <cell r="AE10">
            <v>314</v>
          </cell>
        </row>
        <row r="11">
          <cell r="S11">
            <v>2000</v>
          </cell>
          <cell r="T11">
            <v>302</v>
          </cell>
          <cell r="U11">
            <v>302</v>
          </cell>
          <cell r="V11">
            <v>303</v>
          </cell>
          <cell r="W11">
            <v>303</v>
          </cell>
          <cell r="X11">
            <v>303</v>
          </cell>
          <cell r="Y11">
            <v>303</v>
          </cell>
          <cell r="Z11">
            <v>303</v>
          </cell>
          <cell r="AA11">
            <v>303</v>
          </cell>
          <cell r="AB11">
            <v>304</v>
          </cell>
          <cell r="AC11">
            <v>304</v>
          </cell>
          <cell r="AD11">
            <v>304</v>
          </cell>
          <cell r="AE11">
            <v>304</v>
          </cell>
        </row>
        <row r="12">
          <cell r="S12">
            <v>2001</v>
          </cell>
          <cell r="T12">
            <v>290</v>
          </cell>
          <cell r="U12">
            <v>290</v>
          </cell>
          <cell r="V12">
            <v>291</v>
          </cell>
          <cell r="W12">
            <v>291</v>
          </cell>
          <cell r="X12">
            <v>291</v>
          </cell>
          <cell r="Y12">
            <v>291</v>
          </cell>
          <cell r="Z12">
            <v>291</v>
          </cell>
          <cell r="AA12">
            <v>291</v>
          </cell>
          <cell r="AB12">
            <v>292</v>
          </cell>
          <cell r="AC12">
            <v>292</v>
          </cell>
          <cell r="AD12">
            <v>292</v>
          </cell>
          <cell r="AE12">
            <v>292</v>
          </cell>
        </row>
        <row r="13">
          <cell r="S13">
            <v>2002</v>
          </cell>
          <cell r="T13">
            <v>287</v>
          </cell>
          <cell r="U13">
            <v>287</v>
          </cell>
          <cell r="V13">
            <v>288</v>
          </cell>
          <cell r="W13">
            <v>288</v>
          </cell>
          <cell r="X13">
            <v>288</v>
          </cell>
          <cell r="Y13">
            <v>288</v>
          </cell>
          <cell r="Z13">
            <v>288</v>
          </cell>
          <cell r="AA13">
            <v>288</v>
          </cell>
          <cell r="AB13">
            <v>289</v>
          </cell>
          <cell r="AC13">
            <v>289</v>
          </cell>
          <cell r="AD13">
            <v>289</v>
          </cell>
          <cell r="AE13">
            <v>289</v>
          </cell>
        </row>
        <row r="14">
          <cell r="S14">
            <v>2003</v>
          </cell>
          <cell r="T14">
            <v>289</v>
          </cell>
          <cell r="U14">
            <v>289</v>
          </cell>
          <cell r="V14">
            <v>290</v>
          </cell>
          <cell r="W14">
            <v>290</v>
          </cell>
          <cell r="X14">
            <v>290</v>
          </cell>
          <cell r="Y14">
            <v>290</v>
          </cell>
          <cell r="Z14">
            <v>290</v>
          </cell>
          <cell r="AA14">
            <v>290</v>
          </cell>
          <cell r="AB14">
            <v>291</v>
          </cell>
          <cell r="AC14">
            <v>291</v>
          </cell>
          <cell r="AD14">
            <v>291</v>
          </cell>
          <cell r="AE14">
            <v>291</v>
          </cell>
        </row>
        <row r="15">
          <cell r="S15">
            <v>2004</v>
          </cell>
          <cell r="T15">
            <v>286</v>
          </cell>
          <cell r="U15">
            <v>286</v>
          </cell>
          <cell r="V15">
            <v>287</v>
          </cell>
          <cell r="W15">
            <v>287</v>
          </cell>
          <cell r="X15">
            <v>287</v>
          </cell>
          <cell r="Y15">
            <v>287</v>
          </cell>
          <cell r="Z15">
            <v>287</v>
          </cell>
          <cell r="AA15">
            <v>287</v>
          </cell>
          <cell r="AB15">
            <v>288</v>
          </cell>
          <cell r="AC15">
            <v>288</v>
          </cell>
          <cell r="AD15">
            <v>288</v>
          </cell>
          <cell r="AE15">
            <v>288</v>
          </cell>
        </row>
        <row r="16">
          <cell r="S16">
            <v>2005</v>
          </cell>
          <cell r="T16">
            <v>288</v>
          </cell>
          <cell r="U16">
            <v>288</v>
          </cell>
          <cell r="V16">
            <v>289</v>
          </cell>
          <cell r="W16">
            <v>289</v>
          </cell>
          <cell r="X16">
            <v>289</v>
          </cell>
          <cell r="Y16">
            <v>289</v>
          </cell>
          <cell r="Z16">
            <v>289</v>
          </cell>
          <cell r="AA16">
            <v>289</v>
          </cell>
          <cell r="AB16">
            <v>290</v>
          </cell>
          <cell r="AC16">
            <v>290</v>
          </cell>
          <cell r="AD16">
            <v>290</v>
          </cell>
          <cell r="AE16">
            <v>290</v>
          </cell>
        </row>
        <row r="17">
          <cell r="S17">
            <v>2006</v>
          </cell>
          <cell r="T17">
            <v>290</v>
          </cell>
          <cell r="U17">
            <v>290</v>
          </cell>
          <cell r="V17">
            <v>291</v>
          </cell>
          <cell r="W17">
            <v>291</v>
          </cell>
          <cell r="X17">
            <v>291</v>
          </cell>
          <cell r="Y17">
            <v>291</v>
          </cell>
          <cell r="Z17">
            <v>291</v>
          </cell>
          <cell r="AA17">
            <v>291</v>
          </cell>
          <cell r="AB17">
            <v>292</v>
          </cell>
          <cell r="AC17">
            <v>292</v>
          </cell>
          <cell r="AD17">
            <v>292</v>
          </cell>
          <cell r="AE17">
            <v>292</v>
          </cell>
        </row>
        <row r="18">
          <cell r="S18">
            <v>2007</v>
          </cell>
          <cell r="T18">
            <v>292</v>
          </cell>
          <cell r="U18">
            <v>292</v>
          </cell>
          <cell r="V18">
            <v>293</v>
          </cell>
          <cell r="W18">
            <v>293</v>
          </cell>
          <cell r="X18">
            <v>293</v>
          </cell>
          <cell r="Y18">
            <v>293</v>
          </cell>
          <cell r="Z18">
            <v>293</v>
          </cell>
          <cell r="AA18">
            <v>293</v>
          </cell>
          <cell r="AB18">
            <v>294</v>
          </cell>
          <cell r="AC18">
            <v>294</v>
          </cell>
          <cell r="AD18">
            <v>294</v>
          </cell>
          <cell r="AE18">
            <v>294</v>
          </cell>
        </row>
        <row r="19">
          <cell r="S19">
            <v>2008</v>
          </cell>
          <cell r="T19">
            <v>294</v>
          </cell>
          <cell r="U19">
            <v>294</v>
          </cell>
          <cell r="V19">
            <v>295</v>
          </cell>
          <cell r="W19">
            <v>295</v>
          </cell>
          <cell r="X19">
            <v>295</v>
          </cell>
          <cell r="Y19">
            <v>295</v>
          </cell>
          <cell r="Z19">
            <v>295</v>
          </cell>
          <cell r="AA19">
            <v>295</v>
          </cell>
          <cell r="AB19">
            <v>296</v>
          </cell>
          <cell r="AC19">
            <v>296</v>
          </cell>
          <cell r="AD19">
            <v>296</v>
          </cell>
          <cell r="AE19">
            <v>296</v>
          </cell>
        </row>
        <row r="20">
          <cell r="S20">
            <v>2009</v>
          </cell>
          <cell r="T20">
            <v>296</v>
          </cell>
          <cell r="U20">
            <v>296</v>
          </cell>
          <cell r="V20">
            <v>297</v>
          </cell>
          <cell r="W20">
            <v>297</v>
          </cell>
          <cell r="X20">
            <v>297</v>
          </cell>
          <cell r="Y20">
            <v>297</v>
          </cell>
          <cell r="Z20">
            <v>297</v>
          </cell>
          <cell r="AA20">
            <v>297</v>
          </cell>
          <cell r="AB20">
            <v>298</v>
          </cell>
          <cell r="AC20">
            <v>298</v>
          </cell>
          <cell r="AD20">
            <v>298</v>
          </cell>
          <cell r="AE20">
            <v>298</v>
          </cell>
        </row>
        <row r="21">
          <cell r="S21">
            <v>2010</v>
          </cell>
          <cell r="T21">
            <v>298</v>
          </cell>
          <cell r="U21">
            <v>298</v>
          </cell>
          <cell r="V21">
            <v>299</v>
          </cell>
          <cell r="W21">
            <v>299</v>
          </cell>
          <cell r="X21">
            <v>299</v>
          </cell>
          <cell r="Y21">
            <v>299</v>
          </cell>
          <cell r="Z21">
            <v>299</v>
          </cell>
          <cell r="AA21">
            <v>299</v>
          </cell>
          <cell r="AB21">
            <v>300</v>
          </cell>
          <cell r="AC21">
            <v>300</v>
          </cell>
          <cell r="AD21">
            <v>300</v>
          </cell>
          <cell r="AE21">
            <v>300</v>
          </cell>
        </row>
        <row r="22">
          <cell r="S22">
            <v>2011</v>
          </cell>
          <cell r="T22">
            <v>300</v>
          </cell>
          <cell r="U22">
            <v>300</v>
          </cell>
          <cell r="V22">
            <v>301</v>
          </cell>
          <cell r="W22">
            <v>301</v>
          </cell>
          <cell r="X22">
            <v>301</v>
          </cell>
          <cell r="Y22">
            <v>301</v>
          </cell>
          <cell r="Z22">
            <v>301</v>
          </cell>
          <cell r="AA22">
            <v>301</v>
          </cell>
          <cell r="AB22">
            <v>302</v>
          </cell>
          <cell r="AC22">
            <v>302</v>
          </cell>
          <cell r="AD22">
            <v>302</v>
          </cell>
          <cell r="AE22">
            <v>302</v>
          </cell>
        </row>
        <row r="23">
          <cell r="S23">
            <v>2012</v>
          </cell>
          <cell r="T23">
            <v>302</v>
          </cell>
          <cell r="U23">
            <v>302</v>
          </cell>
          <cell r="V23">
            <v>303</v>
          </cell>
          <cell r="W23">
            <v>303</v>
          </cell>
          <cell r="X23">
            <v>303</v>
          </cell>
          <cell r="Y23">
            <v>303</v>
          </cell>
          <cell r="Z23">
            <v>303</v>
          </cell>
          <cell r="AA23">
            <v>303</v>
          </cell>
          <cell r="AB23">
            <v>304</v>
          </cell>
          <cell r="AC23">
            <v>304</v>
          </cell>
          <cell r="AD23">
            <v>304</v>
          </cell>
          <cell r="AE23">
            <v>304</v>
          </cell>
        </row>
        <row r="24">
          <cell r="S24">
            <v>2013</v>
          </cell>
          <cell r="T24">
            <v>304</v>
          </cell>
          <cell r="U24">
            <v>304</v>
          </cell>
          <cell r="V24">
            <v>305</v>
          </cell>
          <cell r="W24">
            <v>305</v>
          </cell>
          <cell r="X24">
            <v>305</v>
          </cell>
          <cell r="Y24">
            <v>305</v>
          </cell>
          <cell r="Z24">
            <v>305</v>
          </cell>
          <cell r="AA24">
            <v>305</v>
          </cell>
          <cell r="AB24">
            <v>306</v>
          </cell>
          <cell r="AC24">
            <v>306</v>
          </cell>
          <cell r="AD24">
            <v>306</v>
          </cell>
          <cell r="AE24">
            <v>306</v>
          </cell>
        </row>
        <row r="25">
          <cell r="S25">
            <v>2014</v>
          </cell>
          <cell r="T25">
            <v>306</v>
          </cell>
          <cell r="U25">
            <v>306</v>
          </cell>
          <cell r="V25">
            <v>307</v>
          </cell>
          <cell r="W25">
            <v>307</v>
          </cell>
          <cell r="X25">
            <v>307</v>
          </cell>
          <cell r="Y25">
            <v>307</v>
          </cell>
          <cell r="Z25">
            <v>307</v>
          </cell>
          <cell r="AA25">
            <v>307</v>
          </cell>
          <cell r="AB25">
            <v>308</v>
          </cell>
          <cell r="AC25">
            <v>308</v>
          </cell>
          <cell r="AD25">
            <v>308</v>
          </cell>
          <cell r="AE25">
            <v>308</v>
          </cell>
        </row>
        <row r="26">
          <cell r="S26">
            <v>2015</v>
          </cell>
          <cell r="T26">
            <v>308</v>
          </cell>
          <cell r="U26">
            <v>308</v>
          </cell>
          <cell r="V26">
            <v>309</v>
          </cell>
          <cell r="W26">
            <v>309</v>
          </cell>
          <cell r="X26">
            <v>309</v>
          </cell>
          <cell r="Y26">
            <v>309</v>
          </cell>
          <cell r="Z26">
            <v>309</v>
          </cell>
          <cell r="AA26">
            <v>309</v>
          </cell>
          <cell r="AB26">
            <v>310</v>
          </cell>
          <cell r="AC26">
            <v>310</v>
          </cell>
          <cell r="AD26">
            <v>310</v>
          </cell>
          <cell r="AE26">
            <v>310</v>
          </cell>
        </row>
        <row r="27">
          <cell r="S27">
            <v>2016</v>
          </cell>
          <cell r="T27">
            <v>310</v>
          </cell>
          <cell r="U27">
            <v>310</v>
          </cell>
          <cell r="V27">
            <v>311</v>
          </cell>
          <cell r="W27">
            <v>311</v>
          </cell>
          <cell r="X27">
            <v>311</v>
          </cell>
          <cell r="Y27">
            <v>311</v>
          </cell>
          <cell r="Z27">
            <v>311</v>
          </cell>
          <cell r="AA27">
            <v>311</v>
          </cell>
          <cell r="AB27">
            <v>312</v>
          </cell>
          <cell r="AC27">
            <v>312</v>
          </cell>
          <cell r="AD27">
            <v>312</v>
          </cell>
          <cell r="AE27">
            <v>312</v>
          </cell>
        </row>
        <row r="28">
          <cell r="S28">
            <v>2017</v>
          </cell>
          <cell r="T28">
            <v>312</v>
          </cell>
          <cell r="U28">
            <v>312</v>
          </cell>
          <cell r="V28">
            <v>313</v>
          </cell>
          <cell r="W28">
            <v>313</v>
          </cell>
          <cell r="X28">
            <v>313</v>
          </cell>
          <cell r="Y28">
            <v>313</v>
          </cell>
          <cell r="Z28">
            <v>313</v>
          </cell>
          <cell r="AA28">
            <v>313</v>
          </cell>
          <cell r="AB28">
            <v>314</v>
          </cell>
          <cell r="AC28">
            <v>314</v>
          </cell>
          <cell r="AD28">
            <v>314</v>
          </cell>
          <cell r="AE28">
            <v>314</v>
          </cell>
        </row>
        <row r="29">
          <cell r="S29">
            <v>2018</v>
          </cell>
          <cell r="T29">
            <v>314</v>
          </cell>
          <cell r="U29">
            <v>314</v>
          </cell>
          <cell r="V29">
            <v>315</v>
          </cell>
          <cell r="W29">
            <v>315</v>
          </cell>
          <cell r="X29">
            <v>315</v>
          </cell>
          <cell r="Y29">
            <v>315</v>
          </cell>
          <cell r="Z29">
            <v>315</v>
          </cell>
          <cell r="AA29">
            <v>315</v>
          </cell>
          <cell r="AB29">
            <v>316</v>
          </cell>
          <cell r="AC29">
            <v>316</v>
          </cell>
          <cell r="AD29">
            <v>316</v>
          </cell>
          <cell r="AE29">
            <v>316</v>
          </cell>
        </row>
        <row r="30">
          <cell r="S30">
            <v>2019</v>
          </cell>
          <cell r="T30">
            <v>316</v>
          </cell>
          <cell r="U30">
            <v>316</v>
          </cell>
          <cell r="V30">
            <v>317</v>
          </cell>
          <cell r="W30">
            <v>317</v>
          </cell>
          <cell r="X30">
            <v>317</v>
          </cell>
          <cell r="Y30">
            <v>317</v>
          </cell>
          <cell r="Z30">
            <v>317</v>
          </cell>
          <cell r="AA30">
            <v>317</v>
          </cell>
          <cell r="AB30">
            <v>318</v>
          </cell>
          <cell r="AC30">
            <v>318</v>
          </cell>
          <cell r="AD30">
            <v>318</v>
          </cell>
          <cell r="AE30">
            <v>318</v>
          </cell>
        </row>
        <row r="31">
          <cell r="S31">
            <v>2020</v>
          </cell>
          <cell r="T31">
            <v>318</v>
          </cell>
          <cell r="U31">
            <v>318</v>
          </cell>
          <cell r="V31">
            <v>319</v>
          </cell>
          <cell r="W31">
            <v>319</v>
          </cell>
          <cell r="X31">
            <v>319</v>
          </cell>
          <cell r="Y31">
            <v>319</v>
          </cell>
          <cell r="Z31">
            <v>319</v>
          </cell>
          <cell r="AA31">
            <v>319</v>
          </cell>
          <cell r="AB31">
            <v>320</v>
          </cell>
          <cell r="AC31">
            <v>320</v>
          </cell>
          <cell r="AD31">
            <v>320</v>
          </cell>
          <cell r="AE31">
            <v>320</v>
          </cell>
        </row>
        <row r="34">
          <cell r="S34" t="str">
            <v>I S</v>
          </cell>
          <cell r="T34" t="str">
            <v>JAN</v>
          </cell>
          <cell r="U34" t="str">
            <v>FEB</v>
          </cell>
          <cell r="V34" t="str">
            <v>MAR</v>
          </cell>
          <cell r="W34" t="str">
            <v>APR</v>
          </cell>
          <cell r="X34" t="str">
            <v>MAY</v>
          </cell>
          <cell r="Y34" t="str">
            <v>JUN</v>
          </cell>
          <cell r="Z34" t="str">
            <v>JUL</v>
          </cell>
          <cell r="AA34" t="str">
            <v>AUG</v>
          </cell>
          <cell r="AB34" t="str">
            <v>SEP</v>
          </cell>
          <cell r="AC34" t="str">
            <v>OCT</v>
          </cell>
          <cell r="AD34" t="str">
            <v>NOV</v>
          </cell>
          <cell r="AE34" t="str">
            <v>DEC</v>
          </cell>
        </row>
        <row r="35">
          <cell r="S35">
            <v>1998</v>
          </cell>
          <cell r="T35">
            <v>314.8</v>
          </cell>
          <cell r="U35">
            <v>314.9666666666667</v>
          </cell>
          <cell r="V35">
            <v>315.13333333333338</v>
          </cell>
          <cell r="W35">
            <v>315.30000000000007</v>
          </cell>
          <cell r="X35">
            <v>315.46666666666675</v>
          </cell>
          <cell r="Y35">
            <v>315.63333333333344</v>
          </cell>
          <cell r="Z35">
            <v>315.80000000000013</v>
          </cell>
          <cell r="AA35">
            <v>315.96666666666681</v>
          </cell>
          <cell r="AB35">
            <v>316.1333333333335</v>
          </cell>
          <cell r="AC35">
            <v>316.30000000000018</v>
          </cell>
          <cell r="AD35">
            <v>316.46666666666687</v>
          </cell>
          <cell r="AE35">
            <v>316.63333333333355</v>
          </cell>
        </row>
        <row r="36">
          <cell r="S36">
            <v>1999</v>
          </cell>
          <cell r="T36">
            <v>316.8</v>
          </cell>
          <cell r="U36">
            <v>316.9666666666667</v>
          </cell>
          <cell r="V36">
            <v>317.13333333333338</v>
          </cell>
          <cell r="W36">
            <v>317.30000000000007</v>
          </cell>
          <cell r="X36">
            <v>317.46666666666675</v>
          </cell>
          <cell r="Y36">
            <v>317.63333333333344</v>
          </cell>
          <cell r="Z36">
            <v>317.80000000000013</v>
          </cell>
          <cell r="AA36">
            <v>317.96666666666681</v>
          </cell>
          <cell r="AB36">
            <v>318.1333333333335</v>
          </cell>
          <cell r="AC36">
            <v>318.30000000000018</v>
          </cell>
          <cell r="AD36">
            <v>318.46666666666687</v>
          </cell>
          <cell r="AE36">
            <v>318.63333333333355</v>
          </cell>
        </row>
        <row r="37">
          <cell r="S37">
            <v>2000</v>
          </cell>
          <cell r="T37">
            <v>318.8</v>
          </cell>
          <cell r="U37">
            <v>318.9666666666667</v>
          </cell>
          <cell r="V37">
            <v>319.13333333333338</v>
          </cell>
          <cell r="W37">
            <v>319.30000000000007</v>
          </cell>
          <cell r="X37">
            <v>319.46666666666675</v>
          </cell>
          <cell r="Y37">
            <v>319.63333333333344</v>
          </cell>
          <cell r="Z37">
            <v>319.80000000000013</v>
          </cell>
          <cell r="AA37">
            <v>319.96666666666681</v>
          </cell>
          <cell r="AB37">
            <v>320.1333333333335</v>
          </cell>
          <cell r="AC37">
            <v>320.30000000000018</v>
          </cell>
          <cell r="AD37">
            <v>320.46666666666687</v>
          </cell>
          <cell r="AE37">
            <v>320.63333333333355</v>
          </cell>
        </row>
        <row r="38">
          <cell r="S38">
            <v>2001</v>
          </cell>
          <cell r="T38">
            <v>320.8</v>
          </cell>
          <cell r="U38">
            <v>320.9666666666667</v>
          </cell>
          <cell r="V38">
            <v>321.13333333333338</v>
          </cell>
          <cell r="W38">
            <v>321.30000000000007</v>
          </cell>
          <cell r="X38">
            <v>321.46666666666675</v>
          </cell>
          <cell r="Y38">
            <v>321.63333333333344</v>
          </cell>
          <cell r="Z38">
            <v>321.80000000000013</v>
          </cell>
          <cell r="AA38">
            <v>321.96666666666681</v>
          </cell>
          <cell r="AB38">
            <v>322.1333333333335</v>
          </cell>
          <cell r="AC38">
            <v>322.30000000000018</v>
          </cell>
          <cell r="AD38">
            <v>322.46666666666687</v>
          </cell>
          <cell r="AE38">
            <v>322.63333333333355</v>
          </cell>
        </row>
        <row r="39">
          <cell r="S39">
            <v>2002</v>
          </cell>
          <cell r="T39">
            <v>322.8</v>
          </cell>
          <cell r="U39">
            <v>322.9666666666667</v>
          </cell>
          <cell r="V39">
            <v>323.13333333333338</v>
          </cell>
          <cell r="W39">
            <v>323.30000000000007</v>
          </cell>
          <cell r="X39">
            <v>323.46666666666675</v>
          </cell>
          <cell r="Y39">
            <v>323.63333333333344</v>
          </cell>
          <cell r="Z39">
            <v>323.80000000000013</v>
          </cell>
          <cell r="AA39">
            <v>323.96666666666681</v>
          </cell>
          <cell r="AB39">
            <v>324.1333333333335</v>
          </cell>
          <cell r="AC39">
            <v>324.30000000000018</v>
          </cell>
          <cell r="AD39">
            <v>324.46666666666687</v>
          </cell>
          <cell r="AE39">
            <v>324.63333333333355</v>
          </cell>
        </row>
        <row r="40">
          <cell r="S40">
            <v>2003</v>
          </cell>
          <cell r="T40">
            <v>324.8</v>
          </cell>
          <cell r="U40">
            <v>324.9666666666667</v>
          </cell>
          <cell r="V40">
            <v>325.13333333333338</v>
          </cell>
          <cell r="W40">
            <v>325.30000000000007</v>
          </cell>
          <cell r="X40">
            <v>325.46666666666675</v>
          </cell>
          <cell r="Y40">
            <v>325.63333333333344</v>
          </cell>
          <cell r="Z40">
            <v>325.80000000000013</v>
          </cell>
          <cell r="AA40">
            <v>325.96666666666681</v>
          </cell>
          <cell r="AB40">
            <v>326.1333333333335</v>
          </cell>
          <cell r="AC40">
            <v>326.30000000000018</v>
          </cell>
          <cell r="AD40">
            <v>326.46666666666687</v>
          </cell>
          <cell r="AE40">
            <v>326.63333333333355</v>
          </cell>
        </row>
        <row r="41">
          <cell r="S41">
            <v>2004</v>
          </cell>
          <cell r="T41">
            <v>326.8</v>
          </cell>
          <cell r="U41">
            <v>326.9666666666667</v>
          </cell>
          <cell r="V41">
            <v>327.13333333333338</v>
          </cell>
          <cell r="W41">
            <v>327.30000000000007</v>
          </cell>
          <cell r="X41">
            <v>327.46666666666675</v>
          </cell>
          <cell r="Y41">
            <v>327.63333333333344</v>
          </cell>
          <cell r="Z41">
            <v>327.80000000000013</v>
          </cell>
          <cell r="AA41">
            <v>327.96666666666681</v>
          </cell>
          <cell r="AB41">
            <v>328.1333333333335</v>
          </cell>
          <cell r="AC41">
            <v>328.30000000000018</v>
          </cell>
          <cell r="AD41">
            <v>328.46666666666687</v>
          </cell>
          <cell r="AE41">
            <v>328.63333333333355</v>
          </cell>
        </row>
        <row r="42">
          <cell r="S42">
            <v>2005</v>
          </cell>
          <cell r="T42">
            <v>328.8</v>
          </cell>
          <cell r="U42">
            <v>328.9666666666667</v>
          </cell>
          <cell r="V42">
            <v>329.13333333333338</v>
          </cell>
          <cell r="W42">
            <v>329.30000000000007</v>
          </cell>
          <cell r="X42">
            <v>329.46666666666675</v>
          </cell>
          <cell r="Y42">
            <v>329.63333333333344</v>
          </cell>
          <cell r="Z42">
            <v>329.80000000000013</v>
          </cell>
          <cell r="AA42">
            <v>329.96666666666681</v>
          </cell>
          <cell r="AB42">
            <v>330.1333333333335</v>
          </cell>
          <cell r="AC42">
            <v>330.30000000000018</v>
          </cell>
          <cell r="AD42">
            <v>330.46666666666687</v>
          </cell>
          <cell r="AE42">
            <v>330.63333333333355</v>
          </cell>
        </row>
        <row r="43">
          <cell r="S43">
            <v>2006</v>
          </cell>
          <cell r="T43">
            <v>330.8</v>
          </cell>
          <cell r="U43">
            <v>330.9666666666667</v>
          </cell>
          <cell r="V43">
            <v>331.13333333333338</v>
          </cell>
          <cell r="W43">
            <v>331.30000000000007</v>
          </cell>
          <cell r="X43">
            <v>331.46666666666675</v>
          </cell>
          <cell r="Y43">
            <v>331.63333333333344</v>
          </cell>
          <cell r="Z43">
            <v>331.80000000000013</v>
          </cell>
          <cell r="AA43">
            <v>331.96666666666681</v>
          </cell>
          <cell r="AB43">
            <v>332.1333333333335</v>
          </cell>
          <cell r="AC43">
            <v>332.30000000000018</v>
          </cell>
          <cell r="AD43">
            <v>332.46666666666687</v>
          </cell>
          <cell r="AE43">
            <v>332.63333333333355</v>
          </cell>
        </row>
        <row r="44">
          <cell r="S44">
            <v>2007</v>
          </cell>
          <cell r="T44">
            <v>332.8</v>
          </cell>
          <cell r="U44">
            <v>332.9666666666667</v>
          </cell>
          <cell r="V44">
            <v>333.13333333333338</v>
          </cell>
          <cell r="W44">
            <v>333.30000000000007</v>
          </cell>
          <cell r="X44">
            <v>333.46666666666675</v>
          </cell>
          <cell r="Y44">
            <v>333.63333333333344</v>
          </cell>
          <cell r="Z44">
            <v>333.80000000000013</v>
          </cell>
          <cell r="AA44">
            <v>333.96666666666681</v>
          </cell>
          <cell r="AB44">
            <v>334.1333333333335</v>
          </cell>
          <cell r="AC44">
            <v>334.30000000000018</v>
          </cell>
          <cell r="AD44">
            <v>334.46666666666687</v>
          </cell>
          <cell r="AE44">
            <v>334.63333333333355</v>
          </cell>
        </row>
        <row r="45">
          <cell r="S45">
            <v>2008</v>
          </cell>
          <cell r="T45">
            <v>334.8</v>
          </cell>
          <cell r="U45">
            <v>334.9666666666667</v>
          </cell>
          <cell r="V45">
            <v>335.13333333333338</v>
          </cell>
          <cell r="W45">
            <v>335.30000000000007</v>
          </cell>
          <cell r="X45">
            <v>335.46666666666675</v>
          </cell>
          <cell r="Y45">
            <v>335.63333333333344</v>
          </cell>
          <cell r="Z45">
            <v>335.80000000000013</v>
          </cell>
          <cell r="AA45">
            <v>335.96666666666681</v>
          </cell>
          <cell r="AB45">
            <v>336.1333333333335</v>
          </cell>
          <cell r="AC45">
            <v>336.30000000000018</v>
          </cell>
          <cell r="AD45">
            <v>336.46666666666687</v>
          </cell>
          <cell r="AE45">
            <v>336.63333333333355</v>
          </cell>
        </row>
        <row r="46">
          <cell r="S46">
            <v>2009</v>
          </cell>
          <cell r="T46">
            <v>336.8</v>
          </cell>
          <cell r="U46">
            <v>336.9666666666667</v>
          </cell>
          <cell r="V46">
            <v>337.13333333333338</v>
          </cell>
          <cell r="W46">
            <v>337.30000000000007</v>
          </cell>
          <cell r="X46">
            <v>337.46666666666675</v>
          </cell>
          <cell r="Y46">
            <v>337.63333333333344</v>
          </cell>
          <cell r="Z46">
            <v>337.80000000000013</v>
          </cell>
          <cell r="AA46">
            <v>337.96666666666681</v>
          </cell>
          <cell r="AB46">
            <v>338.1333333333335</v>
          </cell>
          <cell r="AC46">
            <v>338.30000000000018</v>
          </cell>
          <cell r="AD46">
            <v>338.46666666666687</v>
          </cell>
          <cell r="AE46">
            <v>338.63333333333355</v>
          </cell>
        </row>
        <row r="47">
          <cell r="S47">
            <v>2010</v>
          </cell>
          <cell r="T47">
            <v>338.8</v>
          </cell>
          <cell r="U47">
            <v>338.9666666666667</v>
          </cell>
          <cell r="V47">
            <v>339.13333333333338</v>
          </cell>
          <cell r="W47">
            <v>339.30000000000007</v>
          </cell>
          <cell r="X47">
            <v>339.46666666666675</v>
          </cell>
          <cell r="Y47">
            <v>339.63333333333344</v>
          </cell>
          <cell r="Z47">
            <v>339.80000000000013</v>
          </cell>
          <cell r="AA47">
            <v>339.96666666666681</v>
          </cell>
          <cell r="AB47">
            <v>340.1333333333335</v>
          </cell>
          <cell r="AC47">
            <v>340.30000000000018</v>
          </cell>
          <cell r="AD47">
            <v>340.46666666666687</v>
          </cell>
          <cell r="AE47">
            <v>340.63333333333355</v>
          </cell>
        </row>
        <row r="48">
          <cell r="S48">
            <v>2011</v>
          </cell>
          <cell r="T48">
            <v>340.8</v>
          </cell>
          <cell r="U48">
            <v>340.9666666666667</v>
          </cell>
          <cell r="V48">
            <v>341.13333333333338</v>
          </cell>
          <cell r="W48">
            <v>341.30000000000007</v>
          </cell>
          <cell r="X48">
            <v>341.46666666666675</v>
          </cell>
          <cell r="Y48">
            <v>341.63333333333344</v>
          </cell>
          <cell r="Z48">
            <v>341.80000000000013</v>
          </cell>
          <cell r="AA48">
            <v>341.96666666666681</v>
          </cell>
          <cell r="AB48">
            <v>342.1333333333335</v>
          </cell>
          <cell r="AC48">
            <v>342.30000000000018</v>
          </cell>
          <cell r="AD48">
            <v>342.46666666666687</v>
          </cell>
          <cell r="AE48">
            <v>342.63333333333355</v>
          </cell>
        </row>
        <row r="49">
          <cell r="S49">
            <v>2012</v>
          </cell>
          <cell r="T49">
            <v>342.8</v>
          </cell>
          <cell r="U49">
            <v>342.9666666666667</v>
          </cell>
          <cell r="V49">
            <v>343.13333333333338</v>
          </cell>
          <cell r="W49">
            <v>343.30000000000007</v>
          </cell>
          <cell r="X49">
            <v>343.46666666666675</v>
          </cell>
          <cell r="Y49">
            <v>343.63333333333344</v>
          </cell>
          <cell r="Z49">
            <v>343.80000000000013</v>
          </cell>
          <cell r="AA49">
            <v>343.96666666666681</v>
          </cell>
          <cell r="AB49">
            <v>344.1333333333335</v>
          </cell>
          <cell r="AC49">
            <v>344.30000000000018</v>
          </cell>
          <cell r="AD49">
            <v>344.46666666666687</v>
          </cell>
          <cell r="AE49">
            <v>344.63333333333355</v>
          </cell>
        </row>
        <row r="50">
          <cell r="S50">
            <v>2013</v>
          </cell>
          <cell r="T50">
            <v>344.8</v>
          </cell>
          <cell r="U50">
            <v>344.9666666666667</v>
          </cell>
          <cell r="V50">
            <v>345.13333333333338</v>
          </cell>
          <cell r="W50">
            <v>345.30000000000007</v>
          </cell>
          <cell r="X50">
            <v>345.46666666666675</v>
          </cell>
          <cell r="Y50">
            <v>345.63333333333344</v>
          </cell>
          <cell r="Z50">
            <v>345.80000000000013</v>
          </cell>
          <cell r="AA50">
            <v>345.96666666666681</v>
          </cell>
          <cell r="AB50">
            <v>346.1333333333335</v>
          </cell>
          <cell r="AC50">
            <v>346.30000000000018</v>
          </cell>
          <cell r="AD50">
            <v>346.46666666666687</v>
          </cell>
          <cell r="AE50">
            <v>346.63333333333355</v>
          </cell>
        </row>
        <row r="51">
          <cell r="S51">
            <v>2014</v>
          </cell>
          <cell r="T51">
            <v>346.8</v>
          </cell>
          <cell r="U51">
            <v>346.9666666666667</v>
          </cell>
          <cell r="V51">
            <v>347.13333333333338</v>
          </cell>
          <cell r="W51">
            <v>347.30000000000007</v>
          </cell>
          <cell r="X51">
            <v>347.46666666666675</v>
          </cell>
          <cell r="Y51">
            <v>347.63333333333344</v>
          </cell>
          <cell r="Z51">
            <v>347.80000000000013</v>
          </cell>
          <cell r="AA51">
            <v>347.96666666666681</v>
          </cell>
          <cell r="AB51">
            <v>348.1333333333335</v>
          </cell>
          <cell r="AC51">
            <v>348.30000000000018</v>
          </cell>
          <cell r="AD51">
            <v>348.46666666666687</v>
          </cell>
          <cell r="AE51">
            <v>348.63333333333355</v>
          </cell>
        </row>
        <row r="52">
          <cell r="S52">
            <v>2015</v>
          </cell>
          <cell r="T52">
            <v>348.8</v>
          </cell>
          <cell r="U52">
            <v>348.9666666666667</v>
          </cell>
          <cell r="V52">
            <v>349.13333333333338</v>
          </cell>
          <cell r="W52">
            <v>349.30000000000007</v>
          </cell>
          <cell r="X52">
            <v>349.46666666666675</v>
          </cell>
          <cell r="Y52">
            <v>349.63333333333344</v>
          </cell>
          <cell r="Z52">
            <v>349.80000000000013</v>
          </cell>
          <cell r="AA52">
            <v>349.96666666666681</v>
          </cell>
          <cell r="AB52">
            <v>350.1333333333335</v>
          </cell>
          <cell r="AC52">
            <v>350.30000000000018</v>
          </cell>
          <cell r="AD52">
            <v>350.46666666666687</v>
          </cell>
          <cell r="AE52">
            <v>350.63333333333355</v>
          </cell>
        </row>
        <row r="53">
          <cell r="S53">
            <v>2016</v>
          </cell>
          <cell r="T53">
            <v>350.8</v>
          </cell>
          <cell r="U53">
            <v>350.9666666666667</v>
          </cell>
          <cell r="V53">
            <v>351.13333333333338</v>
          </cell>
          <cell r="W53">
            <v>351.30000000000007</v>
          </cell>
          <cell r="X53">
            <v>351.46666666666675</v>
          </cell>
          <cell r="Y53">
            <v>351.63333333333344</v>
          </cell>
          <cell r="Z53">
            <v>351.80000000000013</v>
          </cell>
          <cell r="AA53">
            <v>351.96666666666681</v>
          </cell>
          <cell r="AB53">
            <v>352.1333333333335</v>
          </cell>
          <cell r="AC53">
            <v>352.30000000000018</v>
          </cell>
          <cell r="AD53">
            <v>352.46666666666687</v>
          </cell>
          <cell r="AE53">
            <v>352.63333333333355</v>
          </cell>
        </row>
        <row r="56">
          <cell r="S56">
            <v>2019</v>
          </cell>
          <cell r="T56">
            <v>356.8</v>
          </cell>
          <cell r="U56">
            <v>356.9666666666667</v>
          </cell>
          <cell r="V56">
            <v>357.13333333333338</v>
          </cell>
          <cell r="W56">
            <v>357.30000000000007</v>
          </cell>
          <cell r="X56">
            <v>357.46666666666675</v>
          </cell>
          <cell r="Y56">
            <v>357.63333333333344</v>
          </cell>
          <cell r="Z56">
            <v>357.80000000000013</v>
          </cell>
          <cell r="AA56">
            <v>357.96666666666681</v>
          </cell>
          <cell r="AB56">
            <v>358.1333333333335</v>
          </cell>
          <cell r="AC56">
            <v>358.30000000000018</v>
          </cell>
          <cell r="AD56">
            <v>358.46666666666687</v>
          </cell>
          <cell r="AE56">
            <v>358.63333333333355</v>
          </cell>
        </row>
        <row r="57">
          <cell r="S57">
            <v>2020</v>
          </cell>
          <cell r="T57">
            <v>358.8</v>
          </cell>
          <cell r="U57">
            <v>358.9666666666667</v>
          </cell>
          <cell r="V57">
            <v>359.13333333333338</v>
          </cell>
          <cell r="W57">
            <v>359.30000000000007</v>
          </cell>
          <cell r="X57">
            <v>359.46666666666675</v>
          </cell>
          <cell r="Y57">
            <v>359.63333333333344</v>
          </cell>
          <cell r="Z57">
            <v>359.80000000000013</v>
          </cell>
          <cell r="AA57">
            <v>359.96666666666681</v>
          </cell>
          <cell r="AB57">
            <v>360.1333333333335</v>
          </cell>
          <cell r="AC57">
            <v>360.30000000000018</v>
          </cell>
          <cell r="AD57">
            <v>360.46666666666687</v>
          </cell>
          <cell r="AE57">
            <v>360.63333333333355</v>
          </cell>
        </row>
        <row r="58">
          <cell r="T58">
            <v>360.8</v>
          </cell>
        </row>
        <row r="60">
          <cell r="S60" t="str">
            <v>C S</v>
          </cell>
          <cell r="T60" t="str">
            <v>JAN</v>
          </cell>
          <cell r="U60" t="str">
            <v>FEB</v>
          </cell>
          <cell r="V60" t="str">
            <v>MAR</v>
          </cell>
          <cell r="W60" t="str">
            <v>APR</v>
          </cell>
          <cell r="X60" t="str">
            <v>MAY</v>
          </cell>
          <cell r="Y60" t="str">
            <v>JUN</v>
          </cell>
          <cell r="Z60" t="str">
            <v>JUL</v>
          </cell>
          <cell r="AA60" t="str">
            <v>AUG</v>
          </cell>
          <cell r="AB60" t="str">
            <v>SEP</v>
          </cell>
          <cell r="AC60" t="str">
            <v>OCT</v>
          </cell>
          <cell r="AD60" t="str">
            <v>NOV</v>
          </cell>
          <cell r="AE60" t="str">
            <v>DEC</v>
          </cell>
        </row>
        <row r="61">
          <cell r="S61">
            <v>1998</v>
          </cell>
          <cell r="T61">
            <v>2.8</v>
          </cell>
          <cell r="U61">
            <v>2.8</v>
          </cell>
          <cell r="V61">
            <v>3.3</v>
          </cell>
          <cell r="W61">
            <v>4.83</v>
          </cell>
          <cell r="X61">
            <v>11.5</v>
          </cell>
          <cell r="Y61">
            <v>11.5</v>
          </cell>
          <cell r="Z61">
            <v>11.5</v>
          </cell>
          <cell r="AA61">
            <v>11.5</v>
          </cell>
          <cell r="AB61">
            <v>11.5</v>
          </cell>
          <cell r="AC61">
            <v>11.5</v>
          </cell>
          <cell r="AD61">
            <v>11.5</v>
          </cell>
          <cell r="AE61">
            <v>11.5</v>
          </cell>
        </row>
        <row r="62">
          <cell r="S62">
            <v>1999</v>
          </cell>
          <cell r="T62">
            <v>11.5</v>
          </cell>
          <cell r="U62">
            <v>11.5</v>
          </cell>
          <cell r="V62">
            <v>11.5</v>
          </cell>
          <cell r="W62">
            <v>11.5</v>
          </cell>
          <cell r="X62">
            <v>11.5</v>
          </cell>
          <cell r="Y62">
            <v>11.5</v>
          </cell>
          <cell r="Z62">
            <v>11.5</v>
          </cell>
          <cell r="AA62">
            <v>11.5</v>
          </cell>
          <cell r="AB62">
            <v>11.5</v>
          </cell>
          <cell r="AC62">
            <v>11.5</v>
          </cell>
          <cell r="AD62">
            <v>11.5</v>
          </cell>
          <cell r="AE62">
            <v>11.5</v>
          </cell>
        </row>
        <row r="63">
          <cell r="S63">
            <v>2000</v>
          </cell>
          <cell r="T63">
            <v>11.5</v>
          </cell>
          <cell r="U63">
            <v>11.5</v>
          </cell>
          <cell r="V63">
            <v>11.5</v>
          </cell>
          <cell r="W63">
            <v>11.5</v>
          </cell>
          <cell r="X63">
            <v>11.5</v>
          </cell>
          <cell r="Y63">
            <v>11.5</v>
          </cell>
          <cell r="Z63">
            <v>11.5</v>
          </cell>
          <cell r="AA63">
            <v>11.5</v>
          </cell>
          <cell r="AB63">
            <v>11.5</v>
          </cell>
          <cell r="AC63">
            <v>11.5</v>
          </cell>
          <cell r="AD63">
            <v>11.5</v>
          </cell>
          <cell r="AE63">
            <v>11.5</v>
          </cell>
        </row>
        <row r="64">
          <cell r="S64">
            <v>2001</v>
          </cell>
          <cell r="T64">
            <v>11.5</v>
          </cell>
          <cell r="U64">
            <v>11.5</v>
          </cell>
          <cell r="V64">
            <v>11.5</v>
          </cell>
          <cell r="W64">
            <v>11.5</v>
          </cell>
          <cell r="X64">
            <v>11.5</v>
          </cell>
          <cell r="Y64">
            <v>11.5</v>
          </cell>
          <cell r="Z64">
            <v>11.5</v>
          </cell>
          <cell r="AA64">
            <v>11.5</v>
          </cell>
          <cell r="AB64">
            <v>11.5</v>
          </cell>
          <cell r="AC64">
            <v>11.5</v>
          </cell>
          <cell r="AD64">
            <v>11.5</v>
          </cell>
          <cell r="AE64">
            <v>11.5</v>
          </cell>
        </row>
        <row r="65">
          <cell r="S65">
            <v>2002</v>
          </cell>
          <cell r="T65">
            <v>11.5</v>
          </cell>
          <cell r="U65">
            <v>11.5</v>
          </cell>
          <cell r="V65">
            <v>11.5</v>
          </cell>
          <cell r="W65">
            <v>11.5</v>
          </cell>
          <cell r="X65">
            <v>11.5</v>
          </cell>
          <cell r="Y65">
            <v>11.5</v>
          </cell>
          <cell r="Z65">
            <v>11.5</v>
          </cell>
          <cell r="AA65">
            <v>11.5</v>
          </cell>
          <cell r="AB65">
            <v>11.5</v>
          </cell>
          <cell r="AC65">
            <v>11.5</v>
          </cell>
          <cell r="AD65">
            <v>11.5</v>
          </cell>
          <cell r="AE65">
            <v>11.5</v>
          </cell>
        </row>
        <row r="66">
          <cell r="S66">
            <v>2003</v>
          </cell>
          <cell r="T66">
            <v>11.5</v>
          </cell>
          <cell r="U66">
            <v>11.5</v>
          </cell>
          <cell r="V66">
            <v>11.5</v>
          </cell>
          <cell r="W66">
            <v>11.5</v>
          </cell>
          <cell r="X66">
            <v>11.5</v>
          </cell>
          <cell r="Y66">
            <v>11.5</v>
          </cell>
          <cell r="Z66">
            <v>11.5</v>
          </cell>
          <cell r="AA66">
            <v>11.5</v>
          </cell>
          <cell r="AB66">
            <v>11.5</v>
          </cell>
          <cell r="AC66">
            <v>11.5</v>
          </cell>
          <cell r="AD66">
            <v>11.5</v>
          </cell>
          <cell r="AE66">
            <v>11.5</v>
          </cell>
        </row>
        <row r="67">
          <cell r="S67">
            <v>2004</v>
          </cell>
          <cell r="T67">
            <v>11.5</v>
          </cell>
          <cell r="U67">
            <v>11.5</v>
          </cell>
          <cell r="V67">
            <v>11.5</v>
          </cell>
          <cell r="W67">
            <v>11.5</v>
          </cell>
          <cell r="X67">
            <v>11.5</v>
          </cell>
          <cell r="Y67">
            <v>11.5</v>
          </cell>
          <cell r="Z67">
            <v>11.5</v>
          </cell>
          <cell r="AA67">
            <v>11.5</v>
          </cell>
          <cell r="AB67">
            <v>11.5</v>
          </cell>
          <cell r="AC67">
            <v>11.5</v>
          </cell>
          <cell r="AD67">
            <v>11.5</v>
          </cell>
          <cell r="AE67">
            <v>11.5</v>
          </cell>
        </row>
        <row r="68">
          <cell r="S68">
            <v>2005</v>
          </cell>
          <cell r="T68">
            <v>11.5</v>
          </cell>
          <cell r="U68">
            <v>11.5</v>
          </cell>
          <cell r="V68">
            <v>11.5</v>
          </cell>
          <cell r="W68">
            <v>11.5</v>
          </cell>
          <cell r="X68">
            <v>11.5</v>
          </cell>
          <cell r="Y68">
            <v>11.5</v>
          </cell>
          <cell r="Z68">
            <v>11.5</v>
          </cell>
          <cell r="AA68">
            <v>11.5</v>
          </cell>
          <cell r="AB68">
            <v>11.5</v>
          </cell>
          <cell r="AC68">
            <v>11.5</v>
          </cell>
          <cell r="AD68">
            <v>11.5</v>
          </cell>
          <cell r="AE68">
            <v>11.5</v>
          </cell>
        </row>
        <row r="69">
          <cell r="S69">
            <v>2006</v>
          </cell>
          <cell r="T69">
            <v>11.5</v>
          </cell>
          <cell r="U69">
            <v>11.5</v>
          </cell>
          <cell r="V69">
            <v>11.5</v>
          </cell>
          <cell r="W69">
            <v>11.5</v>
          </cell>
          <cell r="X69">
            <v>11.5</v>
          </cell>
          <cell r="Y69">
            <v>11.5</v>
          </cell>
          <cell r="Z69">
            <v>11.5</v>
          </cell>
          <cell r="AA69">
            <v>11.5</v>
          </cell>
          <cell r="AB69">
            <v>11.5</v>
          </cell>
          <cell r="AC69">
            <v>11.5</v>
          </cell>
          <cell r="AD69">
            <v>11.5</v>
          </cell>
          <cell r="AE69">
            <v>11.5</v>
          </cell>
        </row>
        <row r="70">
          <cell r="S70">
            <v>2007</v>
          </cell>
          <cell r="T70">
            <v>11.5</v>
          </cell>
          <cell r="U70">
            <v>11.5</v>
          </cell>
          <cell r="V70">
            <v>11.5</v>
          </cell>
          <cell r="W70">
            <v>11.5</v>
          </cell>
          <cell r="X70">
            <v>11.5</v>
          </cell>
          <cell r="Y70">
            <v>11.5</v>
          </cell>
          <cell r="Z70">
            <v>11.5</v>
          </cell>
          <cell r="AA70">
            <v>11.5</v>
          </cell>
          <cell r="AB70">
            <v>11.5</v>
          </cell>
          <cell r="AC70">
            <v>11.5</v>
          </cell>
          <cell r="AD70">
            <v>11.5</v>
          </cell>
          <cell r="AE70">
            <v>11.5</v>
          </cell>
        </row>
        <row r="71">
          <cell r="S71">
            <v>2008</v>
          </cell>
          <cell r="T71">
            <v>11.5</v>
          </cell>
          <cell r="U71">
            <v>11.5</v>
          </cell>
          <cell r="V71">
            <v>11.5</v>
          </cell>
          <cell r="W71">
            <v>11.5</v>
          </cell>
          <cell r="X71">
            <v>11.5</v>
          </cell>
          <cell r="Y71">
            <v>11.5</v>
          </cell>
          <cell r="Z71">
            <v>11.5</v>
          </cell>
          <cell r="AA71">
            <v>11.5</v>
          </cell>
          <cell r="AB71">
            <v>11.5</v>
          </cell>
          <cell r="AC71">
            <v>11.5</v>
          </cell>
          <cell r="AD71">
            <v>11.5</v>
          </cell>
          <cell r="AE71">
            <v>11.5</v>
          </cell>
        </row>
        <row r="72">
          <cell r="S72">
            <v>2009</v>
          </cell>
          <cell r="T72">
            <v>11.5</v>
          </cell>
          <cell r="U72">
            <v>11.5</v>
          </cell>
          <cell r="V72">
            <v>11.5</v>
          </cell>
          <cell r="W72">
            <v>11.5</v>
          </cell>
          <cell r="X72">
            <v>11.5</v>
          </cell>
          <cell r="Y72">
            <v>11.5</v>
          </cell>
          <cell r="Z72">
            <v>11.5</v>
          </cell>
          <cell r="AA72">
            <v>11.5</v>
          </cell>
          <cell r="AB72">
            <v>11.5</v>
          </cell>
          <cell r="AC72">
            <v>11.5</v>
          </cell>
          <cell r="AD72">
            <v>11.5</v>
          </cell>
          <cell r="AE72">
            <v>11.5</v>
          </cell>
        </row>
        <row r="73">
          <cell r="S73">
            <v>2010</v>
          </cell>
          <cell r="T73">
            <v>11.5</v>
          </cell>
          <cell r="U73">
            <v>11.5</v>
          </cell>
          <cell r="V73">
            <v>11.5</v>
          </cell>
          <cell r="W73">
            <v>11.5</v>
          </cell>
          <cell r="X73">
            <v>11.5</v>
          </cell>
          <cell r="Y73">
            <v>11.5</v>
          </cell>
          <cell r="Z73">
            <v>11.5</v>
          </cell>
          <cell r="AA73">
            <v>11.5</v>
          </cell>
          <cell r="AB73">
            <v>11.5</v>
          </cell>
          <cell r="AC73">
            <v>11.5</v>
          </cell>
          <cell r="AD73">
            <v>11.5</v>
          </cell>
          <cell r="AE73">
            <v>11.5</v>
          </cell>
        </row>
        <row r="74">
          <cell r="S74">
            <v>2011</v>
          </cell>
          <cell r="T74">
            <v>11.5</v>
          </cell>
          <cell r="U74">
            <v>11.5</v>
          </cell>
          <cell r="V74">
            <v>11.5</v>
          </cell>
          <cell r="W74">
            <v>11.5</v>
          </cell>
          <cell r="X74">
            <v>11.5</v>
          </cell>
          <cell r="Y74">
            <v>11.5</v>
          </cell>
          <cell r="Z74">
            <v>11.5</v>
          </cell>
          <cell r="AA74">
            <v>11.5</v>
          </cell>
          <cell r="AB74">
            <v>11.5</v>
          </cell>
          <cell r="AC74">
            <v>11.5</v>
          </cell>
          <cell r="AD74">
            <v>11.5</v>
          </cell>
          <cell r="AE74">
            <v>11.5</v>
          </cell>
        </row>
        <row r="75">
          <cell r="S75">
            <v>2012</v>
          </cell>
          <cell r="T75">
            <v>11.5</v>
          </cell>
          <cell r="U75">
            <v>11.5</v>
          </cell>
          <cell r="V75">
            <v>11.5</v>
          </cell>
          <cell r="W75">
            <v>11.5</v>
          </cell>
          <cell r="X75">
            <v>11.5</v>
          </cell>
          <cell r="Y75">
            <v>11.5</v>
          </cell>
          <cell r="Z75">
            <v>11.5</v>
          </cell>
          <cell r="AA75">
            <v>11.5</v>
          </cell>
          <cell r="AB75">
            <v>11.5</v>
          </cell>
          <cell r="AC75">
            <v>11.5</v>
          </cell>
          <cell r="AD75">
            <v>11.5</v>
          </cell>
          <cell r="AE75">
            <v>11.5</v>
          </cell>
        </row>
        <row r="76">
          <cell r="S76">
            <v>2013</v>
          </cell>
          <cell r="T76">
            <v>11.5</v>
          </cell>
          <cell r="U76">
            <v>11.5</v>
          </cell>
          <cell r="V76">
            <v>11.5</v>
          </cell>
          <cell r="W76">
            <v>11.5</v>
          </cell>
          <cell r="X76">
            <v>11.5</v>
          </cell>
          <cell r="Y76">
            <v>11.5</v>
          </cell>
          <cell r="Z76">
            <v>11.5</v>
          </cell>
          <cell r="AA76">
            <v>11.5</v>
          </cell>
          <cell r="AB76">
            <v>11.5</v>
          </cell>
          <cell r="AC76">
            <v>11.5</v>
          </cell>
          <cell r="AD76">
            <v>11.5</v>
          </cell>
          <cell r="AE76">
            <v>11.5</v>
          </cell>
        </row>
        <row r="77">
          <cell r="S77">
            <v>2014</v>
          </cell>
          <cell r="T77">
            <v>11.5</v>
          </cell>
          <cell r="U77">
            <v>11.5</v>
          </cell>
          <cell r="V77">
            <v>11.5</v>
          </cell>
          <cell r="W77">
            <v>11.5</v>
          </cell>
          <cell r="X77">
            <v>11.5</v>
          </cell>
          <cell r="Y77">
            <v>11.5</v>
          </cell>
          <cell r="Z77">
            <v>11.5</v>
          </cell>
          <cell r="AA77">
            <v>11.5</v>
          </cell>
          <cell r="AB77">
            <v>11.5</v>
          </cell>
          <cell r="AC77">
            <v>11.5</v>
          </cell>
          <cell r="AD77">
            <v>11.5</v>
          </cell>
          <cell r="AE77">
            <v>11.5</v>
          </cell>
        </row>
        <row r="78">
          <cell r="S78">
            <v>2015</v>
          </cell>
          <cell r="T78">
            <v>11.5</v>
          </cell>
          <cell r="U78">
            <v>11.5</v>
          </cell>
          <cell r="V78">
            <v>11.5</v>
          </cell>
          <cell r="W78">
            <v>11.5</v>
          </cell>
          <cell r="X78">
            <v>11.5</v>
          </cell>
          <cell r="Y78">
            <v>11.5</v>
          </cell>
          <cell r="Z78">
            <v>11.5</v>
          </cell>
          <cell r="AA78">
            <v>11.5</v>
          </cell>
          <cell r="AB78">
            <v>11.5</v>
          </cell>
          <cell r="AC78">
            <v>11.5</v>
          </cell>
          <cell r="AD78">
            <v>11.5</v>
          </cell>
          <cell r="AE78">
            <v>11.5</v>
          </cell>
        </row>
        <row r="79">
          <cell r="S79">
            <v>2016</v>
          </cell>
          <cell r="T79">
            <v>11.5</v>
          </cell>
          <cell r="U79">
            <v>11.5</v>
          </cell>
          <cell r="V79">
            <v>11.5</v>
          </cell>
          <cell r="W79">
            <v>11.5</v>
          </cell>
          <cell r="X79">
            <v>11.5</v>
          </cell>
          <cell r="Y79">
            <v>11.5</v>
          </cell>
          <cell r="Z79">
            <v>11.5</v>
          </cell>
          <cell r="AA79">
            <v>11.5</v>
          </cell>
          <cell r="AB79">
            <v>11.5</v>
          </cell>
          <cell r="AC79">
            <v>11.5</v>
          </cell>
          <cell r="AD79">
            <v>11.5</v>
          </cell>
          <cell r="AE79">
            <v>11.5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WP2005"/>
      <sheetName val="WP2004"/>
      <sheetName val="WP2003"/>
      <sheetName val="WP2002"/>
      <sheetName val="WP2004byR"/>
    </sheetNames>
    <sheetDataSet>
      <sheetData sheetId="0" refreshError="1">
        <row r="15">
          <cell r="D15">
            <v>13825</v>
          </cell>
        </row>
        <row r="21">
          <cell r="D21">
            <v>14368</v>
          </cell>
        </row>
        <row r="33">
          <cell r="D33">
            <v>12250</v>
          </cell>
        </row>
      </sheetData>
      <sheetData sheetId="1" refreshError="1">
        <row r="27">
          <cell r="D27">
            <v>13366</v>
          </cell>
        </row>
        <row r="39">
          <cell r="D39">
            <v>13726</v>
          </cell>
        </row>
        <row r="45">
          <cell r="D45">
            <v>14347</v>
          </cell>
        </row>
        <row r="51">
          <cell r="D51">
            <v>13077</v>
          </cell>
        </row>
        <row r="57">
          <cell r="D57">
            <v>14621</v>
          </cell>
        </row>
        <row r="63">
          <cell r="D63">
            <v>14864</v>
          </cell>
        </row>
        <row r="69">
          <cell r="D69">
            <v>16059</v>
          </cell>
        </row>
        <row r="75">
          <cell r="D75">
            <v>14186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Winter"/>
      <sheetName val="Feb"/>
      <sheetName val="Mar"/>
      <sheetName val="Apr"/>
      <sheetName val="May"/>
      <sheetName val="Jun"/>
      <sheetName val="Jul"/>
      <sheetName val="Summer"/>
      <sheetName val="Sep"/>
      <sheetName val="Oct"/>
      <sheetName val="Nov"/>
      <sheetName val="Dec"/>
      <sheetName val="Interruptible Forecast"/>
      <sheetName val="Monthly Peaks"/>
      <sheetName val="SEP12 vs JAN12"/>
      <sheetName val="SEP12 vs TYSP12"/>
      <sheetName val="GFF vs HS DSM"/>
      <sheetName val="By Load Area"/>
      <sheetName val="Assumptions"/>
      <sheetName val="Charts"/>
      <sheetName val="SMC"/>
      <sheetName val="Freq Bias"/>
    </sheetNames>
    <sheetDataSet>
      <sheetData sheetId="0">
        <row r="43">
          <cell r="AL43">
            <v>1622567</v>
          </cell>
        </row>
        <row r="47">
          <cell r="AR47">
            <v>10060</v>
          </cell>
        </row>
        <row r="48">
          <cell r="AR48">
            <v>10248</v>
          </cell>
        </row>
        <row r="49">
          <cell r="AR49">
            <v>10441</v>
          </cell>
        </row>
        <row r="50">
          <cell r="AR50">
            <v>10633</v>
          </cell>
        </row>
        <row r="51">
          <cell r="AR51">
            <v>10832</v>
          </cell>
        </row>
        <row r="52">
          <cell r="AR52">
            <v>11034</v>
          </cell>
        </row>
        <row r="53">
          <cell r="AR53">
            <v>11235</v>
          </cell>
        </row>
        <row r="54">
          <cell r="AR54">
            <v>11435</v>
          </cell>
        </row>
        <row r="55">
          <cell r="AR55">
            <v>11631</v>
          </cell>
        </row>
        <row r="56">
          <cell r="AR56">
            <v>11825</v>
          </cell>
        </row>
        <row r="57">
          <cell r="AR57">
            <v>12016</v>
          </cell>
        </row>
        <row r="58">
          <cell r="AR58">
            <v>12205</v>
          </cell>
        </row>
        <row r="59">
          <cell r="AR59">
            <v>12392</v>
          </cell>
        </row>
        <row r="60">
          <cell r="AR60">
            <v>12578</v>
          </cell>
        </row>
        <row r="61">
          <cell r="AR61">
            <v>12763</v>
          </cell>
        </row>
        <row r="62">
          <cell r="AR62">
            <v>12946</v>
          </cell>
        </row>
        <row r="63">
          <cell r="AR63">
            <v>13128</v>
          </cell>
        </row>
      </sheetData>
      <sheetData sheetId="1">
        <row r="46">
          <cell r="AM46">
            <v>8482</v>
          </cell>
        </row>
        <row r="47">
          <cell r="AM47">
            <v>8611</v>
          </cell>
        </row>
        <row r="48">
          <cell r="AM48">
            <v>8772</v>
          </cell>
        </row>
        <row r="49">
          <cell r="AM49">
            <v>8934</v>
          </cell>
        </row>
        <row r="50">
          <cell r="AM50">
            <v>9096</v>
          </cell>
        </row>
        <row r="51">
          <cell r="AM51">
            <v>9265</v>
          </cell>
        </row>
        <row r="52">
          <cell r="AM52">
            <v>9435</v>
          </cell>
        </row>
        <row r="53">
          <cell r="AM53">
            <v>9605</v>
          </cell>
        </row>
        <row r="54">
          <cell r="AM54">
            <v>9773</v>
          </cell>
        </row>
        <row r="55">
          <cell r="AM55">
            <v>9938</v>
          </cell>
        </row>
        <row r="56">
          <cell r="AM56">
            <v>10101</v>
          </cell>
        </row>
        <row r="57">
          <cell r="AM57">
            <v>10262</v>
          </cell>
        </row>
        <row r="58">
          <cell r="AM58">
            <v>10422</v>
          </cell>
        </row>
        <row r="59">
          <cell r="AM59">
            <v>10580</v>
          </cell>
        </row>
        <row r="60">
          <cell r="AM60">
            <v>10737</v>
          </cell>
        </row>
        <row r="61">
          <cell r="AM61">
            <v>10893</v>
          </cell>
        </row>
        <row r="62">
          <cell r="AM62">
            <v>11047</v>
          </cell>
        </row>
        <row r="63">
          <cell r="AM63">
            <v>11200</v>
          </cell>
        </row>
      </sheetData>
      <sheetData sheetId="2">
        <row r="46">
          <cell r="AM46">
            <v>7002</v>
          </cell>
        </row>
        <row r="47">
          <cell r="AM47">
            <v>7110</v>
          </cell>
        </row>
        <row r="48">
          <cell r="AM48">
            <v>7244</v>
          </cell>
        </row>
        <row r="49">
          <cell r="AM49">
            <v>7377</v>
          </cell>
        </row>
        <row r="50">
          <cell r="AM50">
            <v>7511</v>
          </cell>
        </row>
        <row r="51">
          <cell r="AM51">
            <v>7650</v>
          </cell>
        </row>
        <row r="52">
          <cell r="AM52">
            <v>7790</v>
          </cell>
        </row>
        <row r="53">
          <cell r="AM53">
            <v>7930</v>
          </cell>
        </row>
        <row r="54">
          <cell r="AM54">
            <v>8068</v>
          </cell>
        </row>
        <row r="55">
          <cell r="AM55">
            <v>8204</v>
          </cell>
        </row>
        <row r="56">
          <cell r="AM56">
            <v>8338</v>
          </cell>
        </row>
        <row r="57">
          <cell r="AM57">
            <v>8470</v>
          </cell>
        </row>
        <row r="58">
          <cell r="AM58">
            <v>8602</v>
          </cell>
        </row>
        <row r="59">
          <cell r="AM59">
            <v>8732</v>
          </cell>
        </row>
        <row r="60">
          <cell r="AM60">
            <v>8861</v>
          </cell>
        </row>
        <row r="61">
          <cell r="AM61">
            <v>8989</v>
          </cell>
        </row>
        <row r="62">
          <cell r="AM62">
            <v>9116</v>
          </cell>
        </row>
        <row r="63">
          <cell r="AM63">
            <v>9242</v>
          </cell>
        </row>
      </sheetData>
      <sheetData sheetId="3">
        <row r="100">
          <cell r="AM100">
            <v>7247</v>
          </cell>
        </row>
        <row r="102">
          <cell r="AM102">
            <v>7500</v>
          </cell>
        </row>
        <row r="103">
          <cell r="AM103">
            <v>7677</v>
          </cell>
        </row>
        <row r="104">
          <cell r="AM104">
            <v>7850</v>
          </cell>
        </row>
        <row r="105">
          <cell r="AM105">
            <v>8028</v>
          </cell>
        </row>
        <row r="106">
          <cell r="AM106">
            <v>8210</v>
          </cell>
        </row>
        <row r="107">
          <cell r="AM107">
            <v>8395</v>
          </cell>
        </row>
        <row r="108">
          <cell r="AM108">
            <v>8579</v>
          </cell>
        </row>
        <row r="109">
          <cell r="AM109">
            <v>8760</v>
          </cell>
        </row>
        <row r="110">
          <cell r="AM110">
            <v>8939</v>
          </cell>
        </row>
        <row r="111">
          <cell r="AM111">
            <v>9115</v>
          </cell>
        </row>
        <row r="112">
          <cell r="AM112">
            <v>9288</v>
          </cell>
        </row>
        <row r="113">
          <cell r="AM113">
            <v>9461</v>
          </cell>
        </row>
        <row r="114">
          <cell r="AM114">
            <v>9632</v>
          </cell>
        </row>
        <row r="115">
          <cell r="AM115">
            <v>9801</v>
          </cell>
        </row>
        <row r="116">
          <cell r="AM116">
            <v>9970</v>
          </cell>
        </row>
        <row r="117">
          <cell r="AM117">
            <v>10137</v>
          </cell>
        </row>
        <row r="118">
          <cell r="AM118">
            <v>10302</v>
          </cell>
        </row>
      </sheetData>
      <sheetData sheetId="4">
        <row r="45">
          <cell r="AM45">
            <v>8223</v>
          </cell>
        </row>
        <row r="47">
          <cell r="AM47">
            <v>8499</v>
          </cell>
        </row>
        <row r="48">
          <cell r="AM48">
            <v>8687</v>
          </cell>
        </row>
        <row r="49">
          <cell r="AM49">
            <v>8869</v>
          </cell>
        </row>
        <row r="50">
          <cell r="AM50">
            <v>9057</v>
          </cell>
        </row>
        <row r="51">
          <cell r="AM51">
            <v>9250</v>
          </cell>
        </row>
        <row r="52">
          <cell r="AM52">
            <v>9444</v>
          </cell>
        </row>
        <row r="53">
          <cell r="AM53">
            <v>9638</v>
          </cell>
        </row>
        <row r="54">
          <cell r="AM54">
            <v>9829</v>
          </cell>
        </row>
        <row r="55">
          <cell r="AM55">
            <v>10017</v>
          </cell>
        </row>
        <row r="56">
          <cell r="AM56">
            <v>10202</v>
          </cell>
        </row>
        <row r="57">
          <cell r="AM57">
            <v>10385</v>
          </cell>
        </row>
        <row r="58">
          <cell r="AM58">
            <v>10567</v>
          </cell>
        </row>
        <row r="59">
          <cell r="AM59">
            <v>10747</v>
          </cell>
        </row>
        <row r="60">
          <cell r="AM60">
            <v>10926</v>
          </cell>
        </row>
        <row r="61">
          <cell r="AM61">
            <v>11103</v>
          </cell>
        </row>
        <row r="62">
          <cell r="AM62">
            <v>11279</v>
          </cell>
        </row>
        <row r="63">
          <cell r="AM63">
            <v>11453</v>
          </cell>
        </row>
      </sheetData>
      <sheetData sheetId="5">
        <row r="45">
          <cell r="AM45">
            <v>8686</v>
          </cell>
        </row>
        <row r="47">
          <cell r="AM47">
            <v>8966</v>
          </cell>
        </row>
        <row r="48">
          <cell r="AM48">
            <v>9161</v>
          </cell>
        </row>
        <row r="49">
          <cell r="AM49">
            <v>9349</v>
          </cell>
        </row>
        <row r="50">
          <cell r="AM50">
            <v>9544</v>
          </cell>
        </row>
        <row r="51">
          <cell r="AM51">
            <v>9743</v>
          </cell>
        </row>
        <row r="52">
          <cell r="AM52">
            <v>9944</v>
          </cell>
        </row>
        <row r="53">
          <cell r="AM53">
            <v>10143</v>
          </cell>
        </row>
        <row r="54">
          <cell r="AM54">
            <v>10340</v>
          </cell>
        </row>
        <row r="55">
          <cell r="AM55">
            <v>10534</v>
          </cell>
        </row>
        <row r="56">
          <cell r="AM56">
            <v>10725</v>
          </cell>
        </row>
        <row r="57">
          <cell r="AM57">
            <v>10914</v>
          </cell>
        </row>
        <row r="58">
          <cell r="AM58">
            <v>11101</v>
          </cell>
        </row>
        <row r="59">
          <cell r="AM59">
            <v>11287</v>
          </cell>
        </row>
        <row r="60">
          <cell r="AM60">
            <v>11471</v>
          </cell>
        </row>
        <row r="61">
          <cell r="AM61">
            <v>11654</v>
          </cell>
        </row>
        <row r="62">
          <cell r="AM62">
            <v>11836</v>
          </cell>
        </row>
        <row r="63">
          <cell r="AM63">
            <v>12015</v>
          </cell>
        </row>
      </sheetData>
      <sheetData sheetId="6">
        <row r="45">
          <cell r="AM45">
            <v>8862</v>
          </cell>
        </row>
        <row r="46">
          <cell r="AM46">
            <v>8983</v>
          </cell>
        </row>
        <row r="47">
          <cell r="AM47">
            <v>9154</v>
          </cell>
        </row>
        <row r="48">
          <cell r="AM48">
            <v>9350</v>
          </cell>
        </row>
        <row r="49">
          <cell r="AM49">
            <v>9538</v>
          </cell>
        </row>
        <row r="50">
          <cell r="AM50">
            <v>9734</v>
          </cell>
        </row>
        <row r="51">
          <cell r="AM51">
            <v>9934</v>
          </cell>
        </row>
        <row r="52">
          <cell r="AM52">
            <v>10135</v>
          </cell>
        </row>
        <row r="53">
          <cell r="AM53">
            <v>10336</v>
          </cell>
        </row>
        <row r="54">
          <cell r="AM54">
            <v>10533</v>
          </cell>
        </row>
        <row r="55">
          <cell r="AM55">
            <v>10727</v>
          </cell>
        </row>
        <row r="56">
          <cell r="AM56">
            <v>10919</v>
          </cell>
        </row>
        <row r="57">
          <cell r="AM57">
            <v>11108</v>
          </cell>
        </row>
        <row r="58">
          <cell r="AM58">
            <v>11296</v>
          </cell>
        </row>
        <row r="59">
          <cell r="AM59">
            <v>11482</v>
          </cell>
        </row>
        <row r="60">
          <cell r="AM60">
            <v>11667</v>
          </cell>
        </row>
        <row r="61">
          <cell r="AM61">
            <v>11851</v>
          </cell>
        </row>
        <row r="62">
          <cell r="AM62">
            <v>12033</v>
          </cell>
        </row>
        <row r="63">
          <cell r="AM63">
            <v>12213</v>
          </cell>
        </row>
      </sheetData>
      <sheetData sheetId="7">
        <row r="38">
          <cell r="V38">
            <v>33120</v>
          </cell>
        </row>
        <row r="46">
          <cell r="AR46">
            <v>9125</v>
          </cell>
        </row>
        <row r="47">
          <cell r="AR47">
            <v>9299</v>
          </cell>
        </row>
        <row r="48">
          <cell r="AR48">
            <v>9495</v>
          </cell>
        </row>
        <row r="49">
          <cell r="AR49">
            <v>9684</v>
          </cell>
        </row>
        <row r="50">
          <cell r="AR50">
            <v>9880</v>
          </cell>
        </row>
        <row r="51">
          <cell r="AR51">
            <v>10080</v>
          </cell>
        </row>
        <row r="52">
          <cell r="AR52">
            <v>10281</v>
          </cell>
        </row>
        <row r="53">
          <cell r="AR53">
            <v>10482</v>
          </cell>
        </row>
        <row r="54">
          <cell r="AR54">
            <v>10679</v>
          </cell>
        </row>
        <row r="55">
          <cell r="AR55">
            <v>10872</v>
          </cell>
        </row>
        <row r="56">
          <cell r="AR56">
            <v>11064</v>
          </cell>
        </row>
        <row r="57">
          <cell r="AR57">
            <v>11253</v>
          </cell>
        </row>
        <row r="58">
          <cell r="AR58">
            <v>11440</v>
          </cell>
        </row>
        <row r="59">
          <cell r="AR59">
            <v>11627</v>
          </cell>
        </row>
        <row r="60">
          <cell r="AR60">
            <v>11811</v>
          </cell>
        </row>
        <row r="61">
          <cell r="AR61">
            <v>11995</v>
          </cell>
        </row>
        <row r="62">
          <cell r="AR62">
            <v>12176</v>
          </cell>
        </row>
        <row r="63">
          <cell r="AR63">
            <v>12356</v>
          </cell>
        </row>
      </sheetData>
      <sheetData sheetId="8">
        <row r="45">
          <cell r="AM45">
            <v>8292</v>
          </cell>
        </row>
        <row r="46">
          <cell r="AM46">
            <v>8409</v>
          </cell>
        </row>
        <row r="47">
          <cell r="AM47">
            <v>8566</v>
          </cell>
        </row>
        <row r="48">
          <cell r="AM48">
            <v>8739</v>
          </cell>
        </row>
        <row r="49">
          <cell r="AM49">
            <v>8906</v>
          </cell>
        </row>
        <row r="50">
          <cell r="AM50">
            <v>9081</v>
          </cell>
        </row>
        <row r="51">
          <cell r="AM51">
            <v>9258</v>
          </cell>
        </row>
        <row r="52">
          <cell r="AM52">
            <v>9436</v>
          </cell>
        </row>
        <row r="53">
          <cell r="AM53">
            <v>9613</v>
          </cell>
        </row>
        <row r="54">
          <cell r="AM54">
            <v>9788</v>
          </cell>
        </row>
        <row r="55">
          <cell r="AM55">
            <v>9959</v>
          </cell>
        </row>
        <row r="56">
          <cell r="AM56">
            <v>10128</v>
          </cell>
        </row>
        <row r="57">
          <cell r="AM57">
            <v>10296</v>
          </cell>
        </row>
        <row r="58">
          <cell r="AM58">
            <v>10461</v>
          </cell>
        </row>
        <row r="59">
          <cell r="AM59">
            <v>10626</v>
          </cell>
        </row>
        <row r="60">
          <cell r="AM60">
            <v>10790</v>
          </cell>
        </row>
        <row r="61">
          <cell r="AM61">
            <v>10952</v>
          </cell>
        </row>
        <row r="62">
          <cell r="AM62">
            <v>11113</v>
          </cell>
        </row>
        <row r="63">
          <cell r="AM63">
            <v>11272</v>
          </cell>
        </row>
      </sheetData>
      <sheetData sheetId="9">
        <row r="45">
          <cell r="AM45">
            <v>7750</v>
          </cell>
        </row>
        <row r="46">
          <cell r="AM46">
            <v>7874</v>
          </cell>
        </row>
        <row r="47">
          <cell r="AM47">
            <v>8039</v>
          </cell>
        </row>
        <row r="48">
          <cell r="AM48">
            <v>8217</v>
          </cell>
        </row>
        <row r="49">
          <cell r="AM49">
            <v>8390</v>
          </cell>
        </row>
        <row r="50">
          <cell r="AM50">
            <v>8570</v>
          </cell>
        </row>
        <row r="51">
          <cell r="AM51">
            <v>8753</v>
          </cell>
        </row>
        <row r="52">
          <cell r="AM52">
            <v>8936</v>
          </cell>
        </row>
        <row r="53">
          <cell r="AM53">
            <v>9119</v>
          </cell>
        </row>
        <row r="54">
          <cell r="AM54">
            <v>9298</v>
          </cell>
        </row>
        <row r="55">
          <cell r="AM55">
            <v>9474</v>
          </cell>
        </row>
        <row r="56">
          <cell r="AM56">
            <v>9649</v>
          </cell>
        </row>
        <row r="57">
          <cell r="AM57">
            <v>9821</v>
          </cell>
        </row>
        <row r="58">
          <cell r="AM58">
            <v>9992</v>
          </cell>
        </row>
        <row r="59">
          <cell r="AM59">
            <v>10161</v>
          </cell>
        </row>
        <row r="60">
          <cell r="AM60">
            <v>10330</v>
          </cell>
        </row>
        <row r="61">
          <cell r="AM61">
            <v>10497</v>
          </cell>
        </row>
        <row r="62">
          <cell r="AM62">
            <v>10662</v>
          </cell>
        </row>
        <row r="63">
          <cell r="AM63">
            <v>10826</v>
          </cell>
        </row>
      </sheetData>
      <sheetData sheetId="10">
        <row r="35">
          <cell r="AM35">
            <v>6617</v>
          </cell>
        </row>
        <row r="36">
          <cell r="AM36">
            <v>6719</v>
          </cell>
        </row>
        <row r="37">
          <cell r="AM37">
            <v>6853</v>
          </cell>
        </row>
        <row r="38">
          <cell r="AM38">
            <v>6996</v>
          </cell>
        </row>
        <row r="39">
          <cell r="AM39">
            <v>7135</v>
          </cell>
        </row>
        <row r="40">
          <cell r="AM40">
            <v>7280</v>
          </cell>
        </row>
        <row r="41">
          <cell r="AM41">
            <v>7427</v>
          </cell>
        </row>
        <row r="42">
          <cell r="AM42">
            <v>7575</v>
          </cell>
        </row>
        <row r="43">
          <cell r="AM43">
            <v>7721</v>
          </cell>
        </row>
        <row r="44">
          <cell r="AM44">
            <v>7864</v>
          </cell>
        </row>
        <row r="45">
          <cell r="AM45">
            <v>8006</v>
          </cell>
        </row>
        <row r="46">
          <cell r="AM46">
            <v>8146</v>
          </cell>
        </row>
        <row r="47">
          <cell r="AM47">
            <v>8284</v>
          </cell>
        </row>
        <row r="48">
          <cell r="AM48">
            <v>8421</v>
          </cell>
        </row>
        <row r="49">
          <cell r="AM49">
            <v>8557</v>
          </cell>
        </row>
        <row r="50">
          <cell r="AM50">
            <v>8693</v>
          </cell>
        </row>
        <row r="51">
          <cell r="AM51">
            <v>8827</v>
          </cell>
        </row>
        <row r="52">
          <cell r="AM52">
            <v>8959</v>
          </cell>
        </row>
        <row r="53">
          <cell r="AM53">
            <v>9091</v>
          </cell>
        </row>
      </sheetData>
      <sheetData sheetId="11">
        <row r="43">
          <cell r="AN43">
            <v>7780</v>
          </cell>
        </row>
        <row r="44">
          <cell r="AN44">
            <v>7890</v>
          </cell>
        </row>
        <row r="45">
          <cell r="AN45">
            <v>8033</v>
          </cell>
        </row>
        <row r="46">
          <cell r="AN46">
            <v>8181</v>
          </cell>
        </row>
        <row r="47">
          <cell r="AN47">
            <v>8327</v>
          </cell>
        </row>
        <row r="48">
          <cell r="AN48">
            <v>8479</v>
          </cell>
        </row>
        <row r="49">
          <cell r="AN49">
            <v>8632</v>
          </cell>
        </row>
        <row r="50">
          <cell r="AN50">
            <v>8787</v>
          </cell>
        </row>
        <row r="51">
          <cell r="AN51">
            <v>8939</v>
          </cell>
        </row>
        <row r="52">
          <cell r="AN52">
            <v>9089</v>
          </cell>
        </row>
        <row r="53">
          <cell r="AN53">
            <v>9237</v>
          </cell>
        </row>
        <row r="54">
          <cell r="AN54">
            <v>9383</v>
          </cell>
        </row>
        <row r="55">
          <cell r="AN55">
            <v>9527</v>
          </cell>
        </row>
        <row r="56">
          <cell r="AN56">
            <v>9671</v>
          </cell>
        </row>
        <row r="57">
          <cell r="AN57">
            <v>9813</v>
          </cell>
        </row>
        <row r="58">
          <cell r="AN58">
            <v>9954</v>
          </cell>
        </row>
        <row r="59">
          <cell r="AN59">
            <v>10094</v>
          </cell>
        </row>
        <row r="60">
          <cell r="AN60">
            <v>10233</v>
          </cell>
        </row>
        <row r="61">
          <cell r="AN61">
            <v>10370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OTAL"/>
      <sheetName val="RC"/>
      <sheetName val="CC"/>
      <sheetName val="IC"/>
      <sheetName val="SHL"/>
      <sheetName val="SPA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Charts"/>
    </sheetNames>
    <sheetDataSet>
      <sheetData sheetId="0"/>
      <sheetData sheetId="1"/>
      <sheetData sheetId="2"/>
      <sheetData sheetId="3"/>
      <sheetData sheetId="4"/>
      <sheetData sheetId="5"/>
      <sheetData sheetId="6">
        <row r="106">
          <cell r="K106">
            <v>1275133</v>
          </cell>
        </row>
        <row r="107">
          <cell r="K107">
            <v>1273401</v>
          </cell>
        </row>
        <row r="108">
          <cell r="K108">
            <v>1245748</v>
          </cell>
        </row>
        <row r="109">
          <cell r="K109">
            <v>1251529</v>
          </cell>
        </row>
        <row r="110">
          <cell r="K110">
            <v>1253092</v>
          </cell>
        </row>
        <row r="111">
          <cell r="K111">
            <v>1260929</v>
          </cell>
        </row>
        <row r="112">
          <cell r="K112">
            <v>1259922</v>
          </cell>
        </row>
        <row r="113">
          <cell r="K113">
            <v>1265357</v>
          </cell>
        </row>
        <row r="114">
          <cell r="K114">
            <v>1279791</v>
          </cell>
        </row>
        <row r="115">
          <cell r="K115">
            <v>1287311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2008"/>
    </sheetNames>
    <sheetDataSet>
      <sheetData sheetId="0">
        <row r="6">
          <cell r="N6">
            <v>46.828181818181775</v>
          </cell>
          <cell r="P6">
            <v>5.5577727272727273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2009"/>
    </sheetNames>
    <sheetDataSet>
      <sheetData sheetId="0">
        <row r="7">
          <cell r="N7">
            <v>0</v>
          </cell>
          <cell r="P7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2010"/>
    </sheetNames>
    <sheetDataSet>
      <sheetData sheetId="0">
        <row r="6">
          <cell r="J6">
            <v>887.3</v>
          </cell>
          <cell r="N6">
            <v>208.42073669152953</v>
          </cell>
          <cell r="P6">
            <v>10.217635639113109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2011"/>
    </sheetNames>
    <sheetDataSet>
      <sheetData sheetId="0">
        <row r="6">
          <cell r="N6">
            <v>0</v>
          </cell>
        </row>
        <row r="17">
          <cell r="P17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2012"/>
    </sheetNames>
    <sheetDataSet>
      <sheetData sheetId="0">
        <row r="6">
          <cell r="J6">
            <v>0</v>
          </cell>
          <cell r="N6">
            <v>0</v>
          </cell>
          <cell r="P6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2013"/>
    </sheetNames>
    <sheetDataSet>
      <sheetData sheetId="0">
        <row r="6">
          <cell r="J6">
            <v>0</v>
          </cell>
          <cell r="N6">
            <v>0</v>
          </cell>
          <cell r="O6">
            <v>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Tot"/>
      <sheetName val="IS"/>
      <sheetName val="CS"/>
      <sheetName val="SS1"/>
      <sheetName val="SS2"/>
      <sheetName val="SS3"/>
    </sheetNames>
    <sheetDataSet>
      <sheetData sheetId="0"/>
      <sheetData sheetId="1">
        <row r="3">
          <cell r="AJ3">
            <v>218.732</v>
          </cell>
        </row>
        <row r="4">
          <cell r="AJ4">
            <v>272.28500000000003</v>
          </cell>
        </row>
        <row r="5">
          <cell r="AJ5">
            <v>240.28</v>
          </cell>
        </row>
        <row r="6">
          <cell r="AJ6">
            <v>286.79899999999998</v>
          </cell>
        </row>
        <row r="7">
          <cell r="AJ7">
            <v>259.33300000000003</v>
          </cell>
        </row>
        <row r="8">
          <cell r="AJ8">
            <v>307.21699999999998</v>
          </cell>
        </row>
        <row r="9">
          <cell r="AJ9">
            <v>298.065</v>
          </cell>
        </row>
        <row r="10">
          <cell r="AJ10">
            <v>307.21699999999998</v>
          </cell>
        </row>
        <row r="11">
          <cell r="AJ11">
            <v>313.29300000000001</v>
          </cell>
        </row>
        <row r="12">
          <cell r="AJ12">
            <v>243.70400000000001</v>
          </cell>
        </row>
        <row r="13">
          <cell r="AJ13">
            <v>202.41499999999999</v>
          </cell>
        </row>
        <row r="14">
          <cell r="AJ14">
            <v>228.57300000000001</v>
          </cell>
        </row>
      </sheetData>
      <sheetData sheetId="2">
        <row r="3">
          <cell r="AJ3">
            <v>14.695</v>
          </cell>
        </row>
        <row r="4">
          <cell r="AJ4">
            <v>16.053000000000001</v>
          </cell>
        </row>
        <row r="5">
          <cell r="AJ5">
            <v>22.3</v>
          </cell>
        </row>
        <row r="6">
          <cell r="AJ6">
            <v>22.356999999999999</v>
          </cell>
        </row>
        <row r="7">
          <cell r="AJ7">
            <v>24.148</v>
          </cell>
        </row>
        <row r="8">
          <cell r="AJ8">
            <v>25.864000000000001</v>
          </cell>
        </row>
        <row r="9">
          <cell r="AJ9">
            <v>25.268000000000001</v>
          </cell>
        </row>
        <row r="10">
          <cell r="AJ10">
            <v>22.885999999999999</v>
          </cell>
        </row>
        <row r="11">
          <cell r="AJ11">
            <v>22.395</v>
          </cell>
        </row>
        <row r="12">
          <cell r="AJ12">
            <v>22.844000000000001</v>
          </cell>
        </row>
        <row r="13">
          <cell r="AJ13">
            <v>18.725999999999999</v>
          </cell>
        </row>
        <row r="14">
          <cell r="AJ14">
            <v>18.765000000000001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sr"/>
      <sheetName val="Cus"/>
      <sheetName val="MWh"/>
      <sheetName val="Rev"/>
      <sheetName val="Summary"/>
    </sheetNames>
    <sheetDataSet>
      <sheetData sheetId="0">
        <row r="6">
          <cell r="D6">
            <v>742</v>
          </cell>
        </row>
        <row r="172">
          <cell r="K172">
            <v>0.25719999999999998</v>
          </cell>
        </row>
        <row r="173">
          <cell r="K173">
            <v>0.15040000000000001</v>
          </cell>
        </row>
        <row r="174">
          <cell r="K174">
            <v>0.13469999999999999</v>
          </cell>
        </row>
        <row r="175">
          <cell r="K175">
            <v>0.1915</v>
          </cell>
        </row>
        <row r="176">
          <cell r="K176">
            <v>0.41470000000000001</v>
          </cell>
        </row>
        <row r="177">
          <cell r="K177">
            <v>0.40029999999999999</v>
          </cell>
        </row>
        <row r="178">
          <cell r="K178">
            <v>0.55389999999999995</v>
          </cell>
        </row>
        <row r="179">
          <cell r="K179">
            <v>0.52049999999999996</v>
          </cell>
        </row>
        <row r="180">
          <cell r="K180">
            <v>0.57650000000000001</v>
          </cell>
        </row>
        <row r="181">
          <cell r="K181">
            <v>0.60929999999999995</v>
          </cell>
        </row>
        <row r="182">
          <cell r="K182">
            <v>0.46189999999999998</v>
          </cell>
        </row>
        <row r="183">
          <cell r="K183">
            <v>0.35599999999999998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Tot"/>
      <sheetName val="IS"/>
      <sheetName val="CS"/>
      <sheetName val="SS1"/>
      <sheetName val="SS2"/>
      <sheetName val="SS3"/>
    </sheetNames>
    <sheetDataSet>
      <sheetData sheetId="0"/>
      <sheetData sheetId="1">
        <row r="3">
          <cell r="AJ3">
            <v>217.79599999999999</v>
          </cell>
        </row>
        <row r="4">
          <cell r="AJ4">
            <v>238.40799999999999</v>
          </cell>
        </row>
        <row r="5">
          <cell r="AJ5">
            <v>199.68299999999999</v>
          </cell>
        </row>
        <row r="6">
          <cell r="AJ6">
            <v>245.18600000000001</v>
          </cell>
        </row>
        <row r="7">
          <cell r="AJ7">
            <v>274.83</v>
          </cell>
        </row>
        <row r="8">
          <cell r="AJ8">
            <v>224.19399999999999</v>
          </cell>
        </row>
        <row r="9">
          <cell r="AJ9">
            <v>296.62400000000002</v>
          </cell>
        </row>
        <row r="10">
          <cell r="AJ10">
            <v>227.83600000000001</v>
          </cell>
        </row>
        <row r="11">
          <cell r="AJ11">
            <v>227.58600000000001</v>
          </cell>
        </row>
        <row r="12">
          <cell r="AJ12">
            <v>213.91</v>
          </cell>
        </row>
        <row r="13">
          <cell r="AJ13">
            <v>220.38499999999999</v>
          </cell>
        </row>
        <row r="14">
          <cell r="AJ14">
            <v>119.36799999999999</v>
          </cell>
        </row>
      </sheetData>
      <sheetData sheetId="2">
        <row r="3">
          <cell r="AJ3">
            <v>12.552</v>
          </cell>
        </row>
        <row r="4">
          <cell r="AJ4">
            <v>21.881</v>
          </cell>
        </row>
        <row r="5">
          <cell r="AJ5">
            <v>17.384</v>
          </cell>
        </row>
        <row r="6">
          <cell r="AJ6">
            <v>24.138999999999999</v>
          </cell>
        </row>
        <row r="7">
          <cell r="AJ7">
            <v>26.445</v>
          </cell>
        </row>
        <row r="8">
          <cell r="AJ8">
            <v>21.808</v>
          </cell>
        </row>
        <row r="9">
          <cell r="AJ9">
            <v>13.840999999999999</v>
          </cell>
        </row>
        <row r="10">
          <cell r="AJ10">
            <v>16.75</v>
          </cell>
        </row>
        <row r="11">
          <cell r="AJ11">
            <v>15.492000000000001</v>
          </cell>
        </row>
        <row r="12">
          <cell r="AJ12">
            <v>18.718</v>
          </cell>
        </row>
        <row r="13">
          <cell r="AJ13">
            <v>12.737</v>
          </cell>
        </row>
        <row r="14">
          <cell r="AJ14">
            <v>14.122</v>
          </cell>
        </row>
      </sheetData>
      <sheetData sheetId="3"/>
      <sheetData sheetId="4"/>
      <sheetData sheetId="5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Tot"/>
      <sheetName val="IS"/>
      <sheetName val="CS"/>
      <sheetName val="SS1"/>
      <sheetName val="SS2"/>
      <sheetName val="SS3"/>
    </sheetNames>
    <sheetDataSet>
      <sheetData sheetId="0"/>
      <sheetData sheetId="1">
        <row r="3">
          <cell r="AJ3">
            <v>26.298999999999999</v>
          </cell>
        </row>
        <row r="4">
          <cell r="AJ4">
            <v>234.26</v>
          </cell>
        </row>
        <row r="5">
          <cell r="AJ5">
            <v>202.447</v>
          </cell>
        </row>
        <row r="6">
          <cell r="AJ6">
            <v>278.86500000000001</v>
          </cell>
        </row>
        <row r="7">
          <cell r="AJ7">
            <v>301.04700000000003</v>
          </cell>
        </row>
        <row r="8">
          <cell r="AJ8">
            <v>256.47199999999998</v>
          </cell>
        </row>
        <row r="9">
          <cell r="AJ9">
            <v>235.27600000000001</v>
          </cell>
        </row>
        <row r="10">
          <cell r="AJ10">
            <v>203.047</v>
          </cell>
        </row>
        <row r="11">
          <cell r="AJ11">
            <v>201.76400000000001</v>
          </cell>
        </row>
        <row r="12">
          <cell r="AJ12">
            <v>214.136</v>
          </cell>
        </row>
        <row r="13">
          <cell r="AJ13">
            <v>169.04</v>
          </cell>
        </row>
        <row r="14">
          <cell r="AJ14">
            <v>182.876</v>
          </cell>
        </row>
      </sheetData>
      <sheetData sheetId="2">
        <row r="3">
          <cell r="AJ3">
            <v>3.3159999999999998</v>
          </cell>
        </row>
        <row r="4">
          <cell r="AJ4">
            <v>14.106999999999999</v>
          </cell>
        </row>
        <row r="5">
          <cell r="AJ5">
            <v>16.643000000000001</v>
          </cell>
        </row>
        <row r="6">
          <cell r="AJ6">
            <v>14.885999999999999</v>
          </cell>
        </row>
        <row r="7">
          <cell r="AJ7">
            <v>16.216999999999999</v>
          </cell>
        </row>
        <row r="8">
          <cell r="AJ8">
            <v>10.404999999999999</v>
          </cell>
        </row>
        <row r="9">
          <cell r="AJ9">
            <v>14.077999999999999</v>
          </cell>
        </row>
        <row r="10">
          <cell r="AJ10">
            <v>17.013999999999999</v>
          </cell>
        </row>
        <row r="11">
          <cell r="AJ11">
            <v>16.786000000000001</v>
          </cell>
        </row>
        <row r="12">
          <cell r="AJ12">
            <v>13.839</v>
          </cell>
        </row>
        <row r="13">
          <cell r="AJ13">
            <v>10.102</v>
          </cell>
        </row>
        <row r="14">
          <cell r="AJ14">
            <v>13.33</v>
          </cell>
        </row>
      </sheetData>
      <sheetData sheetId="3"/>
      <sheetData sheetId="4"/>
      <sheetData sheetId="5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t"/>
      <sheetName val="IS"/>
      <sheetName val="CS"/>
      <sheetName val="SS1"/>
      <sheetName val="SS2"/>
      <sheetName val="SS3"/>
    </sheetNames>
    <sheetDataSet>
      <sheetData sheetId="0"/>
      <sheetData sheetId="1">
        <row r="3">
          <cell r="AJ3">
            <v>245.80199999999999</v>
          </cell>
        </row>
        <row r="4">
          <cell r="AJ4">
            <v>245.63900000000001</v>
          </cell>
        </row>
        <row r="5">
          <cell r="AJ5">
            <v>275.67099999999999</v>
          </cell>
        </row>
        <row r="6">
          <cell r="AJ6">
            <v>231.101</v>
          </cell>
        </row>
        <row r="7">
          <cell r="AJ7">
            <v>266.95299999999997</v>
          </cell>
        </row>
        <row r="8">
          <cell r="AJ8">
            <v>212.304</v>
          </cell>
        </row>
        <row r="9">
          <cell r="AJ9">
            <v>226.47</v>
          </cell>
        </row>
        <row r="10">
          <cell r="AJ10">
            <v>221.14</v>
          </cell>
        </row>
        <row r="11">
          <cell r="AJ11">
            <v>248.005</v>
          </cell>
        </row>
        <row r="12">
          <cell r="AJ12">
            <v>251.55500000000001</v>
          </cell>
        </row>
        <row r="13">
          <cell r="AJ13">
            <v>242.078</v>
          </cell>
        </row>
        <row r="14">
          <cell r="AJ14">
            <v>188.65899999999999</v>
          </cell>
        </row>
      </sheetData>
      <sheetData sheetId="2">
        <row r="3">
          <cell r="AJ3">
            <v>6.9790000000000001</v>
          </cell>
        </row>
        <row r="4">
          <cell r="AJ4">
            <v>7.0679999999999996</v>
          </cell>
        </row>
        <row r="5">
          <cell r="AJ5">
            <v>10.92</v>
          </cell>
        </row>
        <row r="6">
          <cell r="AJ6">
            <v>10.707000000000001</v>
          </cell>
        </row>
        <row r="7">
          <cell r="AJ7">
            <v>6.9859999999999998</v>
          </cell>
        </row>
        <row r="8">
          <cell r="AJ8">
            <v>11.398999999999999</v>
          </cell>
        </row>
        <row r="9">
          <cell r="AJ9">
            <v>9.4049999999999994</v>
          </cell>
        </row>
        <row r="10">
          <cell r="AJ10">
            <v>6.1</v>
          </cell>
        </row>
        <row r="11">
          <cell r="AJ11">
            <v>7.1769999999999996</v>
          </cell>
        </row>
        <row r="12">
          <cell r="AJ12">
            <v>7.3840000000000003</v>
          </cell>
        </row>
        <row r="13">
          <cell r="AJ13">
            <v>7.5289999999999999</v>
          </cell>
        </row>
        <row r="14">
          <cell r="AJ14">
            <v>6.9169999999999998</v>
          </cell>
        </row>
      </sheetData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Tot"/>
      <sheetName val="IS"/>
      <sheetName val="CS"/>
      <sheetName val="SS1"/>
      <sheetName val="SS2"/>
      <sheetName val="SS3"/>
    </sheetNames>
    <sheetDataSet>
      <sheetData sheetId="0"/>
      <sheetData sheetId="1">
        <row r="3">
          <cell r="AJ3">
            <v>175.226</v>
          </cell>
        </row>
        <row r="4">
          <cell r="AJ4">
            <v>229.64400000000001</v>
          </cell>
        </row>
        <row r="5">
          <cell r="AJ5">
            <v>221.464</v>
          </cell>
        </row>
        <row r="6">
          <cell r="AJ6">
            <v>233.904</v>
          </cell>
        </row>
        <row r="7">
          <cell r="AJ7">
            <v>222.959</v>
          </cell>
        </row>
        <row r="8">
          <cell r="AJ8">
            <v>233.459</v>
          </cell>
        </row>
        <row r="9">
          <cell r="AJ9">
            <v>242.49799999999999</v>
          </cell>
        </row>
        <row r="10">
          <cell r="AJ10">
            <v>221.71199999999999</v>
          </cell>
        </row>
        <row r="11">
          <cell r="AJ11">
            <v>212.34100000000001</v>
          </cell>
        </row>
        <row r="12">
          <cell r="AJ12">
            <v>201.09200000000001</v>
          </cell>
        </row>
        <row r="13">
          <cell r="AJ13">
            <v>261.97899999999998</v>
          </cell>
        </row>
        <row r="14">
          <cell r="AJ14">
            <v>177.898</v>
          </cell>
        </row>
      </sheetData>
      <sheetData sheetId="2">
        <row r="3">
          <cell r="AJ3">
            <v>5.4989999999999997</v>
          </cell>
        </row>
        <row r="4">
          <cell r="AJ4">
            <v>7.3979999999999997</v>
          </cell>
        </row>
        <row r="5">
          <cell r="AJ5">
            <v>5.0839999999999996</v>
          </cell>
        </row>
        <row r="6">
          <cell r="AJ6">
            <v>5.0999999999999996</v>
          </cell>
        </row>
        <row r="7">
          <cell r="AJ7">
            <v>6.7270000000000003</v>
          </cell>
        </row>
        <row r="8">
          <cell r="AJ8">
            <v>12.348000000000001</v>
          </cell>
        </row>
        <row r="9">
          <cell r="AJ9">
            <v>4.8570000000000002</v>
          </cell>
        </row>
        <row r="10">
          <cell r="AJ10">
            <v>4.0979999999999999</v>
          </cell>
        </row>
        <row r="11">
          <cell r="AJ11">
            <v>4.37</v>
          </cell>
        </row>
        <row r="12">
          <cell r="AJ12">
            <v>3.9079999999999999</v>
          </cell>
        </row>
        <row r="13">
          <cell r="AJ13">
            <v>16.443999999999999</v>
          </cell>
        </row>
        <row r="14">
          <cell r="AJ14">
            <v>1.5109999999999999</v>
          </cell>
        </row>
      </sheetData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Tot"/>
      <sheetName val="IS"/>
      <sheetName val="CS"/>
      <sheetName val="SS1"/>
      <sheetName val="SS2"/>
      <sheetName val="SS3"/>
    </sheetNames>
    <sheetDataSet>
      <sheetData sheetId="0"/>
      <sheetData sheetId="1">
        <row r="3">
          <cell r="AJ3">
            <v>227.53399999999999</v>
          </cell>
        </row>
        <row r="4">
          <cell r="AJ4">
            <v>224.24299999999999</v>
          </cell>
        </row>
        <row r="5">
          <cell r="AJ5">
            <v>229.71100000000001</v>
          </cell>
        </row>
        <row r="6">
          <cell r="AJ6">
            <v>216.37299999999999</v>
          </cell>
        </row>
        <row r="7">
          <cell r="AJ7">
            <v>270.63</v>
          </cell>
        </row>
        <row r="8">
          <cell r="AJ8">
            <v>255.75299999999999</v>
          </cell>
        </row>
        <row r="9">
          <cell r="AJ9">
            <v>238.75200000000001</v>
          </cell>
        </row>
      </sheetData>
      <sheetData sheetId="2">
        <row r="3">
          <cell r="AJ3">
            <v>1.6379999999999999</v>
          </cell>
        </row>
        <row r="4">
          <cell r="AJ4">
            <v>2.407</v>
          </cell>
        </row>
        <row r="5">
          <cell r="AJ5">
            <v>4.7670000000000003</v>
          </cell>
        </row>
        <row r="6">
          <cell r="AJ6">
            <v>7.1719999999999997</v>
          </cell>
        </row>
        <row r="7">
          <cell r="AJ7">
            <v>7.9420000000000002</v>
          </cell>
        </row>
        <row r="8">
          <cell r="AJ8">
            <v>10.664999999999999</v>
          </cell>
        </row>
        <row r="9">
          <cell r="AJ9">
            <v>10.11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61">
          <cell r="L61">
            <v>194</v>
          </cell>
        </row>
        <row r="62">
          <cell r="L62">
            <v>206</v>
          </cell>
        </row>
        <row r="63">
          <cell r="L63">
            <v>231</v>
          </cell>
        </row>
        <row r="64">
          <cell r="L64">
            <v>200</v>
          </cell>
        </row>
        <row r="65">
          <cell r="L65">
            <v>231</v>
          </cell>
        </row>
        <row r="66">
          <cell r="L66">
            <v>223</v>
          </cell>
        </row>
        <row r="67">
          <cell r="L67">
            <v>211</v>
          </cell>
        </row>
        <row r="68">
          <cell r="L68">
            <v>229</v>
          </cell>
        </row>
        <row r="69">
          <cell r="L69">
            <v>234</v>
          </cell>
        </row>
        <row r="70">
          <cell r="L70">
            <v>237</v>
          </cell>
        </row>
        <row r="71">
          <cell r="L71">
            <v>233</v>
          </cell>
        </row>
        <row r="73">
          <cell r="L73">
            <v>239</v>
          </cell>
        </row>
        <row r="74">
          <cell r="L74">
            <v>206</v>
          </cell>
        </row>
        <row r="75">
          <cell r="L75">
            <v>248</v>
          </cell>
        </row>
        <row r="76">
          <cell r="L76">
            <v>231</v>
          </cell>
        </row>
        <row r="77">
          <cell r="L77">
            <v>241</v>
          </cell>
        </row>
        <row r="78">
          <cell r="L78">
            <v>263</v>
          </cell>
        </row>
        <row r="79">
          <cell r="L79">
            <v>193</v>
          </cell>
        </row>
        <row r="80">
          <cell r="L80">
            <v>197</v>
          </cell>
        </row>
        <row r="81">
          <cell r="L81">
            <v>227</v>
          </cell>
        </row>
        <row r="82">
          <cell r="L82">
            <v>186</v>
          </cell>
        </row>
        <row r="83">
          <cell r="L83">
            <v>165</v>
          </cell>
        </row>
        <row r="84">
          <cell r="L84">
            <v>178</v>
          </cell>
        </row>
        <row r="86">
          <cell r="L86">
            <v>147</v>
          </cell>
        </row>
        <row r="87">
          <cell r="L87">
            <v>192</v>
          </cell>
        </row>
        <row r="88">
          <cell r="L88">
            <v>163</v>
          </cell>
        </row>
        <row r="89">
          <cell r="L89">
            <v>185</v>
          </cell>
        </row>
        <row r="90">
          <cell r="L90">
            <v>162</v>
          </cell>
        </row>
        <row r="91">
          <cell r="L91">
            <v>163</v>
          </cell>
        </row>
        <row r="92">
          <cell r="L92">
            <v>179</v>
          </cell>
        </row>
        <row r="93">
          <cell r="L93">
            <v>166</v>
          </cell>
        </row>
        <row r="94">
          <cell r="L94">
            <v>177</v>
          </cell>
        </row>
        <row r="95">
          <cell r="L95">
            <v>148</v>
          </cell>
        </row>
        <row r="96">
          <cell r="L96">
            <v>200</v>
          </cell>
        </row>
        <row r="97">
          <cell r="L97">
            <v>245</v>
          </cell>
        </row>
        <row r="99">
          <cell r="L99">
            <v>186</v>
          </cell>
        </row>
        <row r="100">
          <cell r="L100">
            <v>128</v>
          </cell>
        </row>
        <row r="101">
          <cell r="L101">
            <v>204</v>
          </cell>
        </row>
        <row r="102">
          <cell r="L102">
            <v>192</v>
          </cell>
        </row>
        <row r="103">
          <cell r="L103">
            <v>269</v>
          </cell>
        </row>
        <row r="104">
          <cell r="L104">
            <v>207</v>
          </cell>
        </row>
        <row r="105">
          <cell r="L105">
            <v>202</v>
          </cell>
        </row>
        <row r="106">
          <cell r="L106">
            <v>198</v>
          </cell>
        </row>
        <row r="107">
          <cell r="L107">
            <v>166</v>
          </cell>
        </row>
        <row r="108">
          <cell r="L108">
            <v>255</v>
          </cell>
        </row>
        <row r="109">
          <cell r="L109">
            <v>279</v>
          </cell>
        </row>
        <row r="110">
          <cell r="L110">
            <v>122</v>
          </cell>
        </row>
        <row r="111">
          <cell r="L111">
            <v>201</v>
          </cell>
        </row>
        <row r="112">
          <cell r="L112">
            <v>191</v>
          </cell>
        </row>
        <row r="113">
          <cell r="L113">
            <v>149</v>
          </cell>
        </row>
        <row r="114">
          <cell r="L114">
            <v>194</v>
          </cell>
        </row>
        <row r="115">
          <cell r="L115">
            <v>183</v>
          </cell>
        </row>
        <row r="116">
          <cell r="L116">
            <v>175</v>
          </cell>
        </row>
        <row r="117">
          <cell r="L117">
            <v>174</v>
          </cell>
        </row>
        <row r="118">
          <cell r="L118">
            <v>186</v>
          </cell>
        </row>
        <row r="119">
          <cell r="L119">
            <v>163</v>
          </cell>
        </row>
        <row r="120">
          <cell r="L120">
            <v>164</v>
          </cell>
        </row>
        <row r="121">
          <cell r="L121">
            <v>144</v>
          </cell>
        </row>
        <row r="122">
          <cell r="L122">
            <v>186</v>
          </cell>
        </row>
        <row r="123">
          <cell r="L123">
            <v>159</v>
          </cell>
        </row>
        <row r="125">
          <cell r="L125">
            <v>154</v>
          </cell>
        </row>
        <row r="126">
          <cell r="L126">
            <v>170</v>
          </cell>
        </row>
        <row r="127">
          <cell r="L127">
            <v>202</v>
          </cell>
        </row>
        <row r="128">
          <cell r="L128">
            <v>210</v>
          </cell>
        </row>
        <row r="129">
          <cell r="L129">
            <v>179</v>
          </cell>
        </row>
        <row r="130">
          <cell r="L130">
            <v>174</v>
          </cell>
        </row>
        <row r="131">
          <cell r="L131">
            <v>164</v>
          </cell>
        </row>
        <row r="132">
          <cell r="L132">
            <v>149</v>
          </cell>
        </row>
        <row r="133">
          <cell r="L133">
            <v>140</v>
          </cell>
        </row>
        <row r="134">
          <cell r="L134">
            <v>126</v>
          </cell>
        </row>
        <row r="135">
          <cell r="L135">
            <v>134</v>
          </cell>
        </row>
        <row r="136">
          <cell r="L136">
            <v>135</v>
          </cell>
        </row>
        <row r="138">
          <cell r="L138">
            <v>190</v>
          </cell>
        </row>
        <row r="139">
          <cell r="L139">
            <v>185</v>
          </cell>
        </row>
        <row r="140">
          <cell r="L140">
            <v>177</v>
          </cell>
        </row>
        <row r="141">
          <cell r="L141">
            <v>164</v>
          </cell>
        </row>
        <row r="142">
          <cell r="L142">
            <v>219</v>
          </cell>
        </row>
        <row r="143">
          <cell r="L143">
            <v>172</v>
          </cell>
        </row>
        <row r="144">
          <cell r="L144">
            <v>173</v>
          </cell>
        </row>
        <row r="145">
          <cell r="L145">
            <v>178</v>
          </cell>
        </row>
        <row r="146">
          <cell r="L146">
            <v>176</v>
          </cell>
        </row>
        <row r="147">
          <cell r="L147">
            <v>186</v>
          </cell>
        </row>
        <row r="148">
          <cell r="L148">
            <v>181</v>
          </cell>
        </row>
        <row r="149">
          <cell r="L149">
            <v>169</v>
          </cell>
        </row>
        <row r="151">
          <cell r="L151">
            <v>164</v>
          </cell>
        </row>
        <row r="152">
          <cell r="L152">
            <v>170</v>
          </cell>
        </row>
        <row r="153">
          <cell r="L153">
            <v>172</v>
          </cell>
        </row>
        <row r="154">
          <cell r="L154">
            <v>169</v>
          </cell>
        </row>
        <row r="155">
          <cell r="L155">
            <v>164</v>
          </cell>
        </row>
        <row r="156">
          <cell r="L156">
            <v>177</v>
          </cell>
        </row>
        <row r="157">
          <cell r="L157">
            <v>189</v>
          </cell>
        </row>
        <row r="158">
          <cell r="L158">
            <v>166</v>
          </cell>
        </row>
        <row r="159">
          <cell r="L159">
            <v>173</v>
          </cell>
        </row>
        <row r="160">
          <cell r="L160">
            <v>157</v>
          </cell>
        </row>
        <row r="161">
          <cell r="L161">
            <v>168</v>
          </cell>
        </row>
        <row r="162">
          <cell r="L162">
            <v>186</v>
          </cell>
        </row>
        <row r="163">
          <cell r="L163">
            <v>171</v>
          </cell>
        </row>
        <row r="164">
          <cell r="L164">
            <v>176</v>
          </cell>
        </row>
        <row r="165">
          <cell r="L165">
            <v>170</v>
          </cell>
        </row>
        <row r="166">
          <cell r="L166">
            <v>174</v>
          </cell>
        </row>
        <row r="167">
          <cell r="L167">
            <v>182</v>
          </cell>
        </row>
        <row r="168">
          <cell r="L168">
            <v>172</v>
          </cell>
        </row>
        <row r="169">
          <cell r="L169">
            <v>184</v>
          </cell>
        </row>
        <row r="170">
          <cell r="L170">
            <v>177</v>
          </cell>
        </row>
        <row r="171">
          <cell r="L171">
            <v>178</v>
          </cell>
        </row>
        <row r="176">
          <cell r="L176">
            <v>174</v>
          </cell>
        </row>
        <row r="177">
          <cell r="L177">
            <v>168</v>
          </cell>
        </row>
        <row r="189">
          <cell r="L189">
            <v>177</v>
          </cell>
        </row>
        <row r="190">
          <cell r="L190">
            <v>187</v>
          </cell>
        </row>
        <row r="191">
          <cell r="L191">
            <v>186</v>
          </cell>
        </row>
        <row r="192">
          <cell r="L192">
            <v>187</v>
          </cell>
        </row>
        <row r="193">
          <cell r="L193">
            <v>194</v>
          </cell>
        </row>
        <row r="194">
          <cell r="L194">
            <v>240</v>
          </cell>
        </row>
        <row r="195">
          <cell r="L195">
            <v>262</v>
          </cell>
        </row>
        <row r="196">
          <cell r="L196">
            <v>263</v>
          </cell>
        </row>
        <row r="197">
          <cell r="L197">
            <v>263</v>
          </cell>
        </row>
        <row r="198">
          <cell r="L198">
            <v>263</v>
          </cell>
        </row>
        <row r="199">
          <cell r="L199">
            <v>262</v>
          </cell>
        </row>
        <row r="200">
          <cell r="L200">
            <v>263</v>
          </cell>
        </row>
        <row r="201">
          <cell r="L201">
            <v>263</v>
          </cell>
        </row>
        <row r="202">
          <cell r="L202">
            <v>263</v>
          </cell>
        </row>
        <row r="203">
          <cell r="L203">
            <v>262</v>
          </cell>
        </row>
        <row r="204">
          <cell r="L204">
            <v>263</v>
          </cell>
        </row>
        <row r="205">
          <cell r="L205">
            <v>263</v>
          </cell>
        </row>
        <row r="206">
          <cell r="L206">
            <v>247</v>
          </cell>
        </row>
        <row r="207">
          <cell r="L207">
            <v>232</v>
          </cell>
        </row>
        <row r="208">
          <cell r="L208">
            <v>232</v>
          </cell>
        </row>
        <row r="209">
          <cell r="L209">
            <v>232</v>
          </cell>
        </row>
        <row r="210">
          <cell r="L210">
            <v>232</v>
          </cell>
        </row>
        <row r="211">
          <cell r="L211">
            <v>232</v>
          </cell>
        </row>
        <row r="212">
          <cell r="L212">
            <v>232</v>
          </cell>
        </row>
        <row r="213">
          <cell r="L213">
            <v>232</v>
          </cell>
        </row>
        <row r="214">
          <cell r="L214">
            <v>232</v>
          </cell>
        </row>
        <row r="215">
          <cell r="L215">
            <v>232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REND"/>
      <sheetName val="MF Input"/>
      <sheetName val="VALUES"/>
      <sheetName val="Historical"/>
      <sheetName val="Charts"/>
    </sheetNames>
    <sheetDataSet>
      <sheetData sheetId="0"/>
      <sheetData sheetId="1"/>
      <sheetData sheetId="2"/>
      <sheetData sheetId="3"/>
      <sheetData sheetId="4">
        <row r="261">
          <cell r="L261">
            <v>0.26796844113159463</v>
          </cell>
        </row>
        <row r="262">
          <cell r="L262">
            <v>0.32139335186844831</v>
          </cell>
        </row>
        <row r="263">
          <cell r="L263">
            <v>0.37522708030933305</v>
          </cell>
        </row>
        <row r="264">
          <cell r="L264">
            <v>0.37560237171621846</v>
          </cell>
        </row>
        <row r="265">
          <cell r="L265">
            <v>0.3423783324275444</v>
          </cell>
        </row>
        <row r="266">
          <cell r="L266">
            <v>0.36356977859923117</v>
          </cell>
        </row>
        <row r="267">
          <cell r="L267">
            <v>0.37689647012301597</v>
          </cell>
        </row>
        <row r="268">
          <cell r="L268">
            <v>0.3861671932509505</v>
          </cell>
        </row>
        <row r="269">
          <cell r="L269">
            <v>0.3770230242261669</v>
          </cell>
        </row>
        <row r="270">
          <cell r="L270">
            <v>0.35208048782113677</v>
          </cell>
        </row>
        <row r="271">
          <cell r="L271">
            <v>0.39208618711261317</v>
          </cell>
        </row>
        <row r="272">
          <cell r="L272">
            <v>0.34497954240922274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Winter"/>
      <sheetName val="Feb"/>
      <sheetName val="Mar"/>
      <sheetName val="Apr"/>
      <sheetName val="May"/>
      <sheetName val="Jun"/>
      <sheetName val="Jul"/>
      <sheetName val="Summer"/>
      <sheetName val="Sep"/>
      <sheetName val="Oct"/>
      <sheetName val="Nov"/>
      <sheetName val="Dec"/>
      <sheetName val="Interruptible Forecast"/>
      <sheetName val="Monthly Peaks"/>
      <sheetName val="SEP12 vs JAN12"/>
      <sheetName val="SEP12 vs TYSP12"/>
      <sheetName val="GFF vs HS DSM"/>
      <sheetName val="By Load Area"/>
      <sheetName val="Assumptions"/>
      <sheetName val="Charts"/>
      <sheetName val="SMC"/>
      <sheetName val="Freq B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63">
          <cell r="Q563">
            <v>720</v>
          </cell>
          <cell r="R563">
            <v>696</v>
          </cell>
          <cell r="S563">
            <v>624</v>
          </cell>
          <cell r="T563">
            <v>416</v>
          </cell>
          <cell r="U563">
            <v>467</v>
          </cell>
          <cell r="V563">
            <v>495</v>
          </cell>
          <cell r="W563">
            <v>508</v>
          </cell>
          <cell r="X563">
            <v>528</v>
          </cell>
          <cell r="Y563">
            <v>513</v>
          </cell>
          <cell r="Z563">
            <v>464</v>
          </cell>
          <cell r="AA563">
            <v>626</v>
          </cell>
          <cell r="AB563">
            <v>755</v>
          </cell>
        </row>
        <row r="564">
          <cell r="Q564">
            <v>802</v>
          </cell>
          <cell r="R564">
            <v>774</v>
          </cell>
          <cell r="S564">
            <v>692</v>
          </cell>
          <cell r="T564">
            <v>460</v>
          </cell>
          <cell r="U564">
            <v>515</v>
          </cell>
          <cell r="V564">
            <v>546</v>
          </cell>
          <cell r="W564">
            <v>559</v>
          </cell>
          <cell r="X564">
            <v>581</v>
          </cell>
          <cell r="Y564">
            <v>564</v>
          </cell>
          <cell r="Z564">
            <v>509</v>
          </cell>
          <cell r="AA564">
            <v>689</v>
          </cell>
          <cell r="AB564">
            <v>833</v>
          </cell>
        </row>
        <row r="565">
          <cell r="Q565">
            <v>883</v>
          </cell>
          <cell r="R565">
            <v>850</v>
          </cell>
          <cell r="S565">
            <v>757</v>
          </cell>
          <cell r="T565">
            <v>500</v>
          </cell>
          <cell r="U565">
            <v>559</v>
          </cell>
          <cell r="V565">
            <v>592</v>
          </cell>
          <cell r="W565">
            <v>605</v>
          </cell>
          <cell r="X565">
            <v>628</v>
          </cell>
          <cell r="Y565">
            <v>608</v>
          </cell>
          <cell r="Z565">
            <v>548</v>
          </cell>
          <cell r="AA565">
            <v>745</v>
          </cell>
          <cell r="AB565">
            <v>900</v>
          </cell>
        </row>
        <row r="566">
          <cell r="Q566">
            <v>951</v>
          </cell>
          <cell r="R566">
            <v>915</v>
          </cell>
          <cell r="S566">
            <v>814</v>
          </cell>
          <cell r="T566">
            <v>535</v>
          </cell>
          <cell r="U566">
            <v>597</v>
          </cell>
          <cell r="V566">
            <v>632</v>
          </cell>
          <cell r="W566">
            <v>645</v>
          </cell>
          <cell r="X566">
            <v>669</v>
          </cell>
          <cell r="Y566">
            <v>648</v>
          </cell>
          <cell r="Z566">
            <v>584</v>
          </cell>
          <cell r="AA566">
            <v>797</v>
          </cell>
          <cell r="AB566">
            <v>963</v>
          </cell>
        </row>
        <row r="567">
          <cell r="Q567">
            <v>1017</v>
          </cell>
          <cell r="R567">
            <v>977</v>
          </cell>
          <cell r="S567">
            <v>868</v>
          </cell>
          <cell r="T567">
            <v>567</v>
          </cell>
          <cell r="U567">
            <v>632</v>
          </cell>
          <cell r="V567">
            <v>669</v>
          </cell>
          <cell r="W567">
            <v>682</v>
          </cell>
          <cell r="X567">
            <v>707</v>
          </cell>
          <cell r="Y567">
            <v>683</v>
          </cell>
          <cell r="Z567">
            <v>615</v>
          </cell>
          <cell r="AA567">
            <v>843</v>
          </cell>
          <cell r="AB567">
            <v>1019</v>
          </cell>
        </row>
        <row r="568">
          <cell r="Q568">
            <v>1074</v>
          </cell>
          <cell r="R568">
            <v>1031</v>
          </cell>
          <cell r="S568">
            <v>915</v>
          </cell>
          <cell r="T568">
            <v>594</v>
          </cell>
          <cell r="U568">
            <v>662</v>
          </cell>
          <cell r="V568">
            <v>699</v>
          </cell>
          <cell r="W568">
            <v>712</v>
          </cell>
          <cell r="X568">
            <v>738</v>
          </cell>
          <cell r="Y568">
            <v>713</v>
          </cell>
          <cell r="Z568">
            <v>642</v>
          </cell>
          <cell r="AA568">
            <v>883</v>
          </cell>
          <cell r="AB568">
            <v>1067</v>
          </cell>
        </row>
        <row r="569">
          <cell r="Q569">
            <v>1124</v>
          </cell>
          <cell r="R569">
            <v>1078</v>
          </cell>
          <cell r="S569">
            <v>955</v>
          </cell>
          <cell r="T569">
            <v>617</v>
          </cell>
          <cell r="U569">
            <v>688</v>
          </cell>
          <cell r="V569">
            <v>727</v>
          </cell>
          <cell r="W569">
            <v>740</v>
          </cell>
          <cell r="X569">
            <v>766</v>
          </cell>
          <cell r="Y569">
            <v>740</v>
          </cell>
          <cell r="Z569">
            <v>666</v>
          </cell>
          <cell r="AA569">
            <v>920</v>
          </cell>
          <cell r="AB569">
            <v>1113</v>
          </cell>
        </row>
        <row r="570">
          <cell r="Q570">
            <v>1171</v>
          </cell>
          <cell r="R570">
            <v>1122</v>
          </cell>
          <cell r="S570">
            <v>993</v>
          </cell>
          <cell r="T570">
            <v>639</v>
          </cell>
          <cell r="U570">
            <v>711</v>
          </cell>
          <cell r="V570">
            <v>751</v>
          </cell>
          <cell r="W570">
            <v>764</v>
          </cell>
          <cell r="X570">
            <v>791</v>
          </cell>
          <cell r="Y570">
            <v>763</v>
          </cell>
          <cell r="Z570">
            <v>686</v>
          </cell>
          <cell r="AA570">
            <v>950</v>
          </cell>
          <cell r="AB570">
            <v>1148</v>
          </cell>
        </row>
        <row r="571">
          <cell r="Q571">
            <v>1207</v>
          </cell>
          <cell r="R571">
            <v>1156</v>
          </cell>
          <cell r="S571">
            <v>1023</v>
          </cell>
          <cell r="T571">
            <v>657</v>
          </cell>
          <cell r="U571">
            <v>731</v>
          </cell>
          <cell r="V571">
            <v>772</v>
          </cell>
          <cell r="W571">
            <v>785</v>
          </cell>
          <cell r="X571">
            <v>813</v>
          </cell>
          <cell r="Y571">
            <v>785</v>
          </cell>
          <cell r="Z571">
            <v>705</v>
          </cell>
          <cell r="AA571">
            <v>977</v>
          </cell>
          <cell r="AB571">
            <v>1182</v>
          </cell>
        </row>
        <row r="572">
          <cell r="Q572">
            <v>1241</v>
          </cell>
          <cell r="R572">
            <v>1189</v>
          </cell>
          <cell r="S572">
            <v>1052</v>
          </cell>
          <cell r="T572">
            <v>674</v>
          </cell>
          <cell r="U572">
            <v>750</v>
          </cell>
          <cell r="V572">
            <v>792</v>
          </cell>
          <cell r="W572">
            <v>806</v>
          </cell>
          <cell r="X572">
            <v>833</v>
          </cell>
          <cell r="Y572">
            <v>805</v>
          </cell>
          <cell r="Z572">
            <v>723</v>
          </cell>
          <cell r="AA572">
            <v>1003</v>
          </cell>
          <cell r="AB572">
            <v>1213</v>
          </cell>
        </row>
        <row r="573">
          <cell r="Q573">
            <v>1281</v>
          </cell>
          <cell r="R573">
            <v>1226</v>
          </cell>
          <cell r="S573">
            <v>1084</v>
          </cell>
          <cell r="T573">
            <v>693</v>
          </cell>
          <cell r="U573">
            <v>770</v>
          </cell>
          <cell r="V573">
            <v>813</v>
          </cell>
          <cell r="W573">
            <v>827</v>
          </cell>
          <cell r="X573">
            <v>855</v>
          </cell>
          <cell r="Y573">
            <v>825</v>
          </cell>
          <cell r="Z573">
            <v>741</v>
          </cell>
          <cell r="AA573">
            <v>1030</v>
          </cell>
          <cell r="AB573">
            <v>1246</v>
          </cell>
        </row>
        <row r="574">
          <cell r="Q574">
            <v>1316</v>
          </cell>
          <cell r="R574">
            <v>1259</v>
          </cell>
          <cell r="S574">
            <v>1112</v>
          </cell>
          <cell r="T574">
            <v>709</v>
          </cell>
          <cell r="U574">
            <v>789</v>
          </cell>
          <cell r="V574">
            <v>833</v>
          </cell>
          <cell r="W574">
            <v>846</v>
          </cell>
          <cell r="X574">
            <v>875</v>
          </cell>
          <cell r="Y574">
            <v>844</v>
          </cell>
          <cell r="Z574">
            <v>758</v>
          </cell>
          <cell r="AA574">
            <v>1055</v>
          </cell>
          <cell r="AB574">
            <v>1276</v>
          </cell>
        </row>
        <row r="575">
          <cell r="Q575">
            <v>1348</v>
          </cell>
          <cell r="R575">
            <v>1290</v>
          </cell>
          <cell r="S575">
            <v>1138</v>
          </cell>
          <cell r="T575">
            <v>725</v>
          </cell>
          <cell r="U575">
            <v>806</v>
          </cell>
          <cell r="V575">
            <v>851</v>
          </cell>
          <cell r="W575">
            <v>864</v>
          </cell>
          <cell r="X575">
            <v>893</v>
          </cell>
          <cell r="Y575">
            <v>862</v>
          </cell>
          <cell r="Z575">
            <v>774</v>
          </cell>
          <cell r="AA575">
            <v>1078</v>
          </cell>
          <cell r="AB575">
            <v>1304</v>
          </cell>
        </row>
        <row r="576">
          <cell r="Q576">
            <v>1378</v>
          </cell>
          <cell r="R576">
            <v>1318</v>
          </cell>
          <cell r="S576">
            <v>1164</v>
          </cell>
          <cell r="T576">
            <v>740</v>
          </cell>
          <cell r="U576">
            <v>823</v>
          </cell>
          <cell r="V576">
            <v>868</v>
          </cell>
          <cell r="W576">
            <v>882</v>
          </cell>
          <cell r="X576">
            <v>912</v>
          </cell>
          <cell r="Y576">
            <v>879</v>
          </cell>
          <cell r="Z576">
            <v>789</v>
          </cell>
          <cell r="AA576">
            <v>1101</v>
          </cell>
          <cell r="AB576">
            <v>1331</v>
          </cell>
        </row>
        <row r="577">
          <cell r="Q577">
            <v>1409</v>
          </cell>
          <cell r="R577">
            <v>1347</v>
          </cell>
          <cell r="S577">
            <v>1188</v>
          </cell>
          <cell r="T577">
            <v>755</v>
          </cell>
          <cell r="U577">
            <v>839</v>
          </cell>
          <cell r="V577">
            <v>886</v>
          </cell>
          <cell r="W577">
            <v>899</v>
          </cell>
          <cell r="X577">
            <v>930</v>
          </cell>
          <cell r="Y577">
            <v>897</v>
          </cell>
          <cell r="Z577">
            <v>805</v>
          </cell>
          <cell r="AA577">
            <v>1122</v>
          </cell>
          <cell r="AB577">
            <v>1358</v>
          </cell>
        </row>
        <row r="578">
          <cell r="Q578">
            <v>1438</v>
          </cell>
          <cell r="R578">
            <v>1375</v>
          </cell>
          <cell r="S578">
            <v>1213</v>
          </cell>
          <cell r="T578">
            <v>770</v>
          </cell>
          <cell r="U578">
            <v>855</v>
          </cell>
          <cell r="V578">
            <v>903</v>
          </cell>
          <cell r="W578">
            <v>917</v>
          </cell>
          <cell r="X578">
            <v>947</v>
          </cell>
          <cell r="Y578">
            <v>913</v>
          </cell>
          <cell r="Z578">
            <v>820</v>
          </cell>
          <cell r="AA578">
            <v>1144</v>
          </cell>
          <cell r="AB578">
            <v>1384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Res Non-Disp"/>
      <sheetName val="CI Non-Disp"/>
      <sheetName val="Total Non-Disp"/>
      <sheetName val="Res"/>
      <sheetName val="CI"/>
      <sheetName val="Total"/>
    </sheetNames>
    <sheetDataSet>
      <sheetData sheetId="0"/>
      <sheetData sheetId="1"/>
      <sheetData sheetId="2"/>
      <sheetData sheetId="3"/>
      <sheetData sheetId="4"/>
      <sheetData sheetId="5">
        <row r="17">
          <cell r="B17">
            <v>722.93742143999998</v>
          </cell>
          <cell r="C17">
            <v>698.38013909536983</v>
          </cell>
          <cell r="D17">
            <v>626.26835380958516</v>
          </cell>
          <cell r="E17">
            <v>417.69024332651577</v>
          </cell>
          <cell r="F17">
            <v>468.58154083648742</v>
          </cell>
          <cell r="G17">
            <v>497.22685973531702</v>
          </cell>
          <cell r="H17">
            <v>509.6960761940104</v>
          </cell>
          <cell r="I17">
            <v>530.26957965668907</v>
          </cell>
          <cell r="J17">
            <v>514.84140673931165</v>
          </cell>
          <cell r="K17">
            <v>465.84230489394753</v>
          </cell>
          <cell r="L17">
            <v>628.40646547316783</v>
          </cell>
          <cell r="M17">
            <v>758.11017103101358</v>
          </cell>
        </row>
        <row r="18">
          <cell r="B18">
            <v>805.59001443951001</v>
          </cell>
          <cell r="C18">
            <v>777.05849017843457</v>
          </cell>
          <cell r="D18">
            <v>694.89271406236003</v>
          </cell>
          <cell r="E18">
            <v>461.40003556864065</v>
          </cell>
          <cell r="F18">
            <v>516.89634287370245</v>
          </cell>
          <cell r="G18">
            <v>548.17248606908061</v>
          </cell>
          <cell r="H18">
            <v>561.11955889129376</v>
          </cell>
          <cell r="I18">
            <v>583.28700316197649</v>
          </cell>
          <cell r="J18">
            <v>565.84685048386041</v>
          </cell>
          <cell r="K18">
            <v>511.42173368405076</v>
          </cell>
          <cell r="L18">
            <v>692.03574967826785</v>
          </cell>
          <cell r="M18">
            <v>835.86168094907555</v>
          </cell>
        </row>
        <row r="19">
          <cell r="B19">
            <v>886.13834511950995</v>
          </cell>
          <cell r="C19">
            <v>853.63506758642507</v>
          </cell>
          <cell r="D19">
            <v>761.59743045639414</v>
          </cell>
          <cell r="E19">
            <v>504.01410577723243</v>
          </cell>
          <cell r="F19">
            <v>564.10125682078183</v>
          </cell>
          <cell r="G19">
            <v>598.05514059281415</v>
          </cell>
          <cell r="H19">
            <v>611.57903200374722</v>
          </cell>
          <cell r="I19">
            <v>635.42344202272113</v>
          </cell>
          <cell r="J19">
            <v>616.11394199433812</v>
          </cell>
          <cell r="K19">
            <v>556.43946089383633</v>
          </cell>
          <cell r="L19">
            <v>753.23136875657542</v>
          </cell>
          <cell r="M19">
            <v>910.53757697892377</v>
          </cell>
        </row>
        <row r="20">
          <cell r="B20">
            <v>963.39449875203002</v>
          </cell>
          <cell r="C20">
            <v>926.40426979554627</v>
          </cell>
          <cell r="D20">
            <v>824.39136308551565</v>
          </cell>
          <cell r="E20">
            <v>544.21126524361375</v>
          </cell>
          <cell r="F20">
            <v>607.8261191590716</v>
          </cell>
          <cell r="G20">
            <v>643.41120996872689</v>
          </cell>
          <cell r="H20">
            <v>656.59980108161744</v>
          </cell>
          <cell r="I20">
            <v>681.05121685259417</v>
          </cell>
          <cell r="J20">
            <v>659.24757750188974</v>
          </cell>
          <cell r="K20">
            <v>594.29938673741458</v>
          </cell>
          <cell r="L20">
            <v>806.33952145470766</v>
          </cell>
          <cell r="M20">
            <v>974.63626852458356</v>
          </cell>
        </row>
        <row r="21">
          <cell r="B21">
            <v>1028.97008477703</v>
          </cell>
          <cell r="C21">
            <v>988.31960790891594</v>
          </cell>
          <cell r="D21">
            <v>877.95057641781614</v>
          </cell>
          <cell r="E21">
            <v>576.32293347730251</v>
          </cell>
          <cell r="F21">
            <v>642.90040815736961</v>
          </cell>
          <cell r="G21">
            <v>679.9496378767102</v>
          </cell>
          <cell r="H21">
            <v>693.02866879239218</v>
          </cell>
          <cell r="I21">
            <v>718.14046989688973</v>
          </cell>
          <cell r="J21">
            <v>694.47592615847793</v>
          </cell>
          <cell r="K21">
            <v>625.3727841605571</v>
          </cell>
          <cell r="L21">
            <v>852.64092250581439</v>
          </cell>
          <cell r="M21">
            <v>1030.6909086231685</v>
          </cell>
        </row>
        <row r="22">
          <cell r="B22">
            <v>1086.49676073758</v>
          </cell>
          <cell r="C22">
            <v>1042.5465065877936</v>
          </cell>
          <cell r="D22">
            <v>924.780568578165</v>
          </cell>
          <cell r="E22">
            <v>603.18438190152415</v>
          </cell>
          <cell r="F22">
            <v>672.27253909557203</v>
          </cell>
          <cell r="G22">
            <v>710.58268383410632</v>
          </cell>
          <cell r="H22">
            <v>723.60561188912061</v>
          </cell>
          <cell r="I22">
            <v>749.30922823832043</v>
          </cell>
          <cell r="J22">
            <v>724.1175743567801</v>
          </cell>
          <cell r="K22">
            <v>651.55182838419455</v>
          </cell>
          <cell r="L22">
            <v>892.5270380736722</v>
          </cell>
          <cell r="M22">
            <v>1078.8790312920887</v>
          </cell>
        </row>
        <row r="23">
          <cell r="B23">
            <v>1135.8454529001024</v>
          </cell>
          <cell r="C23">
            <v>1089.4403672261524</v>
          </cell>
          <cell r="D23">
            <v>965.61025597832554</v>
          </cell>
          <cell r="E23">
            <v>626.5505393254989</v>
          </cell>
          <cell r="F23">
            <v>698.06980499804683</v>
          </cell>
          <cell r="G23">
            <v>737.75220365843552</v>
          </cell>
          <cell r="H23">
            <v>750.99704492185742</v>
          </cell>
          <cell r="I23">
            <v>777.51556532934637</v>
          </cell>
          <cell r="J23">
            <v>751.22048736773024</v>
          </cell>
          <cell r="K23">
            <v>675.74184764483903</v>
          </cell>
          <cell r="L23">
            <v>929.84184506407485</v>
          </cell>
          <cell r="M23">
            <v>1124.3911353497365</v>
          </cell>
        </row>
        <row r="24">
          <cell r="B24">
            <v>1182.9067104544988</v>
          </cell>
          <cell r="C24">
            <v>1133.4704809067036</v>
          </cell>
          <cell r="D24">
            <v>1003.3409913093278</v>
          </cell>
          <cell r="E24">
            <v>648.08599497010778</v>
          </cell>
          <cell r="F24">
            <v>721.5565507189059</v>
          </cell>
          <cell r="G24">
            <v>762.18122167921433</v>
          </cell>
          <cell r="H24">
            <v>775.31362151547012</v>
          </cell>
          <cell r="I24">
            <v>802.23182975366285</v>
          </cell>
          <cell r="J24">
            <v>774.65636806435805</v>
          </cell>
          <cell r="K24">
            <v>696.37697000973424</v>
          </cell>
          <cell r="L24">
            <v>959.73711991226651</v>
          </cell>
          <cell r="M24">
            <v>1160.1290074009421</v>
          </cell>
        </row>
        <row r="25">
          <cell r="B25">
            <v>1219.105515510184</v>
          </cell>
          <cell r="C25">
            <v>1167.8612542184899</v>
          </cell>
          <cell r="D25">
            <v>1033.2780158143282</v>
          </cell>
          <cell r="E25">
            <v>666.29263433705751</v>
          </cell>
          <cell r="F25">
            <v>741.64548500936212</v>
          </cell>
          <cell r="G25">
            <v>783.326030360407</v>
          </cell>
          <cell r="H25">
            <v>796.61820044163051</v>
          </cell>
          <cell r="I25">
            <v>824.15680418617444</v>
          </cell>
          <cell r="J25">
            <v>795.71064581601195</v>
          </cell>
          <cell r="K25">
            <v>715.15674160932065</v>
          </cell>
          <cell r="L25">
            <v>987.04820720577072</v>
          </cell>
          <cell r="M25">
            <v>1193.4320749782701</v>
          </cell>
        </row>
        <row r="26">
          <cell r="B26">
            <v>1253.5341303130851</v>
          </cell>
          <cell r="C26">
            <v>1200.5764535827352</v>
          </cell>
          <cell r="D26">
            <v>1061.7619017282498</v>
          </cell>
          <cell r="E26">
            <v>683.56683423125651</v>
          </cell>
          <cell r="F26">
            <v>760.71208654337113</v>
          </cell>
          <cell r="G26">
            <v>803.40168240916205</v>
          </cell>
          <cell r="H26">
            <v>816.85256848578319</v>
          </cell>
          <cell r="I26">
            <v>844.98769656372724</v>
          </cell>
          <cell r="J26">
            <v>815.72135742341311</v>
          </cell>
          <cell r="K26">
            <v>733.01204483256288</v>
          </cell>
          <cell r="L26">
            <v>1013.0748507367421</v>
          </cell>
          <cell r="M26">
            <v>1225.1754213626175</v>
          </cell>
        </row>
        <row r="27">
          <cell r="B27">
            <v>1293.4372919190837</v>
          </cell>
          <cell r="C27">
            <v>1238.095593302497</v>
          </cell>
          <cell r="D27">
            <v>1094.0790238065699</v>
          </cell>
          <cell r="E27">
            <v>702.08242029623693</v>
          </cell>
          <cell r="F27">
            <v>780.97148122081444</v>
          </cell>
          <cell r="G27">
            <v>824.54493207442783</v>
          </cell>
          <cell r="H27">
            <v>837.97160240144365</v>
          </cell>
          <cell r="I27">
            <v>866.5306933848392</v>
          </cell>
          <cell r="J27">
            <v>836.22373117745474</v>
          </cell>
          <cell r="K27">
            <v>751.13294128639211</v>
          </cell>
          <cell r="L27">
            <v>1039.9572399634649</v>
          </cell>
          <cell r="M27">
            <v>1257.5442104804479</v>
          </cell>
        </row>
        <row r="28">
          <cell r="B28">
            <v>1327.7454050848385</v>
          </cell>
          <cell r="C28">
            <v>1270.5538081009622</v>
          </cell>
          <cell r="D28">
            <v>1122.2141393011714</v>
          </cell>
          <cell r="E28">
            <v>718.62893124265747</v>
          </cell>
          <cell r="F28">
            <v>799.19294010719159</v>
          </cell>
          <cell r="G28">
            <v>843.68618510633405</v>
          </cell>
          <cell r="H28">
            <v>857.21893335165987</v>
          </cell>
          <cell r="I28">
            <v>886.29848023760178</v>
          </cell>
          <cell r="J28">
            <v>855.16770030353098</v>
          </cell>
          <cell r="K28">
            <v>767.99547095391995</v>
          </cell>
          <cell r="L28">
            <v>1064.7180368398058</v>
          </cell>
          <cell r="M28">
            <v>1287.5939922364273</v>
          </cell>
        </row>
        <row r="29">
          <cell r="B29">
            <v>1360.1650238998454</v>
          </cell>
          <cell r="C29">
            <v>1301.1891816055233</v>
          </cell>
          <cell r="D29">
            <v>1148.7373150315425</v>
          </cell>
          <cell r="E29">
            <v>734.43921953495055</v>
          </cell>
          <cell r="F29">
            <v>816.59006308194569</v>
          </cell>
          <cell r="G29">
            <v>861.94703340444914</v>
          </cell>
          <cell r="H29">
            <v>875.56625460982491</v>
          </cell>
          <cell r="I29">
            <v>905.12659951600392</v>
          </cell>
          <cell r="J29">
            <v>873.19628687815907</v>
          </cell>
          <cell r="K29">
            <v>784.02977844381223</v>
          </cell>
          <cell r="L29">
            <v>1087.8176098359791</v>
          </cell>
          <cell r="M29">
            <v>1315.5879022816173</v>
          </cell>
        </row>
        <row r="30">
          <cell r="B30">
            <v>1390.6985107869989</v>
          </cell>
          <cell r="C30">
            <v>1330.1182131098221</v>
          </cell>
          <cell r="D30">
            <v>1173.8502388092361</v>
          </cell>
          <cell r="E30">
            <v>749.6314412962123</v>
          </cell>
          <cell r="F30">
            <v>833.33463675965118</v>
          </cell>
          <cell r="G30">
            <v>879.5522718114446</v>
          </cell>
          <cell r="H30">
            <v>893.28476659943294</v>
          </cell>
          <cell r="I30">
            <v>923.34057058695862</v>
          </cell>
          <cell r="J30">
            <v>890.66706262066612</v>
          </cell>
          <cell r="K30">
            <v>799.59529022413744</v>
          </cell>
          <cell r="L30">
            <v>1110.1997767612404</v>
          </cell>
          <cell r="M30">
            <v>1342.797092082033</v>
          </cell>
        </row>
        <row r="31">
          <cell r="B31">
            <v>1420.8340949897972</v>
          </cell>
          <cell r="C31">
            <v>1358.6526053363764</v>
          </cell>
          <cell r="D31">
            <v>1198.6050523379774</v>
          </cell>
          <cell r="E31">
            <v>764.5720676752718</v>
          </cell>
          <cell r="F31">
            <v>849.79547030814115</v>
          </cell>
          <cell r="G31">
            <v>896.85234341121134</v>
          </cell>
          <cell r="H31">
            <v>910.68918484085486</v>
          </cell>
          <cell r="I31">
            <v>941.22442639550684</v>
          </cell>
          <cell r="J31">
            <v>907.81417135949357</v>
          </cell>
          <cell r="K31">
            <v>814.86610535367356</v>
          </cell>
          <cell r="L31">
            <v>1132.1447799136304</v>
          </cell>
          <cell r="M31">
            <v>1369.4557213722726</v>
          </cell>
        </row>
        <row r="32">
          <cell r="B32">
            <v>1450.759189211258</v>
          </cell>
          <cell r="C32">
            <v>1386.9663094797963</v>
          </cell>
          <cell r="D32">
            <v>1223.1495803834321</v>
          </cell>
          <cell r="E32">
            <v>779.33809428127643</v>
          </cell>
          <cell r="F32">
            <v>866.05523486465086</v>
          </cell>
          <cell r="G32">
            <v>913.93183841084237</v>
          </cell>
          <cell r="H32">
            <v>927.86227242468942</v>
          </cell>
          <cell r="I32">
            <v>958.86077925717427</v>
          </cell>
          <cell r="J32">
            <v>924.71446334988536</v>
          </cell>
          <cell r="K32">
            <v>829.90853862476661</v>
          </cell>
          <cell r="L32">
            <v>1153.7602065969452</v>
          </cell>
          <cell r="M32">
            <v>1395.6906654490524</v>
          </cell>
        </row>
        <row r="33">
          <cell r="B33">
            <v>1479.3938677238493</v>
          </cell>
          <cell r="C33">
            <v>1414.0651865425193</v>
          </cell>
          <cell r="D33">
            <v>1246.6463799208095</v>
          </cell>
          <cell r="E33">
            <v>793.58863046314286</v>
          </cell>
          <cell r="F33">
            <v>881.75212492734795</v>
          </cell>
          <cell r="G33">
            <v>930.42515009960152</v>
          </cell>
          <cell r="H33">
            <v>944.45112723408977</v>
          </cell>
          <cell r="I33">
            <v>975.9025107141947</v>
          </cell>
          <cell r="J33">
            <v>941.05016649826575</v>
          </cell>
          <cell r="K33">
            <v>844.45315295034334</v>
          </cell>
          <cell r="L33">
            <v>1174.4938628095485</v>
          </cell>
          <cell r="M33">
            <v>1420.8621023623439</v>
          </cell>
        </row>
        <row r="34">
          <cell r="B34">
            <v>1507.0073279988715</v>
          </cell>
          <cell r="C34">
            <v>1440.1993828128088</v>
          </cell>
          <cell r="D34">
            <v>1269.3082825858864</v>
          </cell>
          <cell r="E34">
            <v>807.42589118738977</v>
          </cell>
          <cell r="F34">
            <v>896.99459260178241</v>
          </cell>
          <cell r="G34">
            <v>946.4418323465942</v>
          </cell>
          <cell r="H34">
            <v>960.56145633814322</v>
          </cell>
          <cell r="I34">
            <v>992.45355219998146</v>
          </cell>
          <cell r="J34">
            <v>956.91638177066091</v>
          </cell>
          <cell r="K34">
            <v>858.58054251436863</v>
          </cell>
          <cell r="L34">
            <v>1194.5026337026793</v>
          </cell>
          <cell r="M34">
            <v>1445.1554372039516</v>
          </cell>
        </row>
        <row r="35">
          <cell r="B35">
            <v>1533.755679736696</v>
          </cell>
          <cell r="C35">
            <v>1465.5233671809294</v>
          </cell>
          <cell r="D35">
            <v>1291.2751560992108</v>
          </cell>
          <cell r="E35">
            <v>820.90800694938832</v>
          </cell>
          <cell r="F35">
            <v>911.84922232215956</v>
          </cell>
          <cell r="G35">
            <v>962.0545647043848</v>
          </cell>
          <cell r="H35">
            <v>976.26912685445654</v>
          </cell>
          <cell r="I35">
            <v>1008.5947196830973</v>
          </cell>
          <cell r="J35">
            <v>972.39337020865401</v>
          </cell>
          <cell r="K35">
            <v>872.36468685173804</v>
          </cell>
          <cell r="L35">
            <v>1213.9550602172626</v>
          </cell>
          <cell r="M35">
            <v>1468.7826685089144</v>
          </cell>
        </row>
        <row r="36">
          <cell r="B36">
            <v>1559.8227071476417</v>
          </cell>
          <cell r="C36">
            <v>1490.198443064538</v>
          </cell>
          <cell r="D36">
            <v>1312.6757405649485</v>
          </cell>
          <cell r="E36">
            <v>834.08230363151938</v>
          </cell>
          <cell r="F36">
            <v>926.36366213021756</v>
          </cell>
          <cell r="G36">
            <v>977.30864597331845</v>
          </cell>
          <cell r="H36">
            <v>991.61484590557689</v>
          </cell>
          <cell r="I36">
            <v>1024.3627825204023</v>
          </cell>
          <cell r="J36">
            <v>987.51147693183475</v>
          </cell>
          <cell r="K36">
            <v>885.82818504937541</v>
          </cell>
          <cell r="L36">
            <v>1232.8801334579239</v>
          </cell>
          <cell r="M36">
            <v>1491.7651472846958</v>
          </cell>
        </row>
        <row r="37">
          <cell r="B37">
            <v>1585.1573943360536</v>
          </cell>
          <cell r="C37">
            <v>1514.1788420064163</v>
          </cell>
          <cell r="D37">
            <v>1333.4725637993456</v>
          </cell>
          <cell r="E37">
            <v>846.93866096820352</v>
          </cell>
          <cell r="F37">
            <v>940.52775106499769</v>
          </cell>
          <cell r="G37">
            <v>992.19444898270217</v>
          </cell>
          <cell r="H37">
            <v>1006.5899991024428</v>
          </cell>
          <cell r="I37">
            <v>1039.7500026228836</v>
          </cell>
          <cell r="J37">
            <v>1002.2643632921991</v>
          </cell>
          <cell r="K37">
            <v>898.96636619927096</v>
          </cell>
          <cell r="L37">
            <v>1251.2616193144738</v>
          </cell>
          <cell r="M37">
            <v>1514.0859189678749</v>
          </cell>
        </row>
        <row r="38">
          <cell r="B38">
            <v>1609.665808258517</v>
          </cell>
          <cell r="C38">
            <v>1537.3792460120171</v>
          </cell>
          <cell r="D38">
            <v>1353.5948001677523</v>
          </cell>
          <cell r="E38">
            <v>859.45127783640987</v>
          </cell>
          <cell r="F38">
            <v>954.31461838786663</v>
          </cell>
          <cell r="G38">
            <v>1006.6853874338412</v>
          </cell>
          <cell r="H38">
            <v>1021.1695241096545</v>
          </cell>
          <cell r="I38">
            <v>1054.7323788287113</v>
          </cell>
          <cell r="J38">
            <v>1016.6307166391584</v>
          </cell>
          <cell r="K38">
            <v>911.761781967351</v>
          </cell>
          <cell r="L38">
            <v>1269.0609958222062</v>
          </cell>
          <cell r="M38">
            <v>1535.7021396202053</v>
          </cell>
        </row>
        <row r="39">
          <cell r="B39">
            <v>1633.4314945547571</v>
          </cell>
          <cell r="C39">
            <v>1559.8779248673359</v>
          </cell>
          <cell r="D39">
            <v>1373.1096151657443</v>
          </cell>
          <cell r="E39">
            <v>871.65106922815744</v>
          </cell>
          <cell r="F39">
            <v>967.75768161756639</v>
          </cell>
          <cell r="G39">
            <v>1020.8158987022089</v>
          </cell>
          <cell r="H39">
            <v>1035.3873697524723</v>
          </cell>
          <cell r="I39">
            <v>1069.3440710893244</v>
          </cell>
          <cell r="J39">
            <v>1030.6425870218618</v>
          </cell>
          <cell r="K39">
            <v>924.24234199508146</v>
          </cell>
          <cell r="L39">
            <v>1286.3322019830616</v>
          </cell>
          <cell r="M39">
            <v>1556.678421345563</v>
          </cell>
        </row>
        <row r="40">
          <cell r="B40">
            <v>1656.5045815348167</v>
          </cell>
          <cell r="C40">
            <v>1581.7222105879598</v>
          </cell>
          <cell r="D40">
            <v>1392.0579543836611</v>
          </cell>
          <cell r="E40">
            <v>883.556116140055</v>
          </cell>
          <cell r="F40">
            <v>980.87685204721402</v>
          </cell>
          <cell r="G40">
            <v>1034.6068991944239</v>
          </cell>
          <cell r="H40">
            <v>1049.2645683722676</v>
          </cell>
          <cell r="I40">
            <v>1083.606680489406</v>
          </cell>
          <cell r="J40">
            <v>1044.320675324421</v>
          </cell>
          <cell r="K40">
            <v>936.42647270627913</v>
          </cell>
          <cell r="L40">
            <v>1303.1106464921077</v>
          </cell>
          <cell r="M40">
            <v>1577.0576335099959</v>
          </cell>
        </row>
        <row r="41">
          <cell r="B41">
            <v>1678.9161208584783</v>
          </cell>
          <cell r="C41">
            <v>1602.9401505520345</v>
          </cell>
          <cell r="D41">
            <v>1410.4629574284045</v>
          </cell>
          <cell r="E41">
            <v>895.17729065893445</v>
          </cell>
          <cell r="F41">
            <v>993.68363980453012</v>
          </cell>
          <cell r="G41">
            <v>1048.0699879508356</v>
          </cell>
          <cell r="H41">
            <v>1062.8122820506896</v>
          </cell>
          <cell r="I41">
            <v>1097.5311494345415</v>
          </cell>
          <cell r="J41">
            <v>1057.674961602602</v>
          </cell>
          <cell r="K41">
            <v>948.32260096476557</v>
          </cell>
          <cell r="L41">
            <v>1319.4077742401569</v>
          </cell>
          <cell r="M41">
            <v>1596.8522022291331</v>
          </cell>
        </row>
        <row r="42">
          <cell r="B42">
            <v>1700.669672326429</v>
          </cell>
          <cell r="C42">
            <v>1623.535806050593</v>
          </cell>
          <cell r="D42">
            <v>1428.3287558173688</v>
          </cell>
          <cell r="E42">
            <v>906.51890318842857</v>
          </cell>
          <cell r="F42">
            <v>1006.1830501927127</v>
          </cell>
          <cell r="G42">
            <v>1061.2106980549929</v>
          </cell>
          <cell r="H42">
            <v>1076.0363547620259</v>
          </cell>
          <cell r="I42">
            <v>1111.1237714790868</v>
          </cell>
          <cell r="J42">
            <v>1070.7117602006829</v>
          </cell>
          <cell r="K42">
            <v>959.93660263420497</v>
          </cell>
          <cell r="L42">
            <v>1335.2318717995361</v>
          </cell>
          <cell r="M42">
            <v>1616.0729471380746</v>
          </cell>
        </row>
        <row r="43">
          <cell r="B43">
            <v>1721.7786193646964</v>
          </cell>
          <cell r="C43">
            <v>1643.5222077293538</v>
          </cell>
          <cell r="D43">
            <v>1445.6669697341549</v>
          </cell>
          <cell r="E43">
            <v>917.58786165262859</v>
          </cell>
          <cell r="F43">
            <v>1018.3828184425079</v>
          </cell>
          <cell r="G43">
            <v>1074.0372914362099</v>
          </cell>
          <cell r="H43">
            <v>1088.9452329859669</v>
          </cell>
          <cell r="I43">
            <v>1124.3933658732033</v>
          </cell>
          <cell r="J43">
            <v>1083.4396630015528</v>
          </cell>
          <cell r="K43">
            <v>971.27625199716226</v>
          </cell>
          <cell r="L43">
            <v>1350.5956394654245</v>
          </cell>
          <cell r="M43">
            <v>1634.7356872276532</v>
          </cell>
        </row>
        <row r="44">
          <cell r="B44">
            <v>1742.2756623638088</v>
          </cell>
          <cell r="C44">
            <v>1662.9300889892838</v>
          </cell>
          <cell r="D44">
            <v>1462.5040596096496</v>
          </cell>
          <cell r="E44">
            <v>928.39696160410745</v>
          </cell>
          <cell r="F44">
            <v>1030.2969088591497</v>
          </cell>
          <cell r="G44">
            <v>1086.5643027048407</v>
          </cell>
          <cell r="H44">
            <v>1101.5533947889194</v>
          </cell>
          <cell r="I44">
            <v>1137.3546595412117</v>
          </cell>
          <cell r="J44">
            <v>1095.8726447041267</v>
          </cell>
          <cell r="K44">
            <v>982.35386340719754</v>
          </cell>
          <cell r="L44">
            <v>1365.5209975397806</v>
          </cell>
          <cell r="M44">
            <v>1652.8668008159366</v>
          </cell>
        </row>
        <row r="45">
          <cell r="B45">
            <v>1762.1843495694379</v>
          </cell>
          <cell r="C45">
            <v>1681.7816266820437</v>
          </cell>
          <cell r="D45">
            <v>1478.8591589630948</v>
          </cell>
          <cell r="E45">
            <v>938.95573709633777</v>
          </cell>
          <cell r="F45">
            <v>1041.9357841694411</v>
          </cell>
          <cell r="G45">
            <v>1098.8026839735187</v>
          </cell>
          <cell r="H45">
            <v>1113.8718135006959</v>
          </cell>
          <cell r="I45">
            <v>1150.0188814625517</v>
          </cell>
          <cell r="J45">
            <v>1108.021426444277</v>
          </cell>
          <cell r="K45">
            <v>993.17894406604762</v>
          </cell>
          <cell r="L45">
            <v>1380.0241029585673</v>
          </cell>
          <cell r="M45">
            <v>1670.4857841395465</v>
          </cell>
        </row>
        <row r="46">
          <cell r="B46">
            <v>1781.5234448156698</v>
          </cell>
          <cell r="C46">
            <v>1700.0944697297878</v>
          </cell>
          <cell r="D46">
            <v>1494.7474751409352</v>
          </cell>
          <cell r="E46">
            <v>949.27218373302821</v>
          </cell>
          <cell r="F46">
            <v>1053.3082063582485</v>
          </cell>
          <cell r="G46">
            <v>1110.7615937819601</v>
          </cell>
          <cell r="H46">
            <v>1125.9096518290291</v>
          </cell>
          <cell r="I46">
            <v>1162.3953936377179</v>
          </cell>
          <cell r="J46">
            <v>1119.8949330031942</v>
          </cell>
          <cell r="K46">
            <v>1003.7593957154752</v>
          </cell>
          <cell r="L46">
            <v>1394.1176473411072</v>
          </cell>
          <cell r="M46">
            <v>1687.6079262718085</v>
          </cell>
        </row>
        <row r="47">
          <cell r="B47">
            <v>1800.3095001279642</v>
          </cell>
          <cell r="C47">
            <v>1717.8843953325925</v>
          </cell>
          <cell r="D47">
            <v>1510.1827876827331</v>
          </cell>
          <cell r="E47">
            <v>959.35377935092447</v>
          </cell>
          <cell r="F47">
            <v>1064.4224427447243</v>
          </cell>
          <cell r="G47">
            <v>1122.4497513797671</v>
          </cell>
          <cell r="H47">
            <v>1137.6757125943464</v>
          </cell>
          <cell r="I47">
            <v>1174.4932735942896</v>
          </cell>
          <cell r="J47">
            <v>1131.5018992126436</v>
          </cell>
          <cell r="K47">
            <v>1014.1030255752721</v>
          </cell>
          <cell r="L47">
            <v>1407.8145467178554</v>
          </cell>
          <cell r="M47">
            <v>1704.2490316184328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Res LM Total"/>
      <sheetName val="Breakdown"/>
      <sheetName val="Res LM Forecast"/>
      <sheetName val="Winter Impact Analysis"/>
      <sheetName val="Summer Impact Analysis"/>
      <sheetName val="Approvals"/>
    </sheetNames>
    <sheetDataSet>
      <sheetData sheetId="0" refreshError="1"/>
      <sheetData sheetId="1">
        <row r="79">
          <cell r="B79">
            <v>262.41809999999998</v>
          </cell>
          <cell r="C79">
            <v>217.89118397969062</v>
          </cell>
          <cell r="D79">
            <v>166.00403038530783</v>
          </cell>
          <cell r="E79">
            <v>63.012254743760792</v>
          </cell>
          <cell r="F79">
            <v>79.233799897086897</v>
          </cell>
          <cell r="G79">
            <v>99.188445515418067</v>
          </cell>
          <cell r="H79">
            <v>97.683722005459444</v>
          </cell>
          <cell r="I79">
            <v>102.26560000000001</v>
          </cell>
          <cell r="J79">
            <v>95.579877545571563</v>
          </cell>
          <cell r="K79">
            <v>51.700986967795345</v>
          </cell>
          <cell r="L79">
            <v>116.50423692565188</v>
          </cell>
          <cell r="M79">
            <v>141.92869803056138</v>
          </cell>
        </row>
        <row r="80">
          <cell r="B80">
            <v>266.44909999999999</v>
          </cell>
          <cell r="C80">
            <v>220.90908324719456</v>
          </cell>
          <cell r="D80">
            <v>167.95875039286312</v>
          </cell>
          <cell r="E80">
            <v>65.706857742671602</v>
          </cell>
          <cell r="F80">
            <v>82.622087392685998</v>
          </cell>
          <cell r="G80">
            <v>103.43005667232738</v>
          </cell>
          <cell r="H80">
            <v>101.86098643332446</v>
          </cell>
          <cell r="I80">
            <v>106.6388</v>
          </cell>
          <cell r="J80">
            <v>99.667174940612455</v>
          </cell>
          <cell r="K80">
            <v>53.911884436812898</v>
          </cell>
          <cell r="L80">
            <v>116.54270344693734</v>
          </cell>
          <cell r="M80">
            <v>141.96336447025934</v>
          </cell>
        </row>
        <row r="81">
          <cell r="B81">
            <v>258.45885179999999</v>
          </cell>
          <cell r="C81">
            <v>214.27751809249114</v>
          </cell>
          <cell r="D81">
            <v>162.83806807122713</v>
          </cell>
          <cell r="E81">
            <v>67.808440804668351</v>
          </cell>
          <cell r="F81">
            <v>85.264691001753704</v>
          </cell>
          <cell r="G81">
            <v>106.73818709693543</v>
          </cell>
          <cell r="H81">
            <v>105.11893135902629</v>
          </cell>
          <cell r="I81">
            <v>110.04955959999999</v>
          </cell>
          <cell r="J81">
            <v>102.85495250125246</v>
          </cell>
          <cell r="K81">
            <v>55.636214393610537</v>
          </cell>
          <cell r="L81">
            <v>113.00461466344289</v>
          </cell>
          <cell r="M81">
            <v>137.82519359372114</v>
          </cell>
        </row>
        <row r="82">
          <cell r="B82">
            <v>262.74219240000002</v>
          </cell>
          <cell r="C82">
            <v>217.82208324002389</v>
          </cell>
          <cell r="D82">
            <v>165.45748519978369</v>
          </cell>
          <cell r="E82">
            <v>68.816015049107193</v>
          </cell>
          <cell r="F82">
            <v>86.53164988760804</v>
          </cell>
          <cell r="G82">
            <v>108.32422339183816</v>
          </cell>
          <cell r="H82">
            <v>106.68090692701492</v>
          </cell>
          <cell r="I82">
            <v>111.6848</v>
          </cell>
          <cell r="J82">
            <v>104.38328731950581</v>
          </cell>
          <cell r="K82">
            <v>56.462919977987042</v>
          </cell>
          <cell r="L82">
            <v>114.83660696441451</v>
          </cell>
          <cell r="M82">
            <v>140.22164455848667</v>
          </cell>
        </row>
        <row r="83">
          <cell r="B83">
            <v>266.44909999999999</v>
          </cell>
          <cell r="C83">
            <v>220.88907018501365</v>
          </cell>
          <cell r="D83">
            <v>167.71756779097021</v>
          </cell>
          <cell r="E83">
            <v>69.852400817919033</v>
          </cell>
          <cell r="F83">
            <v>87.834837385915421</v>
          </cell>
          <cell r="G83">
            <v>109.95561229834176</v>
          </cell>
          <cell r="H83">
            <v>108.28754709157838</v>
          </cell>
          <cell r="I83">
            <v>113.36680000000001</v>
          </cell>
          <cell r="J83">
            <v>105.95532477913696</v>
          </cell>
          <cell r="K83">
            <v>57.313265158378421</v>
          </cell>
          <cell r="L83">
            <v>116.41854440554036</v>
          </cell>
          <cell r="M83">
            <v>142.30526692685342</v>
          </cell>
        </row>
        <row r="84">
          <cell r="B84">
            <v>270.077</v>
          </cell>
          <cell r="C84">
            <v>223.89088477869129</v>
          </cell>
          <cell r="D84">
            <v>169.93184462879478</v>
          </cell>
          <cell r="E84">
            <v>70.888786586730902</v>
          </cell>
          <cell r="F84">
            <v>89.138024884222773</v>
          </cell>
          <cell r="G84">
            <v>111.58700120484534</v>
          </cell>
          <cell r="H84">
            <v>109.89418725614186</v>
          </cell>
          <cell r="I84">
            <v>115.0488</v>
          </cell>
          <cell r="J84">
            <v>107.52736223876801</v>
          </cell>
          <cell r="K84">
            <v>58.163610338769764</v>
          </cell>
          <cell r="L84">
            <v>117.96798241110115</v>
          </cell>
          <cell r="M84">
            <v>144.34112744501027</v>
          </cell>
        </row>
        <row r="85">
          <cell r="B85">
            <v>273.70490000000001</v>
          </cell>
          <cell r="C85">
            <v>226.89252012346483</v>
          </cell>
          <cell r="D85">
            <v>172.14396129159749</v>
          </cell>
          <cell r="E85">
            <v>71.925172355542756</v>
          </cell>
          <cell r="F85">
            <v>90.441212382530097</v>
          </cell>
          <cell r="G85">
            <v>113.2183901113489</v>
          </cell>
          <cell r="H85">
            <v>111.50082742070539</v>
          </cell>
          <cell r="I85">
            <v>116.7308</v>
          </cell>
          <cell r="J85">
            <v>109.099399698399</v>
          </cell>
          <cell r="K85">
            <v>59.013955519161094</v>
          </cell>
          <cell r="L85">
            <v>119.51630837434273</v>
          </cell>
          <cell r="M85">
            <v>146.38005024519259</v>
          </cell>
        </row>
        <row r="86">
          <cell r="B86">
            <v>284.60126298342732</v>
          </cell>
          <cell r="C86">
            <v>235.9191480118439</v>
          </cell>
          <cell r="D86">
            <v>178.92354670311971</v>
          </cell>
          <cell r="E86">
            <v>79.317107732468372</v>
          </cell>
          <cell r="F86">
            <v>99.736088925025371</v>
          </cell>
          <cell r="G86">
            <v>124.85413592570211</v>
          </cell>
          <cell r="H86">
            <v>122.96005488968305</v>
          </cell>
          <cell r="I86">
            <v>128.72752523315592</v>
          </cell>
          <cell r="J86">
            <v>120.3118262497799</v>
          </cell>
          <cell r="K86">
            <v>65.0789718583368</v>
          </cell>
          <cell r="L86">
            <v>124.23645230563363</v>
          </cell>
          <cell r="M86">
            <v>152.31182940570076</v>
          </cell>
        </row>
        <row r="87">
          <cell r="B87">
            <v>288.2165</v>
          </cell>
          <cell r="C87">
            <v>238.90979263090708</v>
          </cell>
          <cell r="D87">
            <v>181.12175155319605</v>
          </cell>
          <cell r="E87">
            <v>80.423535659800024</v>
          </cell>
          <cell r="F87">
            <v>101.12734986865036</v>
          </cell>
          <cell r="G87">
            <v>126.59577914467827</v>
          </cell>
          <cell r="H87">
            <v>124.67527677012598</v>
          </cell>
          <cell r="I87">
            <v>130.5232</v>
          </cell>
          <cell r="J87">
            <v>121.99010686737387</v>
          </cell>
          <cell r="K87">
            <v>65.986785998370181</v>
          </cell>
          <cell r="L87">
            <v>125.77618707711025</v>
          </cell>
          <cell r="M87">
            <v>154.35241122334313</v>
          </cell>
        </row>
        <row r="88">
          <cell r="B88">
            <v>291.84440000000001</v>
          </cell>
          <cell r="C88">
            <v>241.91077644065518</v>
          </cell>
          <cell r="D88">
            <v>183.32601639845745</v>
          </cell>
          <cell r="E88">
            <v>81.459921428611892</v>
          </cell>
          <cell r="F88">
            <v>102.43053736695771</v>
          </cell>
          <cell r="G88">
            <v>128.22716805118185</v>
          </cell>
          <cell r="H88">
            <v>126.28191693468952</v>
          </cell>
          <cell r="I88">
            <v>132.20519999999999</v>
          </cell>
          <cell r="J88">
            <v>123.56214432700477</v>
          </cell>
          <cell r="K88">
            <v>66.837131178761439</v>
          </cell>
          <cell r="L88">
            <v>127.3204709820462</v>
          </cell>
          <cell r="M88">
            <v>156.40246482518793</v>
          </cell>
        </row>
        <row r="89">
          <cell r="B89">
            <v>295.47229999999996</v>
          </cell>
          <cell r="C89">
            <v>244.91161078721845</v>
          </cell>
          <cell r="D89">
            <v>185.52848002412156</v>
          </cell>
          <cell r="E89">
            <v>82.496307197423775</v>
          </cell>
          <cell r="F89">
            <v>103.73372486526502</v>
          </cell>
          <cell r="G89">
            <v>129.85855695768541</v>
          </cell>
          <cell r="H89">
            <v>127.88855709925309</v>
          </cell>
          <cell r="I89">
            <v>133.88720000000001</v>
          </cell>
          <cell r="J89">
            <v>125.13418178663551</v>
          </cell>
          <cell r="K89">
            <v>67.68747635915264</v>
          </cell>
          <cell r="L89">
            <v>128.86382763229298</v>
          </cell>
          <cell r="M89">
            <v>158.45507185087158</v>
          </cell>
        </row>
        <row r="90">
          <cell r="B90">
            <v>299.10020000000003</v>
          </cell>
          <cell r="C90">
            <v>247.91871105609292</v>
          </cell>
          <cell r="D90">
            <v>187.80645590436319</v>
          </cell>
          <cell r="E90">
            <v>83.532692966235643</v>
          </cell>
          <cell r="F90">
            <v>105.03691236357236</v>
          </cell>
          <cell r="G90">
            <v>131.489945864189</v>
          </cell>
          <cell r="H90">
            <v>129.49519726381658</v>
          </cell>
          <cell r="I90">
            <v>135.56920000000002</v>
          </cell>
          <cell r="J90">
            <v>126.70621924626661</v>
          </cell>
          <cell r="K90">
            <v>68.537821539543998</v>
          </cell>
          <cell r="L90">
            <v>130.44605743951075</v>
          </cell>
          <cell r="M90">
            <v>160.40063207823562</v>
          </cell>
        </row>
        <row r="91">
          <cell r="B91">
            <v>302.72809999999998</v>
          </cell>
          <cell r="C91">
            <v>250.92581132496736</v>
          </cell>
          <cell r="D91">
            <v>190.08443178460479</v>
          </cell>
          <cell r="E91">
            <v>84.569078735047498</v>
          </cell>
          <cell r="F91">
            <v>106.34009986187974</v>
          </cell>
          <cell r="G91">
            <v>133.12133477069256</v>
          </cell>
          <cell r="H91">
            <v>131.10183742838007</v>
          </cell>
          <cell r="I91">
            <v>137.25119999999998</v>
          </cell>
          <cell r="J91">
            <v>128.27825670589772</v>
          </cell>
          <cell r="K91">
            <v>69.388166719935356</v>
          </cell>
          <cell r="L91">
            <v>132.02828724672852</v>
          </cell>
          <cell r="M91">
            <v>162.34619230559969</v>
          </cell>
        </row>
        <row r="92">
          <cell r="B92">
            <v>306.35599999999999</v>
          </cell>
          <cell r="C92">
            <v>253.93291159384182</v>
          </cell>
          <cell r="D92">
            <v>192.36240766484636</v>
          </cell>
          <cell r="E92">
            <v>85.605464503859352</v>
          </cell>
          <cell r="F92">
            <v>107.64328736018707</v>
          </cell>
          <cell r="G92">
            <v>134.75272367719617</v>
          </cell>
          <cell r="H92">
            <v>132.70847759294355</v>
          </cell>
          <cell r="I92">
            <v>138.9332</v>
          </cell>
          <cell r="J92">
            <v>129.85029416552879</v>
          </cell>
          <cell r="K92">
            <v>70.238511900326728</v>
          </cell>
          <cell r="L92">
            <v>133.6105170539463</v>
          </cell>
          <cell r="M92">
            <v>164.2917525329637</v>
          </cell>
        </row>
        <row r="93">
          <cell r="B93">
            <v>309.98390000000001</v>
          </cell>
          <cell r="C93">
            <v>256.94001186271629</v>
          </cell>
          <cell r="D93">
            <v>194.64038354508801</v>
          </cell>
          <cell r="E93">
            <v>86.641850272671206</v>
          </cell>
          <cell r="F93">
            <v>108.94647485849441</v>
          </cell>
          <cell r="G93">
            <v>136.38411258369973</v>
          </cell>
          <cell r="H93">
            <v>134.31511775750704</v>
          </cell>
          <cell r="I93">
            <v>140.61520000000002</v>
          </cell>
          <cell r="J93">
            <v>131.4223316251599</v>
          </cell>
          <cell r="K93">
            <v>71.088857080718086</v>
          </cell>
          <cell r="L93">
            <v>135.19274686116412</v>
          </cell>
          <cell r="M93">
            <v>166.23731276032774</v>
          </cell>
        </row>
        <row r="94">
          <cell r="B94">
            <v>313.61179999999996</v>
          </cell>
          <cell r="C94">
            <v>259.9471121315907</v>
          </cell>
          <cell r="D94">
            <v>196.91835942532961</v>
          </cell>
          <cell r="E94">
            <v>87.678236041483075</v>
          </cell>
          <cell r="F94">
            <v>110.24966235680176</v>
          </cell>
          <cell r="G94">
            <v>138.01550149020329</v>
          </cell>
          <cell r="H94">
            <v>135.92175792207053</v>
          </cell>
          <cell r="I94">
            <v>142.2972</v>
          </cell>
          <cell r="J94">
            <v>132.994369084791</v>
          </cell>
          <cell r="K94">
            <v>71.939202261109457</v>
          </cell>
          <cell r="L94">
            <v>136.7749766683819</v>
          </cell>
          <cell r="M94">
            <v>168.18287298769178</v>
          </cell>
        </row>
        <row r="95">
          <cell r="B95">
            <v>317.23970000000003</v>
          </cell>
          <cell r="C95">
            <v>262.95421240046517</v>
          </cell>
          <cell r="D95">
            <v>199.19633530557118</v>
          </cell>
          <cell r="E95">
            <v>88.714621810294943</v>
          </cell>
          <cell r="F95">
            <v>111.55284985510912</v>
          </cell>
          <cell r="G95">
            <v>139.64689039670688</v>
          </cell>
          <cell r="H95">
            <v>137.52839808663398</v>
          </cell>
          <cell r="I95">
            <v>143.97919999999999</v>
          </cell>
          <cell r="J95">
            <v>134.56640654442211</v>
          </cell>
          <cell r="K95">
            <v>72.789547441500815</v>
          </cell>
          <cell r="L95">
            <v>138.3572064755997</v>
          </cell>
          <cell r="M95">
            <v>170.12843321505588</v>
          </cell>
        </row>
        <row r="96">
          <cell r="B96">
            <v>320.86759999999998</v>
          </cell>
          <cell r="C96">
            <v>265.96131266933963</v>
          </cell>
          <cell r="D96">
            <v>201.47431118581281</v>
          </cell>
          <cell r="E96">
            <v>89.751007579106798</v>
          </cell>
          <cell r="F96">
            <v>112.85603735341645</v>
          </cell>
          <cell r="G96">
            <v>141.27827930321047</v>
          </cell>
          <cell r="H96">
            <v>139.13503825119747</v>
          </cell>
          <cell r="I96">
            <v>145.66120000000001</v>
          </cell>
          <cell r="J96">
            <v>136.13844400405321</v>
          </cell>
          <cell r="K96">
            <v>73.639892621892173</v>
          </cell>
          <cell r="L96">
            <v>139.93943628281747</v>
          </cell>
          <cell r="M96">
            <v>172.07399344241992</v>
          </cell>
        </row>
        <row r="97">
          <cell r="B97">
            <v>324.49549999999999</v>
          </cell>
          <cell r="C97">
            <v>268.96841293821404</v>
          </cell>
          <cell r="D97">
            <v>203.75228706605441</v>
          </cell>
          <cell r="E97">
            <v>90.787393347918652</v>
          </cell>
          <cell r="F97">
            <v>114.15922485172379</v>
          </cell>
          <cell r="G97">
            <v>142.90966820971403</v>
          </cell>
          <cell r="H97">
            <v>140.74167841576096</v>
          </cell>
          <cell r="I97">
            <v>147.3432</v>
          </cell>
          <cell r="J97">
            <v>137.71048146368432</v>
          </cell>
          <cell r="K97">
            <v>74.490237802283531</v>
          </cell>
          <cell r="L97">
            <v>141.52166609003527</v>
          </cell>
          <cell r="M97">
            <v>174.01955366978399</v>
          </cell>
        </row>
        <row r="98">
          <cell r="B98">
            <v>328.1234</v>
          </cell>
          <cell r="C98">
            <v>271.97551320708851</v>
          </cell>
          <cell r="D98">
            <v>206.03026294629601</v>
          </cell>
          <cell r="E98">
            <v>91.82377911673052</v>
          </cell>
          <cell r="F98">
            <v>115.46241235003112</v>
          </cell>
          <cell r="G98">
            <v>144.54105711621759</v>
          </cell>
          <cell r="H98">
            <v>142.34831858032445</v>
          </cell>
          <cell r="I98">
            <v>149.02520000000001</v>
          </cell>
          <cell r="J98">
            <v>139.28251892331542</v>
          </cell>
          <cell r="K98">
            <v>75.340582982674903</v>
          </cell>
          <cell r="L98">
            <v>143.10389589725301</v>
          </cell>
          <cell r="M98">
            <v>175.96511389714803</v>
          </cell>
        </row>
        <row r="99">
          <cell r="B99">
            <v>331.75130000000001</v>
          </cell>
          <cell r="C99">
            <v>274.98261347596292</v>
          </cell>
          <cell r="D99">
            <v>208.3082388265376</v>
          </cell>
          <cell r="E99">
            <v>92.860164885542375</v>
          </cell>
          <cell r="F99">
            <v>116.76559984833847</v>
          </cell>
          <cell r="G99">
            <v>146.17244602272118</v>
          </cell>
          <cell r="H99">
            <v>143.9549587448879</v>
          </cell>
          <cell r="I99">
            <v>150.7072</v>
          </cell>
          <cell r="J99">
            <v>140.85455638294653</v>
          </cell>
          <cell r="K99">
            <v>76.19092816306626</v>
          </cell>
          <cell r="L99">
            <v>144.68612570447081</v>
          </cell>
          <cell r="M99">
            <v>177.9106741245121</v>
          </cell>
        </row>
        <row r="100">
          <cell r="B100">
            <v>335.37919999999997</v>
          </cell>
          <cell r="C100">
            <v>277.98971374483739</v>
          </cell>
          <cell r="D100">
            <v>210.5862147067792</v>
          </cell>
          <cell r="E100">
            <v>93.896550654354229</v>
          </cell>
          <cell r="F100">
            <v>118.06878734664582</v>
          </cell>
          <cell r="G100">
            <v>147.80383492922476</v>
          </cell>
          <cell r="H100">
            <v>145.56159890945142</v>
          </cell>
          <cell r="I100">
            <v>152.38920000000002</v>
          </cell>
          <cell r="J100">
            <v>142.4265938425776</v>
          </cell>
          <cell r="K100">
            <v>77.041273343457618</v>
          </cell>
          <cell r="L100">
            <v>146.26835551168861</v>
          </cell>
          <cell r="M100">
            <v>179.85623435187614</v>
          </cell>
        </row>
        <row r="101">
          <cell r="B101">
            <v>339.00709999999998</v>
          </cell>
          <cell r="C101">
            <v>280.99681401371186</v>
          </cell>
          <cell r="D101">
            <v>212.86419058702083</v>
          </cell>
          <cell r="E101">
            <v>94.932936423166097</v>
          </cell>
          <cell r="F101">
            <v>119.37197484495314</v>
          </cell>
          <cell r="G101">
            <v>149.43522383572832</v>
          </cell>
          <cell r="H101">
            <v>147.16823907401488</v>
          </cell>
          <cell r="I101">
            <v>154.0712</v>
          </cell>
          <cell r="J101">
            <v>143.99863130220871</v>
          </cell>
          <cell r="K101">
            <v>77.89161852384899</v>
          </cell>
          <cell r="L101">
            <v>147.85058531890638</v>
          </cell>
          <cell r="M101">
            <v>181.80179457924024</v>
          </cell>
        </row>
        <row r="102">
          <cell r="B102">
            <v>342.63499999999999</v>
          </cell>
          <cell r="C102">
            <v>284.00391428258632</v>
          </cell>
          <cell r="D102">
            <v>215.14216646726246</v>
          </cell>
          <cell r="E102">
            <v>95.969322191977966</v>
          </cell>
          <cell r="F102">
            <v>120.6751623432605</v>
          </cell>
          <cell r="G102">
            <v>151.06661274223188</v>
          </cell>
          <cell r="H102">
            <v>148.77487923857836</v>
          </cell>
          <cell r="I102">
            <v>155.75319999999999</v>
          </cell>
          <cell r="J102">
            <v>145.57066876183981</v>
          </cell>
          <cell r="K102">
            <v>78.741963704240348</v>
          </cell>
          <cell r="L102">
            <v>149.43281512612418</v>
          </cell>
          <cell r="M102">
            <v>183.74735480660428</v>
          </cell>
        </row>
        <row r="103">
          <cell r="B103">
            <v>346.06489999999957</v>
          </cell>
          <cell r="C103">
            <v>286.84689595578908</v>
          </cell>
          <cell r="D103">
            <v>217.29581719402969</v>
          </cell>
          <cell r="E103">
            <v>96.624611291342703</v>
          </cell>
          <cell r="F103">
            <v>121.49914563960432</v>
          </cell>
          <cell r="G103">
            <v>152.54835003176595</v>
          </cell>
          <cell r="H103">
            <v>150.08367769633855</v>
          </cell>
          <cell r="I103">
            <v>157.54359999999951</v>
          </cell>
          <cell r="J103">
            <v>147.03583119294535</v>
          </cell>
          <cell r="K103">
            <v>79.324863554581498</v>
          </cell>
          <cell r="L103">
            <v>150.77309259264848</v>
          </cell>
          <cell r="M103">
            <v>185.55834760467724</v>
          </cell>
        </row>
        <row r="104">
          <cell r="B104">
            <v>349.49480000000057</v>
          </cell>
          <cell r="C104">
            <v>289.68987762899229</v>
          </cell>
          <cell r="D104">
            <v>219.44946792079801</v>
          </cell>
          <cell r="E104">
            <v>98.279900390707539</v>
          </cell>
          <cell r="F104">
            <v>122.94881983410096</v>
          </cell>
          <cell r="G104">
            <v>153.57984949791739</v>
          </cell>
          <cell r="H104">
            <v>151.09952895377819</v>
          </cell>
          <cell r="I104">
            <v>158.60709999999972</v>
          </cell>
          <cell r="J104">
            <v>148.02980374842559</v>
          </cell>
          <cell r="K104">
            <v>80.862522353241502</v>
          </cell>
          <cell r="L104">
            <v>153.26896899932308</v>
          </cell>
          <cell r="M104">
            <v>187.39772493697274</v>
          </cell>
        </row>
        <row r="105">
          <cell r="B105">
            <v>352.92470000000066</v>
          </cell>
          <cell r="C105">
            <v>292.53285930219459</v>
          </cell>
          <cell r="D105">
            <v>221.60311864756542</v>
          </cell>
          <cell r="E105">
            <v>98.935189490072148</v>
          </cell>
          <cell r="F105">
            <v>123.77280313044457</v>
          </cell>
          <cell r="G105">
            <v>155.61134896406907</v>
          </cell>
          <cell r="H105">
            <v>153.1153802112176</v>
          </cell>
          <cell r="I105">
            <v>160.67059999999947</v>
          </cell>
          <cell r="J105">
            <v>150.02377630390561</v>
          </cell>
          <cell r="K105">
            <v>81.400181151901506</v>
          </cell>
          <cell r="L105">
            <v>154.76484540599813</v>
          </cell>
          <cell r="M105">
            <v>189.23710226926869</v>
          </cell>
        </row>
        <row r="106">
          <cell r="B106">
            <v>357.65460000000166</v>
          </cell>
          <cell r="C106">
            <v>295.37584097539781</v>
          </cell>
          <cell r="D106">
            <v>223.75676937433192</v>
          </cell>
          <cell r="E106">
            <v>99.590478589436984</v>
          </cell>
          <cell r="F106">
            <v>124.59678642678819</v>
          </cell>
          <cell r="G106">
            <v>156.64284843022051</v>
          </cell>
          <cell r="H106">
            <v>154.13123146865723</v>
          </cell>
          <cell r="I106">
            <v>161.73409999999967</v>
          </cell>
          <cell r="J106">
            <v>151.01774885938562</v>
          </cell>
          <cell r="K106">
            <v>81.937839950561738</v>
          </cell>
          <cell r="L106">
            <v>156.26072181267318</v>
          </cell>
          <cell r="M106">
            <v>192.07647960156464</v>
          </cell>
        </row>
        <row r="107">
          <cell r="B107">
            <v>361.08450000000175</v>
          </cell>
          <cell r="C107">
            <v>298.21882264860102</v>
          </cell>
          <cell r="D107">
            <v>225.91042010109933</v>
          </cell>
          <cell r="E107">
            <v>101.24576768880182</v>
          </cell>
          <cell r="F107">
            <v>126.4207697231318</v>
          </cell>
          <cell r="G107">
            <v>157.67434789637196</v>
          </cell>
          <cell r="H107">
            <v>155.14708272609687</v>
          </cell>
          <cell r="I107">
            <v>162.79759999999942</v>
          </cell>
          <cell r="J107">
            <v>152.01172141486586</v>
          </cell>
          <cell r="K107">
            <v>83.475498749221742</v>
          </cell>
          <cell r="L107">
            <v>157.75659821934778</v>
          </cell>
          <cell r="M107">
            <v>193.91585693386014</v>
          </cell>
        </row>
        <row r="108">
          <cell r="B108">
            <v>364.51440000000184</v>
          </cell>
          <cell r="C108">
            <v>302.56171473059294</v>
          </cell>
          <cell r="D108">
            <v>228.06407082786674</v>
          </cell>
          <cell r="E108">
            <v>101.90105678816643</v>
          </cell>
          <cell r="F108">
            <v>127.24475301947541</v>
          </cell>
          <cell r="G108">
            <v>159.70584736252363</v>
          </cell>
          <cell r="H108">
            <v>157.16293398353628</v>
          </cell>
          <cell r="I108">
            <v>164.86109999999962</v>
          </cell>
          <cell r="J108">
            <v>154.00569397034587</v>
          </cell>
          <cell r="K108">
            <v>84.013157547881747</v>
          </cell>
          <cell r="L108">
            <v>159.25247462602283</v>
          </cell>
          <cell r="M108">
            <v>195.75523426615609</v>
          </cell>
        </row>
        <row r="109">
          <cell r="B109">
            <v>367.94430000000284</v>
          </cell>
          <cell r="C109">
            <v>305.40469640379615</v>
          </cell>
          <cell r="D109">
            <v>230.21772155463324</v>
          </cell>
          <cell r="E109">
            <v>102.55634588753126</v>
          </cell>
          <cell r="F109">
            <v>128.06873631581902</v>
          </cell>
          <cell r="G109">
            <v>160.73734682867507</v>
          </cell>
          <cell r="H109">
            <v>158.17878524097591</v>
          </cell>
          <cell r="I109">
            <v>165.92459999999937</v>
          </cell>
          <cell r="J109">
            <v>154.99966652582589</v>
          </cell>
          <cell r="K109">
            <v>84.550816346541978</v>
          </cell>
          <cell r="L109">
            <v>160.74835103269788</v>
          </cell>
          <cell r="M109">
            <v>197.59461159845205</v>
          </cell>
        </row>
        <row r="116">
          <cell r="B116">
            <v>388.58190000000002</v>
          </cell>
          <cell r="C116">
            <v>322.64760039066567</v>
          </cell>
          <cell r="D116">
            <v>245.81445233686492</v>
          </cell>
          <cell r="E116">
            <v>124.30122546955904</v>
          </cell>
          <cell r="F116">
            <v>156.300682555609</v>
          </cell>
          <cell r="G116">
            <v>195.664246266443</v>
          </cell>
          <cell r="H116">
            <v>192.695951019093</v>
          </cell>
          <cell r="I116">
            <v>201.73439999999999</v>
          </cell>
          <cell r="J116">
            <v>188.54579886813698</v>
          </cell>
          <cell r="K116">
            <v>101.98803493409332</v>
          </cell>
          <cell r="L116">
            <v>172.51644510275764</v>
          </cell>
          <cell r="M116">
            <v>210.16432610876228</v>
          </cell>
        </row>
        <row r="117">
          <cell r="B117">
            <v>394.55090000000001</v>
          </cell>
          <cell r="C117">
            <v>327.11642716509658</v>
          </cell>
          <cell r="D117">
            <v>248.70895090424213</v>
          </cell>
          <cell r="E117">
            <v>129.61673840082304</v>
          </cell>
          <cell r="F117">
            <v>162.98459332278961</v>
          </cell>
          <cell r="G117">
            <v>204.03146732388956</v>
          </cell>
          <cell r="H117">
            <v>200.9362383981989</v>
          </cell>
          <cell r="I117">
            <v>210.3612</v>
          </cell>
          <cell r="J117">
            <v>196.60861263552445</v>
          </cell>
          <cell r="K117">
            <v>106.34936537535386</v>
          </cell>
          <cell r="L117">
            <v>172.57340532740486</v>
          </cell>
          <cell r="M117">
            <v>210.21565927139122</v>
          </cell>
        </row>
        <row r="118">
          <cell r="B118">
            <v>382.71914820000001</v>
          </cell>
          <cell r="C118">
            <v>317.29657789483491</v>
          </cell>
          <cell r="D118">
            <v>241.12637765248192</v>
          </cell>
          <cell r="E118">
            <v>133.76242960159905</v>
          </cell>
          <cell r="F118">
            <v>168.19752957420855</v>
          </cell>
          <cell r="G118">
            <v>210.55725611630899</v>
          </cell>
          <cell r="H118">
            <v>207.36302868564161</v>
          </cell>
          <cell r="I118">
            <v>217.0894404</v>
          </cell>
          <cell r="J118">
            <v>202.89698715764303</v>
          </cell>
          <cell r="K118">
            <v>109.75086763258011</v>
          </cell>
          <cell r="L118">
            <v>167.33429544184833</v>
          </cell>
          <cell r="M118">
            <v>204.08796342369672</v>
          </cell>
        </row>
        <row r="119">
          <cell r="B119">
            <v>389.06180759999995</v>
          </cell>
          <cell r="C119">
            <v>322.54527781188352</v>
          </cell>
          <cell r="D119">
            <v>245.00514243550208</v>
          </cell>
          <cell r="E119">
            <v>135.75002255228162</v>
          </cell>
          <cell r="F119">
            <v>170.69679805415188</v>
          </cell>
          <cell r="G119">
            <v>213.68595315940487</v>
          </cell>
          <cell r="H119">
            <v>210.44426229716734</v>
          </cell>
          <cell r="I119">
            <v>220.31519999999998</v>
          </cell>
          <cell r="J119">
            <v>205.9118592902023</v>
          </cell>
          <cell r="K119">
            <v>111.38166973065458</v>
          </cell>
          <cell r="L119">
            <v>170.04706201205414</v>
          </cell>
          <cell r="M119">
            <v>207.63656570816346</v>
          </cell>
        </row>
        <row r="120">
          <cell r="B120">
            <v>394.55090000000001</v>
          </cell>
          <cell r="C120">
            <v>327.0867923429289</v>
          </cell>
          <cell r="D120">
            <v>248.35181397774775</v>
          </cell>
          <cell r="E120">
            <v>137.79445060276774</v>
          </cell>
          <cell r="F120">
            <v>173.26753296460603</v>
          </cell>
          <cell r="G120">
            <v>216.90411510457668</v>
          </cell>
          <cell r="H120">
            <v>213.61360359682345</v>
          </cell>
          <cell r="I120">
            <v>223.63319999999999</v>
          </cell>
          <cell r="J120">
            <v>209.0129415084283</v>
          </cell>
          <cell r="K120">
            <v>113.05910451575481</v>
          </cell>
          <cell r="L120">
            <v>172.38955384685448</v>
          </cell>
          <cell r="M120">
            <v>210.72193954016075</v>
          </cell>
        </row>
        <row r="121">
          <cell r="B121">
            <v>399.923</v>
          </cell>
          <cell r="C121">
            <v>331.53180135053543</v>
          </cell>
          <cell r="D121">
            <v>251.63065755129648</v>
          </cell>
          <cell r="E121">
            <v>139.83887865325394</v>
          </cell>
          <cell r="F121">
            <v>175.83826787506013</v>
          </cell>
          <cell r="G121">
            <v>220.12227704974842</v>
          </cell>
          <cell r="H121">
            <v>216.78294489647959</v>
          </cell>
          <cell r="I121">
            <v>226.9512</v>
          </cell>
          <cell r="J121">
            <v>212.1140237266541</v>
          </cell>
          <cell r="K121">
            <v>114.73653930085497</v>
          </cell>
          <cell r="L121">
            <v>174.68392136240703</v>
          </cell>
          <cell r="M121">
            <v>213.73658886610423</v>
          </cell>
        </row>
        <row r="122">
          <cell r="B122">
            <v>405.29509999999999</v>
          </cell>
          <cell r="C122">
            <v>335.97654493102499</v>
          </cell>
          <cell r="D122">
            <v>254.90630239383415</v>
          </cell>
          <cell r="E122">
            <v>141.88330670374009</v>
          </cell>
          <cell r="F122">
            <v>178.40900278551416</v>
          </cell>
          <cell r="G122">
            <v>223.34043899492011</v>
          </cell>
          <cell r="H122">
            <v>219.95228619613582</v>
          </cell>
          <cell r="I122">
            <v>230.26919999999998</v>
          </cell>
          <cell r="J122">
            <v>215.21510594487984</v>
          </cell>
          <cell r="K122">
            <v>116.41397408595512</v>
          </cell>
          <cell r="L122">
            <v>176.97664219460475</v>
          </cell>
          <cell r="M122">
            <v>216.75577273965635</v>
          </cell>
        </row>
        <row r="123">
          <cell r="B123">
            <v>421.43015101664048</v>
          </cell>
          <cell r="C123">
            <v>349.34294082924742</v>
          </cell>
          <cell r="D123">
            <v>264.94533621208677</v>
          </cell>
          <cell r="E123">
            <v>156.46501989080264</v>
          </cell>
          <cell r="F123">
            <v>196.74455591749953</v>
          </cell>
          <cell r="G123">
            <v>246.29371165367397</v>
          </cell>
          <cell r="H123">
            <v>242.55734965753172</v>
          </cell>
          <cell r="I123">
            <v>253.9345592887106</v>
          </cell>
          <cell r="J123">
            <v>237.33331718000576</v>
          </cell>
          <cell r="K123">
            <v>128.37813830318757</v>
          </cell>
          <cell r="L123">
            <v>183.96610861134388</v>
          </cell>
          <cell r="M123">
            <v>225.53939710310789</v>
          </cell>
        </row>
        <row r="124">
          <cell r="B124">
            <v>426.7835</v>
          </cell>
          <cell r="C124">
            <v>353.77140962884755</v>
          </cell>
          <cell r="D124">
            <v>268.2003808040256</v>
          </cell>
          <cell r="E124">
            <v>158.64761671772681</v>
          </cell>
          <cell r="F124">
            <v>199.48902905123774</v>
          </cell>
          <cell r="G124">
            <v>249.72936694532845</v>
          </cell>
          <cell r="H124">
            <v>245.94088485331625</v>
          </cell>
          <cell r="I124">
            <v>257.47679999999997</v>
          </cell>
          <cell r="J124">
            <v>240.64398013433203</v>
          </cell>
          <cell r="K124">
            <v>130.16893932377661</v>
          </cell>
          <cell r="L124">
            <v>186.24610783013424</v>
          </cell>
          <cell r="M124">
            <v>228.56103760658274</v>
          </cell>
        </row>
        <row r="125">
          <cell r="B125">
            <v>432.15559999999999</v>
          </cell>
          <cell r="C125">
            <v>358.21518843321036</v>
          </cell>
          <cell r="D125">
            <v>271.46439887928369</v>
          </cell>
          <cell r="E125">
            <v>160.69204476821301</v>
          </cell>
          <cell r="F125">
            <v>202.05976396169183</v>
          </cell>
          <cell r="G125">
            <v>252.94752889050019</v>
          </cell>
          <cell r="H125">
            <v>249.11022615297253</v>
          </cell>
          <cell r="I125">
            <v>260.79480000000001</v>
          </cell>
          <cell r="J125">
            <v>243.74506235255757</v>
          </cell>
          <cell r="K125">
            <v>131.8463741088766</v>
          </cell>
          <cell r="L125">
            <v>188.53284328748046</v>
          </cell>
          <cell r="M125">
            <v>231.59670368185235</v>
          </cell>
        </row>
        <row r="126">
          <cell r="B126">
            <v>437.52769999999998</v>
          </cell>
          <cell r="C126">
            <v>362.65874591637487</v>
          </cell>
          <cell r="D126">
            <v>274.72574975539112</v>
          </cell>
          <cell r="E126">
            <v>162.73647281869921</v>
          </cell>
          <cell r="F126">
            <v>204.63049887214586</v>
          </cell>
          <cell r="G126">
            <v>256.16569083567191</v>
          </cell>
          <cell r="H126">
            <v>252.27956745262887</v>
          </cell>
          <cell r="I126">
            <v>264.11279999999999</v>
          </cell>
          <cell r="J126">
            <v>246.84614457078277</v>
          </cell>
          <cell r="K126">
            <v>133.52380889397648</v>
          </cell>
          <cell r="L126">
            <v>190.81820569019018</v>
          </cell>
          <cell r="M126">
            <v>234.63615080075724</v>
          </cell>
        </row>
        <row r="127">
          <cell r="B127">
            <v>442.89979999999997</v>
          </cell>
          <cell r="C127">
            <v>367.11158181439311</v>
          </cell>
          <cell r="D127">
            <v>278.09891721487071</v>
          </cell>
          <cell r="E127">
            <v>164.78090086918539</v>
          </cell>
          <cell r="F127">
            <v>207.20123378259993</v>
          </cell>
          <cell r="G127">
            <v>259.38385278084365</v>
          </cell>
          <cell r="H127">
            <v>255.44890875228501</v>
          </cell>
          <cell r="I127">
            <v>267.43079999999998</v>
          </cell>
          <cell r="J127">
            <v>249.94722678900868</v>
          </cell>
          <cell r="K127">
            <v>135.20124367907667</v>
          </cell>
          <cell r="L127">
            <v>193.16113045309839</v>
          </cell>
          <cell r="M127">
            <v>237.51708580376791</v>
          </cell>
        </row>
        <row r="128">
          <cell r="B128">
            <v>448.27190000000002</v>
          </cell>
          <cell r="C128">
            <v>371.56441771241134</v>
          </cell>
          <cell r="D128">
            <v>281.47208467435024</v>
          </cell>
          <cell r="E128">
            <v>166.82532891967156</v>
          </cell>
          <cell r="F128">
            <v>209.77196869305405</v>
          </cell>
          <cell r="G128">
            <v>262.6020147260154</v>
          </cell>
          <cell r="H128">
            <v>258.61825005194117</v>
          </cell>
          <cell r="I128">
            <v>270.74879999999996</v>
          </cell>
          <cell r="J128">
            <v>253.04830900723459</v>
          </cell>
          <cell r="K128">
            <v>136.87867846417689</v>
          </cell>
          <cell r="L128">
            <v>195.50405521600661</v>
          </cell>
          <cell r="M128">
            <v>240.39802080677856</v>
          </cell>
        </row>
        <row r="129">
          <cell r="B129">
            <v>453.64400000000001</v>
          </cell>
          <cell r="C129">
            <v>376.01725361042963</v>
          </cell>
          <cell r="D129">
            <v>284.84525213382983</v>
          </cell>
          <cell r="E129">
            <v>168.86975697015774</v>
          </cell>
          <cell r="F129">
            <v>212.34270360350811</v>
          </cell>
          <cell r="G129">
            <v>265.82017667118714</v>
          </cell>
          <cell r="H129">
            <v>261.78759135159731</v>
          </cell>
          <cell r="I129">
            <v>274.0668</v>
          </cell>
          <cell r="J129">
            <v>256.14939122546053</v>
          </cell>
          <cell r="K129">
            <v>138.5561132492771</v>
          </cell>
          <cell r="L129">
            <v>197.84697997891479</v>
          </cell>
          <cell r="M129">
            <v>243.27895580978921</v>
          </cell>
        </row>
        <row r="130">
          <cell r="B130">
            <v>459.01609999999999</v>
          </cell>
          <cell r="C130">
            <v>380.47008950844787</v>
          </cell>
          <cell r="D130">
            <v>288.21841959330942</v>
          </cell>
          <cell r="E130">
            <v>170.91418502064391</v>
          </cell>
          <cell r="F130">
            <v>214.91343851396223</v>
          </cell>
          <cell r="G130">
            <v>269.03833861635894</v>
          </cell>
          <cell r="H130">
            <v>264.95693265125345</v>
          </cell>
          <cell r="I130">
            <v>277.38479999999998</v>
          </cell>
          <cell r="J130">
            <v>259.25047344368642</v>
          </cell>
          <cell r="K130">
            <v>140.23354803437729</v>
          </cell>
          <cell r="L130">
            <v>200.18990474182303</v>
          </cell>
          <cell r="M130">
            <v>246.15989081279989</v>
          </cell>
        </row>
        <row r="131">
          <cell r="B131">
            <v>464.38819999999998</v>
          </cell>
          <cell r="C131">
            <v>384.92292540646611</v>
          </cell>
          <cell r="D131">
            <v>291.59158705278901</v>
          </cell>
          <cell r="E131">
            <v>172.95861307113009</v>
          </cell>
          <cell r="F131">
            <v>217.48417342441633</v>
          </cell>
          <cell r="G131">
            <v>272.25650056153063</v>
          </cell>
          <cell r="H131">
            <v>268.12627395090959</v>
          </cell>
          <cell r="I131">
            <v>280.70279999999997</v>
          </cell>
          <cell r="J131">
            <v>262.35155566191236</v>
          </cell>
          <cell r="K131">
            <v>141.91098281947748</v>
          </cell>
          <cell r="L131">
            <v>202.53282950473124</v>
          </cell>
          <cell r="M131">
            <v>249.04082581581056</v>
          </cell>
        </row>
        <row r="132">
          <cell r="B132">
            <v>469.76029999999997</v>
          </cell>
          <cell r="C132">
            <v>389.3757613044844</v>
          </cell>
          <cell r="D132">
            <v>294.96475451226854</v>
          </cell>
          <cell r="E132">
            <v>175.00304112161626</v>
          </cell>
          <cell r="F132">
            <v>220.05490833487039</v>
          </cell>
          <cell r="G132">
            <v>275.47466250670237</v>
          </cell>
          <cell r="H132">
            <v>271.29561525056573</v>
          </cell>
          <cell r="I132">
            <v>284.02080000000001</v>
          </cell>
          <cell r="J132">
            <v>265.45263788013824</v>
          </cell>
          <cell r="K132">
            <v>143.5884176045777</v>
          </cell>
          <cell r="L132">
            <v>204.87575426763942</v>
          </cell>
          <cell r="M132">
            <v>251.92176081882124</v>
          </cell>
        </row>
        <row r="133">
          <cell r="B133">
            <v>475.13239999999996</v>
          </cell>
          <cell r="C133">
            <v>393.82859720250264</v>
          </cell>
          <cell r="D133">
            <v>298.33792197174807</v>
          </cell>
          <cell r="E133">
            <v>177.04746917210244</v>
          </cell>
          <cell r="F133">
            <v>222.62564324532445</v>
          </cell>
          <cell r="G133">
            <v>278.69282445187412</v>
          </cell>
          <cell r="H133">
            <v>274.46495655022187</v>
          </cell>
          <cell r="I133">
            <v>287.33879999999999</v>
          </cell>
          <cell r="J133">
            <v>268.55372009836418</v>
          </cell>
          <cell r="K133">
            <v>145.26585238967789</v>
          </cell>
          <cell r="L133">
            <v>207.21867903054763</v>
          </cell>
          <cell r="M133">
            <v>254.80269582183195</v>
          </cell>
        </row>
        <row r="134">
          <cell r="B134">
            <v>480.50450000000001</v>
          </cell>
          <cell r="C134">
            <v>398.28143310052087</v>
          </cell>
          <cell r="D134">
            <v>301.71108943122766</v>
          </cell>
          <cell r="E134">
            <v>179.09189722258864</v>
          </cell>
          <cell r="F134">
            <v>225.19637815577855</v>
          </cell>
          <cell r="G134">
            <v>281.91098639704586</v>
          </cell>
          <cell r="H134">
            <v>277.63429784987801</v>
          </cell>
          <cell r="I134">
            <v>290.65679999999998</v>
          </cell>
          <cell r="J134">
            <v>271.65480231659006</v>
          </cell>
          <cell r="K134">
            <v>146.94328717477811</v>
          </cell>
          <cell r="L134">
            <v>209.56160379345582</v>
          </cell>
          <cell r="M134">
            <v>257.68363082484262</v>
          </cell>
        </row>
        <row r="135">
          <cell r="B135">
            <v>485.8766</v>
          </cell>
          <cell r="C135">
            <v>402.73426899853916</v>
          </cell>
          <cell r="D135">
            <v>305.08425689070719</v>
          </cell>
          <cell r="E135">
            <v>181.13632527307482</v>
          </cell>
          <cell r="F135">
            <v>227.76711306623261</v>
          </cell>
          <cell r="G135">
            <v>285.1291483422176</v>
          </cell>
          <cell r="H135">
            <v>280.80363914953415</v>
          </cell>
          <cell r="I135">
            <v>293.97479999999996</v>
          </cell>
          <cell r="J135">
            <v>274.755884534816</v>
          </cell>
          <cell r="K135">
            <v>148.6207219598783</v>
          </cell>
          <cell r="L135">
            <v>211.90452855636403</v>
          </cell>
          <cell r="M135">
            <v>260.5645658278533</v>
          </cell>
        </row>
        <row r="136">
          <cell r="B136">
            <v>491.24869999999999</v>
          </cell>
          <cell r="C136">
            <v>407.1871048965574</v>
          </cell>
          <cell r="D136">
            <v>308.45742435018678</v>
          </cell>
          <cell r="E136">
            <v>183.18075332356099</v>
          </cell>
          <cell r="F136">
            <v>230.3378479766867</v>
          </cell>
          <cell r="G136">
            <v>288.34731028738929</v>
          </cell>
          <cell r="H136">
            <v>283.97298044919029</v>
          </cell>
          <cell r="I136">
            <v>297.2928</v>
          </cell>
          <cell r="J136">
            <v>277.85696675304195</v>
          </cell>
          <cell r="K136">
            <v>150.29815674497848</v>
          </cell>
          <cell r="L136">
            <v>214.24745331927221</v>
          </cell>
          <cell r="M136">
            <v>263.44550083086398</v>
          </cell>
        </row>
        <row r="137">
          <cell r="B137">
            <v>496.62079999999997</v>
          </cell>
          <cell r="C137">
            <v>411.63994079457564</v>
          </cell>
          <cell r="D137">
            <v>311.83059180966637</v>
          </cell>
          <cell r="E137">
            <v>185.22518137404717</v>
          </cell>
          <cell r="F137">
            <v>232.90858288714077</v>
          </cell>
          <cell r="G137">
            <v>291.56547223256104</v>
          </cell>
          <cell r="H137">
            <v>287.14232174884643</v>
          </cell>
          <cell r="I137">
            <v>300.61079999999998</v>
          </cell>
          <cell r="J137">
            <v>280.95804897126783</v>
          </cell>
          <cell r="K137">
            <v>151.9755915300787</v>
          </cell>
          <cell r="L137">
            <v>216.59037808218042</v>
          </cell>
          <cell r="M137">
            <v>266.32643583387465</v>
          </cell>
        </row>
        <row r="138">
          <cell r="B138">
            <v>501.99289999999996</v>
          </cell>
          <cell r="C138">
            <v>416.09277669259393</v>
          </cell>
          <cell r="D138">
            <v>315.20375926914596</v>
          </cell>
          <cell r="E138">
            <v>187.26960942453337</v>
          </cell>
          <cell r="F138">
            <v>235.47931779759483</v>
          </cell>
          <cell r="G138">
            <v>294.78363417773278</v>
          </cell>
          <cell r="H138">
            <v>290.31166304850262</v>
          </cell>
          <cell r="I138">
            <v>303.92879999999997</v>
          </cell>
          <cell r="J138">
            <v>284.05913118949377</v>
          </cell>
          <cell r="K138">
            <v>153.65302631517889</v>
          </cell>
          <cell r="L138">
            <v>218.93330284508863</v>
          </cell>
          <cell r="M138">
            <v>269.20737083688539</v>
          </cell>
        </row>
        <row r="139">
          <cell r="B139">
            <v>507.36500000000001</v>
          </cell>
          <cell r="C139">
            <v>420.54561259061217</v>
          </cell>
          <cell r="D139">
            <v>318.57692672862555</v>
          </cell>
          <cell r="E139">
            <v>189.31403747501955</v>
          </cell>
          <cell r="F139">
            <v>238.05005270804892</v>
          </cell>
          <cell r="G139">
            <v>298.00179612290452</v>
          </cell>
          <cell r="H139">
            <v>293.48100434815876</v>
          </cell>
          <cell r="I139">
            <v>307.24680000000001</v>
          </cell>
          <cell r="J139">
            <v>287.16021340771965</v>
          </cell>
          <cell r="K139">
            <v>155.33046110027908</v>
          </cell>
          <cell r="L139">
            <v>221.27622760799682</v>
          </cell>
          <cell r="M139">
            <v>272.08830583989607</v>
          </cell>
        </row>
        <row r="140">
          <cell r="B140">
            <v>512.73710000000028</v>
          </cell>
          <cell r="C140">
            <v>424.99844848862995</v>
          </cell>
          <cell r="D140">
            <v>321.95009418810514</v>
          </cell>
          <cell r="E140">
            <v>191.35846552550584</v>
          </cell>
          <cell r="F140">
            <v>240.62078761850353</v>
          </cell>
          <cell r="G140">
            <v>301.21995806807536</v>
          </cell>
          <cell r="H140">
            <v>296.6503456478149</v>
          </cell>
          <cell r="I140">
            <v>310.5648000000001</v>
          </cell>
          <cell r="J140">
            <v>290.26129562594542</v>
          </cell>
          <cell r="K140">
            <v>157.00789588537918</v>
          </cell>
          <cell r="L140">
            <v>223.61915237090398</v>
          </cell>
          <cell r="M140">
            <v>274.9692408429064</v>
          </cell>
        </row>
        <row r="141">
          <cell r="B141">
            <v>518.10919999999896</v>
          </cell>
          <cell r="C141">
            <v>429.45128438664869</v>
          </cell>
          <cell r="D141">
            <v>325.32326164758433</v>
          </cell>
          <cell r="E141">
            <v>193.40289357599204</v>
          </cell>
          <cell r="F141">
            <v>243.19152252895765</v>
          </cell>
          <cell r="G141">
            <v>304.4381200132475</v>
          </cell>
          <cell r="H141">
            <v>299.81968694747138</v>
          </cell>
          <cell r="I141">
            <v>313.88280000000032</v>
          </cell>
          <cell r="J141">
            <v>293.36237784417153</v>
          </cell>
          <cell r="K141">
            <v>158.68533067047974</v>
          </cell>
          <cell r="L141">
            <v>225.96207713381227</v>
          </cell>
          <cell r="M141">
            <v>277.85017584591697</v>
          </cell>
        </row>
        <row r="142">
          <cell r="B142">
            <v>523.48129999999765</v>
          </cell>
          <cell r="C142">
            <v>433.90412028466926</v>
          </cell>
          <cell r="D142">
            <v>328.69642910706352</v>
          </cell>
          <cell r="E142">
            <v>195.44732162647824</v>
          </cell>
          <cell r="F142">
            <v>245.76225743941177</v>
          </cell>
          <cell r="G142">
            <v>307.65628195841873</v>
          </cell>
          <cell r="H142">
            <v>302.98902824712695</v>
          </cell>
          <cell r="I142">
            <v>317.20080000000053</v>
          </cell>
          <cell r="J142">
            <v>296.46346006239764</v>
          </cell>
          <cell r="K142">
            <v>160.36276545557939</v>
          </cell>
          <cell r="L142">
            <v>228.30500189672057</v>
          </cell>
          <cell r="M142">
            <v>280.73111084892753</v>
          </cell>
        </row>
        <row r="143">
          <cell r="B143">
            <v>528.85339999999815</v>
          </cell>
          <cell r="C143">
            <v>438.35695618268619</v>
          </cell>
          <cell r="D143">
            <v>332.06959656654362</v>
          </cell>
          <cell r="E143">
            <v>197.49174967696445</v>
          </cell>
          <cell r="F143">
            <v>248.33299234986589</v>
          </cell>
          <cell r="G143">
            <v>310.87444390358996</v>
          </cell>
          <cell r="H143">
            <v>306.15836954678343</v>
          </cell>
          <cell r="I143">
            <v>320.51880000000074</v>
          </cell>
          <cell r="J143">
            <v>299.56454228062375</v>
          </cell>
          <cell r="K143">
            <v>162.0402002406795</v>
          </cell>
          <cell r="L143">
            <v>230.64792665962796</v>
          </cell>
          <cell r="M143">
            <v>283.61204585193809</v>
          </cell>
        </row>
        <row r="144">
          <cell r="B144">
            <v>534.22549999999683</v>
          </cell>
          <cell r="C144">
            <v>442.80979208070494</v>
          </cell>
          <cell r="D144">
            <v>335.44276402602281</v>
          </cell>
          <cell r="E144">
            <v>199.53617772745065</v>
          </cell>
          <cell r="F144">
            <v>250.90372726032001</v>
          </cell>
          <cell r="G144">
            <v>314.0926058487621</v>
          </cell>
          <cell r="H144">
            <v>309.32771084643991</v>
          </cell>
          <cell r="I144">
            <v>323.83680000000095</v>
          </cell>
          <cell r="J144">
            <v>302.66562449884987</v>
          </cell>
          <cell r="K144">
            <v>163.7176350257796</v>
          </cell>
          <cell r="L144">
            <v>232.99085142253625</v>
          </cell>
          <cell r="M144">
            <v>286.49298085494866</v>
          </cell>
        </row>
        <row r="145">
          <cell r="B145">
            <v>539.59759999999551</v>
          </cell>
          <cell r="C145">
            <v>447.26262797872369</v>
          </cell>
          <cell r="D145">
            <v>338.81593148550201</v>
          </cell>
          <cell r="E145">
            <v>201.58060577793685</v>
          </cell>
          <cell r="F145">
            <v>253.47446217077413</v>
          </cell>
          <cell r="G145">
            <v>317.31076779393334</v>
          </cell>
          <cell r="H145">
            <v>312.49705214609548</v>
          </cell>
          <cell r="I145">
            <v>327.15480000000116</v>
          </cell>
          <cell r="J145">
            <v>305.76670671707598</v>
          </cell>
          <cell r="K145">
            <v>165.3950698108797</v>
          </cell>
          <cell r="L145">
            <v>235.33377618544455</v>
          </cell>
          <cell r="M145">
            <v>289.37391585795922</v>
          </cell>
        </row>
        <row r="146">
          <cell r="B146">
            <v>544.96969999999601</v>
          </cell>
          <cell r="C146">
            <v>451.71546387674243</v>
          </cell>
          <cell r="D146">
            <v>342.18909894498211</v>
          </cell>
          <cell r="E146">
            <v>203.62503382842306</v>
          </cell>
          <cell r="F146">
            <v>256.04519708122825</v>
          </cell>
          <cell r="G146">
            <v>320.52892973910457</v>
          </cell>
          <cell r="H146">
            <v>315.66639344575196</v>
          </cell>
          <cell r="I146">
            <v>330.47280000000137</v>
          </cell>
          <cell r="J146">
            <v>308.86778893530209</v>
          </cell>
          <cell r="K146">
            <v>167.07250459597981</v>
          </cell>
          <cell r="L146">
            <v>237.67670094835194</v>
          </cell>
          <cell r="M146">
            <v>292.25485086096978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6.2949128098225211</v>
          </cell>
          <cell r="F153">
            <v>7.3812657438403431</v>
          </cell>
          <cell r="G153">
            <v>7.7462539554946748</v>
          </cell>
          <cell r="H153">
            <v>7.9516610404094346</v>
          </cell>
          <cell r="I153">
            <v>8.0119943737427679</v>
          </cell>
          <cell r="J153">
            <v>8.4384777151556136</v>
          </cell>
          <cell r="K153">
            <v>6.6238940239625874</v>
          </cell>
          <cell r="L153">
            <v>0</v>
          </cell>
          <cell r="M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2</v>
          </cell>
          <cell r="F154">
            <v>2</v>
          </cell>
          <cell r="G154">
            <v>2</v>
          </cell>
          <cell r="H154">
            <v>2</v>
          </cell>
          <cell r="I154">
            <v>2</v>
          </cell>
          <cell r="J154">
            <v>2</v>
          </cell>
          <cell r="K154">
            <v>2</v>
          </cell>
          <cell r="L154">
            <v>0</v>
          </cell>
          <cell r="M154">
            <v>0</v>
          </cell>
        </row>
        <row r="155">
          <cell r="B155">
            <v>0.18633333333333332</v>
          </cell>
          <cell r="C155">
            <v>0.37266666666666665</v>
          </cell>
          <cell r="D155">
            <v>0</v>
          </cell>
          <cell r="E155">
            <v>2</v>
          </cell>
          <cell r="F155">
            <v>2</v>
          </cell>
          <cell r="G155">
            <v>2</v>
          </cell>
          <cell r="H155">
            <v>2</v>
          </cell>
          <cell r="I155">
            <v>2</v>
          </cell>
          <cell r="J155">
            <v>2</v>
          </cell>
          <cell r="K155">
            <v>2</v>
          </cell>
          <cell r="L155">
            <v>0</v>
          </cell>
          <cell r="M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2</v>
          </cell>
          <cell r="F156">
            <v>2</v>
          </cell>
          <cell r="G156">
            <v>2</v>
          </cell>
          <cell r="H156">
            <v>2</v>
          </cell>
          <cell r="I156">
            <v>2</v>
          </cell>
          <cell r="J156">
            <v>2</v>
          </cell>
          <cell r="K156">
            <v>2</v>
          </cell>
          <cell r="L156">
            <v>0</v>
          </cell>
          <cell r="M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2</v>
          </cell>
          <cell r="F157">
            <v>2</v>
          </cell>
          <cell r="G157">
            <v>2</v>
          </cell>
          <cell r="H157">
            <v>2</v>
          </cell>
          <cell r="I157">
            <v>2</v>
          </cell>
          <cell r="J157">
            <v>2</v>
          </cell>
          <cell r="K157">
            <v>2</v>
          </cell>
          <cell r="L157">
            <v>0</v>
          </cell>
          <cell r="M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2</v>
          </cell>
          <cell r="J158">
            <v>2</v>
          </cell>
          <cell r="K158">
            <v>2</v>
          </cell>
          <cell r="L158">
            <v>0</v>
          </cell>
          <cell r="M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2</v>
          </cell>
          <cell r="F159">
            <v>2</v>
          </cell>
          <cell r="G159">
            <v>2</v>
          </cell>
          <cell r="H159">
            <v>2</v>
          </cell>
          <cell r="I159">
            <v>2</v>
          </cell>
          <cell r="J159">
            <v>2</v>
          </cell>
          <cell r="K159">
            <v>2</v>
          </cell>
          <cell r="L159">
            <v>0</v>
          </cell>
          <cell r="M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2</v>
          </cell>
          <cell r="F160">
            <v>2</v>
          </cell>
          <cell r="G160">
            <v>2</v>
          </cell>
          <cell r="H160">
            <v>2</v>
          </cell>
          <cell r="I160">
            <v>2</v>
          </cell>
          <cell r="J160">
            <v>2</v>
          </cell>
          <cell r="K160">
            <v>2</v>
          </cell>
          <cell r="L160">
            <v>0</v>
          </cell>
          <cell r="M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2</v>
          </cell>
          <cell r="F161">
            <v>2</v>
          </cell>
          <cell r="G161">
            <v>2</v>
          </cell>
          <cell r="H161">
            <v>2</v>
          </cell>
          <cell r="I161">
            <v>2</v>
          </cell>
          <cell r="J161">
            <v>2</v>
          </cell>
          <cell r="K161">
            <v>2</v>
          </cell>
          <cell r="L161">
            <v>0</v>
          </cell>
          <cell r="M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2</v>
          </cell>
          <cell r="F162">
            <v>2</v>
          </cell>
          <cell r="G162">
            <v>2</v>
          </cell>
          <cell r="H162">
            <v>2</v>
          </cell>
          <cell r="I162">
            <v>2</v>
          </cell>
          <cell r="J162">
            <v>2</v>
          </cell>
          <cell r="K162">
            <v>2</v>
          </cell>
          <cell r="L162">
            <v>0</v>
          </cell>
          <cell r="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2</v>
          </cell>
          <cell r="F163">
            <v>2</v>
          </cell>
          <cell r="G163">
            <v>2</v>
          </cell>
          <cell r="H163">
            <v>2</v>
          </cell>
          <cell r="I163">
            <v>2</v>
          </cell>
          <cell r="J163">
            <v>2</v>
          </cell>
          <cell r="K163">
            <v>2</v>
          </cell>
          <cell r="L163">
            <v>0</v>
          </cell>
          <cell r="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2</v>
          </cell>
          <cell r="F164">
            <v>2</v>
          </cell>
          <cell r="G164">
            <v>2</v>
          </cell>
          <cell r="H164">
            <v>2</v>
          </cell>
          <cell r="I164">
            <v>2</v>
          </cell>
          <cell r="J164">
            <v>2</v>
          </cell>
          <cell r="K164">
            <v>2</v>
          </cell>
          <cell r="L164">
            <v>0</v>
          </cell>
          <cell r="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2</v>
          </cell>
          <cell r="F165">
            <v>2</v>
          </cell>
          <cell r="G165">
            <v>2</v>
          </cell>
          <cell r="H165">
            <v>2</v>
          </cell>
          <cell r="I165">
            <v>2</v>
          </cell>
          <cell r="J165">
            <v>2</v>
          </cell>
          <cell r="K165">
            <v>2</v>
          </cell>
          <cell r="L165">
            <v>0</v>
          </cell>
          <cell r="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2</v>
          </cell>
          <cell r="F166">
            <v>2</v>
          </cell>
          <cell r="G166">
            <v>2</v>
          </cell>
          <cell r="H166">
            <v>2</v>
          </cell>
          <cell r="I166">
            <v>2</v>
          </cell>
          <cell r="J166">
            <v>2</v>
          </cell>
          <cell r="K166">
            <v>2</v>
          </cell>
          <cell r="L166">
            <v>0</v>
          </cell>
          <cell r="M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2</v>
          </cell>
          <cell r="F167">
            <v>2</v>
          </cell>
          <cell r="G167">
            <v>2</v>
          </cell>
          <cell r="H167">
            <v>2</v>
          </cell>
          <cell r="I167">
            <v>2</v>
          </cell>
          <cell r="J167">
            <v>2</v>
          </cell>
          <cell r="K167">
            <v>2</v>
          </cell>
          <cell r="L167">
            <v>0</v>
          </cell>
          <cell r="M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2</v>
          </cell>
          <cell r="F168">
            <v>2</v>
          </cell>
          <cell r="G168">
            <v>2</v>
          </cell>
          <cell r="H168">
            <v>2</v>
          </cell>
          <cell r="I168">
            <v>2</v>
          </cell>
          <cell r="J168">
            <v>2</v>
          </cell>
          <cell r="K168">
            <v>2</v>
          </cell>
          <cell r="L168">
            <v>0</v>
          </cell>
          <cell r="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2</v>
          </cell>
          <cell r="F169">
            <v>2</v>
          </cell>
          <cell r="G169">
            <v>2</v>
          </cell>
          <cell r="H169">
            <v>2</v>
          </cell>
          <cell r="I169">
            <v>2</v>
          </cell>
          <cell r="J169">
            <v>2</v>
          </cell>
          <cell r="K169">
            <v>2</v>
          </cell>
          <cell r="L169">
            <v>0</v>
          </cell>
          <cell r="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2</v>
          </cell>
          <cell r="F170">
            <v>2</v>
          </cell>
          <cell r="G170">
            <v>2</v>
          </cell>
          <cell r="H170">
            <v>2</v>
          </cell>
          <cell r="I170">
            <v>2</v>
          </cell>
          <cell r="J170">
            <v>2</v>
          </cell>
          <cell r="K170">
            <v>2</v>
          </cell>
          <cell r="L170">
            <v>0</v>
          </cell>
          <cell r="M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2</v>
          </cell>
          <cell r="F171">
            <v>2</v>
          </cell>
          <cell r="G171">
            <v>2</v>
          </cell>
          <cell r="H171">
            <v>2</v>
          </cell>
          <cell r="I171">
            <v>2</v>
          </cell>
          <cell r="J171">
            <v>2</v>
          </cell>
          <cell r="K171">
            <v>2</v>
          </cell>
          <cell r="L171">
            <v>0</v>
          </cell>
          <cell r="M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2</v>
          </cell>
          <cell r="F172">
            <v>2</v>
          </cell>
          <cell r="G172">
            <v>2</v>
          </cell>
          <cell r="H172">
            <v>2</v>
          </cell>
          <cell r="I172">
            <v>2</v>
          </cell>
          <cell r="J172">
            <v>2</v>
          </cell>
          <cell r="K172">
            <v>2</v>
          </cell>
          <cell r="L172">
            <v>0</v>
          </cell>
          <cell r="M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2</v>
          </cell>
          <cell r="F173">
            <v>2</v>
          </cell>
          <cell r="G173">
            <v>2</v>
          </cell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0</v>
          </cell>
          <cell r="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2</v>
          </cell>
          <cell r="F174">
            <v>2</v>
          </cell>
          <cell r="G174">
            <v>2</v>
          </cell>
          <cell r="H174">
            <v>2</v>
          </cell>
          <cell r="I174">
            <v>2</v>
          </cell>
          <cell r="J174">
            <v>2</v>
          </cell>
          <cell r="K174">
            <v>2</v>
          </cell>
          <cell r="L174">
            <v>0</v>
          </cell>
          <cell r="M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0</v>
          </cell>
          <cell r="M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2</v>
          </cell>
          <cell r="F176">
            <v>2</v>
          </cell>
          <cell r="G176">
            <v>2</v>
          </cell>
          <cell r="H176">
            <v>2</v>
          </cell>
          <cell r="I176">
            <v>2</v>
          </cell>
          <cell r="J176">
            <v>2</v>
          </cell>
          <cell r="K176">
            <v>2</v>
          </cell>
          <cell r="L176">
            <v>0</v>
          </cell>
          <cell r="M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2</v>
          </cell>
          <cell r="F177">
            <v>2</v>
          </cell>
          <cell r="G177">
            <v>2</v>
          </cell>
          <cell r="H177">
            <v>2</v>
          </cell>
          <cell r="I177">
            <v>2</v>
          </cell>
          <cell r="J177">
            <v>2</v>
          </cell>
          <cell r="K177">
            <v>2</v>
          </cell>
          <cell r="L177">
            <v>0</v>
          </cell>
          <cell r="M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2</v>
          </cell>
          <cell r="F178">
            <v>2</v>
          </cell>
          <cell r="G178">
            <v>2</v>
          </cell>
          <cell r="H178">
            <v>2</v>
          </cell>
          <cell r="I178">
            <v>2</v>
          </cell>
          <cell r="J178">
            <v>2</v>
          </cell>
          <cell r="K178">
            <v>2</v>
          </cell>
          <cell r="L178">
            <v>0</v>
          </cell>
          <cell r="M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2</v>
          </cell>
          <cell r="F179">
            <v>2</v>
          </cell>
          <cell r="G179">
            <v>2</v>
          </cell>
          <cell r="H179">
            <v>2</v>
          </cell>
          <cell r="I179">
            <v>2</v>
          </cell>
          <cell r="J179">
            <v>2</v>
          </cell>
          <cell r="K179">
            <v>2</v>
          </cell>
          <cell r="L179">
            <v>0</v>
          </cell>
          <cell r="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2</v>
          </cell>
          <cell r="F180">
            <v>2</v>
          </cell>
          <cell r="G180">
            <v>2</v>
          </cell>
          <cell r="H180">
            <v>2</v>
          </cell>
          <cell r="I180">
            <v>2</v>
          </cell>
          <cell r="J180">
            <v>2</v>
          </cell>
          <cell r="K180">
            <v>2</v>
          </cell>
          <cell r="L180">
            <v>0</v>
          </cell>
          <cell r="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2</v>
          </cell>
          <cell r="F181">
            <v>2</v>
          </cell>
          <cell r="G181">
            <v>2</v>
          </cell>
          <cell r="H181">
            <v>2</v>
          </cell>
          <cell r="I181">
            <v>2</v>
          </cell>
          <cell r="J181">
            <v>2</v>
          </cell>
          <cell r="K181">
            <v>2</v>
          </cell>
          <cell r="L181">
            <v>0</v>
          </cell>
          <cell r="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2</v>
          </cell>
          <cell r="F182">
            <v>2</v>
          </cell>
          <cell r="G182">
            <v>2</v>
          </cell>
          <cell r="H182">
            <v>2</v>
          </cell>
          <cell r="I182">
            <v>2</v>
          </cell>
          <cell r="J182">
            <v>2</v>
          </cell>
          <cell r="K182">
            <v>2</v>
          </cell>
          <cell r="L182">
            <v>0</v>
          </cell>
          <cell r="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2</v>
          </cell>
          <cell r="F183">
            <v>2</v>
          </cell>
          <cell r="G183">
            <v>2</v>
          </cell>
          <cell r="H183">
            <v>2</v>
          </cell>
          <cell r="I183">
            <v>2</v>
          </cell>
          <cell r="J183">
            <v>2</v>
          </cell>
          <cell r="K183">
            <v>2</v>
          </cell>
          <cell r="L183">
            <v>0</v>
          </cell>
          <cell r="M183">
            <v>0</v>
          </cell>
        </row>
        <row r="190">
          <cell r="B190">
            <v>80</v>
          </cell>
          <cell r="C190">
            <v>81.191666666666663</v>
          </cell>
          <cell r="D190">
            <v>82.383333333333326</v>
          </cell>
          <cell r="E190">
            <v>83.574999999999989</v>
          </cell>
          <cell r="F190">
            <v>84.766666666666652</v>
          </cell>
          <cell r="G190">
            <v>85.958333333333314</v>
          </cell>
          <cell r="H190">
            <v>87.149999999999977</v>
          </cell>
          <cell r="I190">
            <v>88.34166666666664</v>
          </cell>
          <cell r="J190">
            <v>89.533333333333303</v>
          </cell>
          <cell r="K190">
            <v>90.724999999999966</v>
          </cell>
          <cell r="L190">
            <v>91.916666666666629</v>
          </cell>
          <cell r="M190">
            <v>93.108333333333292</v>
          </cell>
        </row>
        <row r="191">
          <cell r="B191">
            <v>94.309399999999997</v>
          </cell>
          <cell r="C191">
            <v>94.421399999999991</v>
          </cell>
          <cell r="D191">
            <v>94.533399999999986</v>
          </cell>
          <cell r="E191">
            <v>94.645399999999981</v>
          </cell>
          <cell r="F191">
            <v>94.757399999999976</v>
          </cell>
          <cell r="G191">
            <v>94.86939999999997</v>
          </cell>
          <cell r="H191">
            <v>94.981399999999965</v>
          </cell>
          <cell r="I191">
            <v>95.09339999999996</v>
          </cell>
          <cell r="J191">
            <v>95.205399999999955</v>
          </cell>
          <cell r="K191">
            <v>95.31739999999995</v>
          </cell>
          <cell r="L191">
            <v>95.429399999999944</v>
          </cell>
          <cell r="M191">
            <v>95.541399999999939</v>
          </cell>
        </row>
        <row r="192">
          <cell r="B192">
            <v>95.653399999999991</v>
          </cell>
          <cell r="C192">
            <v>95.765616666666659</v>
          </cell>
          <cell r="D192">
            <v>95.877833333333328</v>
          </cell>
          <cell r="E192">
            <v>95.990049999999997</v>
          </cell>
          <cell r="F192">
            <v>96.102266666666665</v>
          </cell>
          <cell r="G192">
            <v>96.214483333333334</v>
          </cell>
          <cell r="H192">
            <v>96.326700000000002</v>
          </cell>
          <cell r="I192">
            <v>96.438916666666671</v>
          </cell>
          <cell r="J192">
            <v>96.55113333333334</v>
          </cell>
          <cell r="K192">
            <v>96.663350000000008</v>
          </cell>
          <cell r="L192">
            <v>96.775566666666677</v>
          </cell>
          <cell r="M192">
            <v>96.887783333333346</v>
          </cell>
        </row>
        <row r="193">
          <cell r="B193">
            <v>97</v>
          </cell>
          <cell r="C193">
            <v>97.353028810681238</v>
          </cell>
          <cell r="D193">
            <v>97.706057621362476</v>
          </cell>
          <cell r="E193">
            <v>98.059086432043713</v>
          </cell>
          <cell r="F193">
            <v>98.412115242724951</v>
          </cell>
          <cell r="G193">
            <v>98.765144053406189</v>
          </cell>
          <cell r="H193">
            <v>99.118172864087427</v>
          </cell>
          <cell r="I193">
            <v>99.471201674768665</v>
          </cell>
          <cell r="J193">
            <v>99.824230485449903</v>
          </cell>
          <cell r="K193">
            <v>100.17725929613114</v>
          </cell>
          <cell r="L193">
            <v>100.53028810681238</v>
          </cell>
          <cell r="M193">
            <v>100.88331691749362</v>
          </cell>
        </row>
        <row r="194">
          <cell r="B194">
            <v>101.23634572817488</v>
          </cell>
          <cell r="C194">
            <v>101.58937453885612</v>
          </cell>
          <cell r="D194">
            <v>101.94240334953736</v>
          </cell>
          <cell r="E194">
            <v>102.2954321602186</v>
          </cell>
          <cell r="F194">
            <v>102.64846097089983</v>
          </cell>
          <cell r="G194">
            <v>103.00148978158107</v>
          </cell>
          <cell r="H194">
            <v>103.35451859226231</v>
          </cell>
          <cell r="I194">
            <v>103.70754740294355</v>
          </cell>
          <cell r="J194">
            <v>104.06057621362478</v>
          </cell>
          <cell r="K194">
            <v>104.41360502430602</v>
          </cell>
          <cell r="L194">
            <v>104.76663383498726</v>
          </cell>
          <cell r="M194">
            <v>105.1196626456685</v>
          </cell>
        </row>
        <row r="195">
          <cell r="B195">
            <v>105.47269145634976</v>
          </cell>
          <cell r="C195">
            <v>105.825720267031</v>
          </cell>
          <cell r="D195">
            <v>106.17874907771224</v>
          </cell>
          <cell r="E195">
            <v>106.53177788839348</v>
          </cell>
          <cell r="F195">
            <v>106.88480669907472</v>
          </cell>
          <cell r="G195">
            <v>107.23783550975595</v>
          </cell>
          <cell r="H195">
            <v>107.59086432043719</v>
          </cell>
          <cell r="I195">
            <v>107.94389313111843</v>
          </cell>
          <cell r="J195">
            <v>108.29692194179967</v>
          </cell>
          <cell r="K195">
            <v>108.6499507524809</v>
          </cell>
          <cell r="L195">
            <v>109.00297956316214</v>
          </cell>
          <cell r="M195">
            <v>109.35600837384338</v>
          </cell>
        </row>
        <row r="196">
          <cell r="B196">
            <v>109.70903718452465</v>
          </cell>
          <cell r="C196">
            <v>110.06206599520588</v>
          </cell>
          <cell r="D196">
            <v>110.41509480588712</v>
          </cell>
          <cell r="E196">
            <v>110.76812361656836</v>
          </cell>
          <cell r="F196">
            <v>111.1211524272496</v>
          </cell>
          <cell r="G196">
            <v>111.47418123793084</v>
          </cell>
          <cell r="H196">
            <v>111.82721004861207</v>
          </cell>
          <cell r="I196">
            <v>112.18023885929331</v>
          </cell>
          <cell r="J196">
            <v>112.53326766997455</v>
          </cell>
          <cell r="K196">
            <v>112.88629648065579</v>
          </cell>
          <cell r="L196">
            <v>113.23932529133702</v>
          </cell>
          <cell r="M196">
            <v>113.59235410201826</v>
          </cell>
        </row>
        <row r="197">
          <cell r="B197">
            <v>113.94538291269953</v>
          </cell>
          <cell r="C197">
            <v>114.29841172338077</v>
          </cell>
          <cell r="D197">
            <v>114.651440534062</v>
          </cell>
          <cell r="E197">
            <v>115.00446934474324</v>
          </cell>
          <cell r="F197">
            <v>115.35749815542448</v>
          </cell>
          <cell r="G197">
            <v>115.71052696610572</v>
          </cell>
          <cell r="H197">
            <v>116.06355577678696</v>
          </cell>
          <cell r="I197">
            <v>116.41658458746819</v>
          </cell>
          <cell r="J197">
            <v>116.76961339814943</v>
          </cell>
          <cell r="K197">
            <v>117.12264220883067</v>
          </cell>
          <cell r="L197">
            <v>117.47567101951191</v>
          </cell>
          <cell r="M197">
            <v>117.82869983019314</v>
          </cell>
        </row>
        <row r="198">
          <cell r="B198">
            <v>118.18172864087441</v>
          </cell>
          <cell r="C198">
            <v>118.53475745155565</v>
          </cell>
          <cell r="D198">
            <v>118.88778626223689</v>
          </cell>
          <cell r="E198">
            <v>119.24081507291812</v>
          </cell>
          <cell r="F198">
            <v>119.59384388359936</v>
          </cell>
          <cell r="G198">
            <v>119.9468726942806</v>
          </cell>
          <cell r="H198">
            <v>120.29990150496184</v>
          </cell>
          <cell r="I198">
            <v>120.65293031564308</v>
          </cell>
          <cell r="J198">
            <v>121.00595912632431</v>
          </cell>
          <cell r="K198">
            <v>121.35898793700555</v>
          </cell>
          <cell r="L198">
            <v>121.71201674768679</v>
          </cell>
          <cell r="M198">
            <v>122.06504555836803</v>
          </cell>
        </row>
        <row r="199">
          <cell r="B199">
            <v>122.41807436904929</v>
          </cell>
          <cell r="C199">
            <v>122.77110317973053</v>
          </cell>
          <cell r="D199">
            <v>123.12413199041177</v>
          </cell>
          <cell r="E199">
            <v>123.47716080109301</v>
          </cell>
          <cell r="F199">
            <v>123.83018961177424</v>
          </cell>
          <cell r="G199">
            <v>124.18321842245548</v>
          </cell>
          <cell r="H199">
            <v>124.53624723313672</v>
          </cell>
          <cell r="I199">
            <v>124.88927604381796</v>
          </cell>
          <cell r="J199">
            <v>125.2423048544992</v>
          </cell>
          <cell r="K199">
            <v>125.59533366518043</v>
          </cell>
          <cell r="L199">
            <v>125.94836247586167</v>
          </cell>
          <cell r="M199">
            <v>126.30139128654291</v>
          </cell>
        </row>
        <row r="200">
          <cell r="B200">
            <v>126.65442009722418</v>
          </cell>
          <cell r="C200">
            <v>127.00744890790541</v>
          </cell>
          <cell r="D200">
            <v>127.36047771858665</v>
          </cell>
          <cell r="E200">
            <v>127.71350652926789</v>
          </cell>
          <cell r="F200">
            <v>128.06653533994913</v>
          </cell>
          <cell r="G200">
            <v>128.41956415063038</v>
          </cell>
          <cell r="H200">
            <v>128.77259296131163</v>
          </cell>
          <cell r="I200">
            <v>129.12562177199288</v>
          </cell>
          <cell r="J200">
            <v>129.47865058267413</v>
          </cell>
          <cell r="K200">
            <v>129.83167939335539</v>
          </cell>
          <cell r="L200">
            <v>130.18470820403664</v>
          </cell>
          <cell r="M200">
            <v>130.53773701471789</v>
          </cell>
        </row>
        <row r="201">
          <cell r="B201">
            <v>130.89076582539906</v>
          </cell>
          <cell r="C201">
            <v>131.24379463608031</v>
          </cell>
          <cell r="D201">
            <v>131.59682344676156</v>
          </cell>
          <cell r="E201">
            <v>131.94985225744281</v>
          </cell>
          <cell r="F201">
            <v>132.30288106812407</v>
          </cell>
          <cell r="G201">
            <v>132.65590987880532</v>
          </cell>
          <cell r="H201">
            <v>133.00893868948657</v>
          </cell>
          <cell r="I201">
            <v>133.36196750016782</v>
          </cell>
          <cell r="J201">
            <v>133.71499631084907</v>
          </cell>
          <cell r="K201">
            <v>134.06802512153033</v>
          </cell>
          <cell r="L201">
            <v>134.42105393221158</v>
          </cell>
          <cell r="M201">
            <v>134.77408274289283</v>
          </cell>
        </row>
        <row r="202">
          <cell r="B202">
            <v>135.12711155357394</v>
          </cell>
          <cell r="C202">
            <v>135.48014036425519</v>
          </cell>
          <cell r="D202">
            <v>135.83316917493644</v>
          </cell>
          <cell r="E202">
            <v>136.1861979856177</v>
          </cell>
          <cell r="F202">
            <v>136.53922679629895</v>
          </cell>
          <cell r="G202">
            <v>136.8922556069802</v>
          </cell>
          <cell r="H202">
            <v>137.24528441766145</v>
          </cell>
          <cell r="I202">
            <v>137.5983132283427</v>
          </cell>
          <cell r="J202">
            <v>137.95134203902396</v>
          </cell>
          <cell r="K202">
            <v>138.30437084970521</v>
          </cell>
          <cell r="L202">
            <v>138.65739966038646</v>
          </cell>
          <cell r="M202">
            <v>139.01042847106771</v>
          </cell>
        </row>
        <row r="203">
          <cell r="B203">
            <v>139.36345728174882</v>
          </cell>
          <cell r="C203">
            <v>139.71648609243007</v>
          </cell>
          <cell r="D203">
            <v>140.06951490311133</v>
          </cell>
          <cell r="E203">
            <v>140.42254371379258</v>
          </cell>
          <cell r="F203">
            <v>140.77557252447383</v>
          </cell>
          <cell r="G203">
            <v>141.12860133515508</v>
          </cell>
          <cell r="H203">
            <v>141.48163014583633</v>
          </cell>
          <cell r="I203">
            <v>141.83465895651759</v>
          </cell>
          <cell r="J203">
            <v>142.18768776719884</v>
          </cell>
          <cell r="K203">
            <v>142.54071657788009</v>
          </cell>
          <cell r="L203">
            <v>142.89374538856134</v>
          </cell>
          <cell r="M203">
            <v>143.24677419924259</v>
          </cell>
        </row>
        <row r="204">
          <cell r="B204">
            <v>143.5998030099237</v>
          </cell>
          <cell r="C204">
            <v>143.95283182060496</v>
          </cell>
          <cell r="D204">
            <v>144.30586063128621</v>
          </cell>
          <cell r="E204">
            <v>144.65888944196746</v>
          </cell>
          <cell r="F204">
            <v>145.01191825264871</v>
          </cell>
          <cell r="G204">
            <v>145.36494706332996</v>
          </cell>
          <cell r="H204">
            <v>145.71797587401122</v>
          </cell>
          <cell r="I204">
            <v>146.07100468469247</v>
          </cell>
          <cell r="J204">
            <v>146.42403349537372</v>
          </cell>
          <cell r="K204">
            <v>146.77706230605497</v>
          </cell>
          <cell r="L204">
            <v>147.13009111673622</v>
          </cell>
          <cell r="M204">
            <v>147.48311992741748</v>
          </cell>
        </row>
        <row r="205">
          <cell r="B205">
            <v>147.83614873809859</v>
          </cell>
          <cell r="C205">
            <v>148.18917754877984</v>
          </cell>
          <cell r="D205">
            <v>148.54220635946109</v>
          </cell>
          <cell r="E205">
            <v>148.89523517014234</v>
          </cell>
          <cell r="F205">
            <v>149.24826398082359</v>
          </cell>
          <cell r="G205">
            <v>149.60129279150485</v>
          </cell>
          <cell r="H205">
            <v>149.9543216021861</v>
          </cell>
          <cell r="I205">
            <v>150.30735041286735</v>
          </cell>
          <cell r="J205">
            <v>150.6603792235486</v>
          </cell>
          <cell r="K205">
            <v>151.01340803422985</v>
          </cell>
          <cell r="L205">
            <v>151.36643684491111</v>
          </cell>
          <cell r="M205">
            <v>151.71946565559236</v>
          </cell>
        </row>
        <row r="206">
          <cell r="B206">
            <v>152.07249446627347</v>
          </cell>
          <cell r="C206">
            <v>152.42552327695472</v>
          </cell>
          <cell r="D206">
            <v>152.77855208763597</v>
          </cell>
          <cell r="E206">
            <v>153.13158089831722</v>
          </cell>
          <cell r="F206">
            <v>153.48460970899848</v>
          </cell>
          <cell r="G206">
            <v>153.83763851967973</v>
          </cell>
          <cell r="H206">
            <v>154.19066733036098</v>
          </cell>
          <cell r="I206">
            <v>154.54369614104223</v>
          </cell>
          <cell r="J206">
            <v>154.89672495172348</v>
          </cell>
          <cell r="K206">
            <v>155.24975376240474</v>
          </cell>
          <cell r="L206">
            <v>155.60278257308599</v>
          </cell>
          <cell r="M206">
            <v>155.95581138376724</v>
          </cell>
        </row>
        <row r="207">
          <cell r="B207">
            <v>156.30884019444835</v>
          </cell>
          <cell r="C207">
            <v>156.6618690051296</v>
          </cell>
          <cell r="D207">
            <v>157.01489781581085</v>
          </cell>
          <cell r="E207">
            <v>157.36792662649211</v>
          </cell>
          <cell r="F207">
            <v>157.72095543717336</v>
          </cell>
          <cell r="G207">
            <v>158.07398424785461</v>
          </cell>
          <cell r="H207">
            <v>158.42701305853586</v>
          </cell>
          <cell r="I207">
            <v>158.78004186921711</v>
          </cell>
          <cell r="J207">
            <v>159.13307067989837</v>
          </cell>
          <cell r="K207">
            <v>159.48609949057962</v>
          </cell>
          <cell r="L207">
            <v>159.83912830126087</v>
          </cell>
          <cell r="M207">
            <v>160.19215711194212</v>
          </cell>
        </row>
        <row r="208">
          <cell r="B208">
            <v>160.54518592262323</v>
          </cell>
          <cell r="C208">
            <v>160.89821473330448</v>
          </cell>
          <cell r="D208">
            <v>161.25124354398574</v>
          </cell>
          <cell r="E208">
            <v>161.60427235466699</v>
          </cell>
          <cell r="F208">
            <v>161.95730116534824</v>
          </cell>
          <cell r="G208">
            <v>162.31032997602949</v>
          </cell>
          <cell r="H208">
            <v>162.66335878671075</v>
          </cell>
          <cell r="I208">
            <v>163.016387597392</v>
          </cell>
          <cell r="J208">
            <v>163.36941640807325</v>
          </cell>
          <cell r="K208">
            <v>163.7224452187545</v>
          </cell>
          <cell r="L208">
            <v>164.07547402943575</v>
          </cell>
          <cell r="M208">
            <v>164.42850284011701</v>
          </cell>
        </row>
        <row r="209">
          <cell r="B209">
            <v>164.78153165079812</v>
          </cell>
          <cell r="C209">
            <v>165.13456046147937</v>
          </cell>
          <cell r="D209">
            <v>165.48758927216062</v>
          </cell>
          <cell r="E209">
            <v>165.84061808284187</v>
          </cell>
          <cell r="F209">
            <v>166.19364689352312</v>
          </cell>
          <cell r="G209">
            <v>166.54667570420438</v>
          </cell>
          <cell r="H209">
            <v>166.89970451488563</v>
          </cell>
          <cell r="I209">
            <v>167.25273332556688</v>
          </cell>
          <cell r="J209">
            <v>167.60576213624813</v>
          </cell>
          <cell r="K209">
            <v>167.95879094692938</v>
          </cell>
          <cell r="L209">
            <v>168.31181975761064</v>
          </cell>
          <cell r="M209">
            <v>168.66484856829189</v>
          </cell>
        </row>
        <row r="210">
          <cell r="B210">
            <v>169.017877378973</v>
          </cell>
          <cell r="C210">
            <v>169.37090618965425</v>
          </cell>
          <cell r="D210">
            <v>169.7239350003355</v>
          </cell>
          <cell r="E210">
            <v>170.07696381101675</v>
          </cell>
          <cell r="F210">
            <v>170.42999262169801</v>
          </cell>
          <cell r="G210">
            <v>170.78302143237926</v>
          </cell>
          <cell r="H210">
            <v>171.13605024306051</v>
          </cell>
          <cell r="I210">
            <v>171.48907905374176</v>
          </cell>
          <cell r="J210">
            <v>171.84210786442301</v>
          </cell>
          <cell r="K210">
            <v>172.19513667510427</v>
          </cell>
          <cell r="L210">
            <v>172.54816548578552</v>
          </cell>
          <cell r="M210">
            <v>172.90119429646677</v>
          </cell>
        </row>
        <row r="211">
          <cell r="B211">
            <v>173.25422310714788</v>
          </cell>
          <cell r="C211">
            <v>173.60725191782913</v>
          </cell>
          <cell r="D211">
            <v>173.96028072851038</v>
          </cell>
          <cell r="E211">
            <v>174.31330953919164</v>
          </cell>
          <cell r="F211">
            <v>174.66633834987289</v>
          </cell>
          <cell r="G211">
            <v>175.01936716055414</v>
          </cell>
          <cell r="H211">
            <v>175.37239597123539</v>
          </cell>
          <cell r="I211">
            <v>175.72542478191664</v>
          </cell>
          <cell r="J211">
            <v>176.0784535925979</v>
          </cell>
          <cell r="K211">
            <v>176.43148240327915</v>
          </cell>
          <cell r="L211">
            <v>176.7845112139604</v>
          </cell>
          <cell r="M211">
            <v>177.13754002464165</v>
          </cell>
        </row>
        <row r="212">
          <cell r="B212">
            <v>177.49056883532276</v>
          </cell>
          <cell r="C212">
            <v>177.84359764600401</v>
          </cell>
          <cell r="D212">
            <v>178.19662645668527</v>
          </cell>
          <cell r="E212">
            <v>178.54965526736652</v>
          </cell>
          <cell r="F212">
            <v>178.90268407804777</v>
          </cell>
          <cell r="G212">
            <v>179.25571288872902</v>
          </cell>
          <cell r="H212">
            <v>179.60874169941027</v>
          </cell>
          <cell r="I212">
            <v>179.96177051009153</v>
          </cell>
          <cell r="J212">
            <v>180.31479932077278</v>
          </cell>
          <cell r="K212">
            <v>180.66782813145403</v>
          </cell>
          <cell r="L212">
            <v>181.02085694213528</v>
          </cell>
          <cell r="M212">
            <v>181.37388575281653</v>
          </cell>
        </row>
        <row r="213">
          <cell r="B213">
            <v>181.72691456349764</v>
          </cell>
          <cell r="C213">
            <v>182.0799433741789</v>
          </cell>
          <cell r="D213">
            <v>182.43297218486015</v>
          </cell>
          <cell r="E213">
            <v>182.7860009955414</v>
          </cell>
          <cell r="F213">
            <v>183.13902980622265</v>
          </cell>
          <cell r="G213">
            <v>183.4920586169039</v>
          </cell>
          <cell r="H213">
            <v>183.84508742758516</v>
          </cell>
          <cell r="I213">
            <v>184.19811623826641</v>
          </cell>
          <cell r="J213">
            <v>184.55114504894766</v>
          </cell>
          <cell r="K213">
            <v>184.90417385962891</v>
          </cell>
          <cell r="L213">
            <v>185.25720267031016</v>
          </cell>
          <cell r="M213">
            <v>185.61023148099142</v>
          </cell>
        </row>
        <row r="214">
          <cell r="B214">
            <v>185.96326029167176</v>
          </cell>
          <cell r="C214">
            <v>186.31628910235304</v>
          </cell>
          <cell r="D214">
            <v>186.66931791303432</v>
          </cell>
          <cell r="E214">
            <v>187.0223467237156</v>
          </cell>
          <cell r="F214">
            <v>187.37537553439688</v>
          </cell>
          <cell r="G214">
            <v>187.72840434507816</v>
          </cell>
          <cell r="H214">
            <v>188.08143315575944</v>
          </cell>
          <cell r="I214">
            <v>188.43446196644072</v>
          </cell>
          <cell r="J214">
            <v>188.787490777122</v>
          </cell>
          <cell r="K214">
            <v>189.14051958780328</v>
          </cell>
          <cell r="L214">
            <v>189.49354839848456</v>
          </cell>
          <cell r="M214">
            <v>189.84657720916584</v>
          </cell>
        </row>
        <row r="215">
          <cell r="B215">
            <v>190.19960601984712</v>
          </cell>
          <cell r="C215">
            <v>190.5526348305284</v>
          </cell>
          <cell r="D215">
            <v>190.90566364120787</v>
          </cell>
          <cell r="E215">
            <v>191.25869245189097</v>
          </cell>
          <cell r="F215">
            <v>191.61172126257225</v>
          </cell>
          <cell r="G215">
            <v>191.96475007325353</v>
          </cell>
          <cell r="H215">
            <v>192.31777888393481</v>
          </cell>
          <cell r="I215">
            <v>192.67080769461609</v>
          </cell>
          <cell r="J215">
            <v>193.02383650529737</v>
          </cell>
          <cell r="K215">
            <v>193.37686531597865</v>
          </cell>
          <cell r="L215">
            <v>193.72989412665993</v>
          </cell>
          <cell r="M215">
            <v>194.08292293734121</v>
          </cell>
        </row>
        <row r="216">
          <cell r="B216">
            <v>194.43595174802249</v>
          </cell>
          <cell r="C216">
            <v>194.78898055870377</v>
          </cell>
          <cell r="D216">
            <v>195.14200936938141</v>
          </cell>
          <cell r="E216">
            <v>195.49503818006633</v>
          </cell>
          <cell r="F216">
            <v>195.84806699074761</v>
          </cell>
          <cell r="G216">
            <v>196.20109580142889</v>
          </cell>
          <cell r="H216">
            <v>196.55412461211017</v>
          </cell>
          <cell r="I216">
            <v>196.90715342278963</v>
          </cell>
          <cell r="J216">
            <v>197.26018223347091</v>
          </cell>
          <cell r="K216">
            <v>197.61321104415401</v>
          </cell>
          <cell r="L216">
            <v>197.96623985483529</v>
          </cell>
          <cell r="M216">
            <v>198.31926866551476</v>
          </cell>
        </row>
        <row r="217">
          <cell r="B217">
            <v>198.67229747619604</v>
          </cell>
          <cell r="C217">
            <v>199.02532628687732</v>
          </cell>
          <cell r="D217">
            <v>199.37835509755678</v>
          </cell>
          <cell r="E217">
            <v>199.7313839082417</v>
          </cell>
          <cell r="F217">
            <v>200.08441271892298</v>
          </cell>
          <cell r="G217">
            <v>200.43744152960426</v>
          </cell>
          <cell r="H217">
            <v>200.79047034028554</v>
          </cell>
          <cell r="I217">
            <v>201.143499150965</v>
          </cell>
          <cell r="J217">
            <v>201.49652796164628</v>
          </cell>
          <cell r="K217">
            <v>201.84955677232756</v>
          </cell>
          <cell r="L217">
            <v>202.20258558300884</v>
          </cell>
          <cell r="M217">
            <v>202.5556143936883</v>
          </cell>
        </row>
        <row r="218">
          <cell r="B218">
            <v>202.9086432043714</v>
          </cell>
          <cell r="C218">
            <v>203.26167201505268</v>
          </cell>
          <cell r="D218">
            <v>203.61470082572851</v>
          </cell>
          <cell r="E218">
            <v>203.96772963641524</v>
          </cell>
          <cell r="F218">
            <v>204.32075844709652</v>
          </cell>
          <cell r="G218">
            <v>204.6737872577778</v>
          </cell>
          <cell r="H218">
            <v>205.02681606845908</v>
          </cell>
          <cell r="I218">
            <v>205.37984487914036</v>
          </cell>
          <cell r="J218">
            <v>205.73287368982164</v>
          </cell>
          <cell r="K218">
            <v>206.08590250050293</v>
          </cell>
          <cell r="L218">
            <v>206.43893131118421</v>
          </cell>
          <cell r="M218">
            <v>206.79196012186367</v>
          </cell>
        </row>
        <row r="219">
          <cell r="B219">
            <v>207.14498893254677</v>
          </cell>
          <cell r="C219">
            <v>207.49801774322805</v>
          </cell>
          <cell r="D219">
            <v>207.85104655390205</v>
          </cell>
          <cell r="E219">
            <v>208.20407536459243</v>
          </cell>
          <cell r="F219">
            <v>208.55710417527371</v>
          </cell>
          <cell r="G219">
            <v>208.91013298595499</v>
          </cell>
          <cell r="H219">
            <v>209.26316179663627</v>
          </cell>
          <cell r="I219">
            <v>209.61619060731391</v>
          </cell>
          <cell r="J219">
            <v>209.96921941799519</v>
          </cell>
          <cell r="K219">
            <v>210.32224822867829</v>
          </cell>
          <cell r="L219">
            <v>210.67527703935957</v>
          </cell>
          <cell r="M219">
            <v>211.02830585003721</v>
          </cell>
        </row>
        <row r="220">
          <cell r="B220">
            <v>211.38133466072031</v>
          </cell>
          <cell r="C220">
            <v>211.73436347140159</v>
          </cell>
          <cell r="D220">
            <v>212.0873922820756</v>
          </cell>
          <cell r="E220">
            <v>212.44042109276779</v>
          </cell>
          <cell r="F220">
            <v>212.79344990344907</v>
          </cell>
          <cell r="G220">
            <v>213.14647871413035</v>
          </cell>
          <cell r="H220">
            <v>213.49950752481163</v>
          </cell>
          <cell r="I220">
            <v>213.85253633548928</v>
          </cell>
          <cell r="J220">
            <v>214.20556514617056</v>
          </cell>
          <cell r="K220">
            <v>214.55859395685184</v>
          </cell>
          <cell r="L220">
            <v>214.91162276753312</v>
          </cell>
          <cell r="M220">
            <v>215.26465157821076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SM Impacts"/>
      <sheetName val="Winter"/>
      <sheetName val="Winter Components"/>
      <sheetName val="Summer"/>
      <sheetName val="Summer Components"/>
      <sheetName val="Peak Temperature"/>
      <sheetName val="Peak Temperature (2)"/>
      <sheetName val="Peak Temperature (3)"/>
      <sheetName val="Peak Temperature - stp"/>
      <sheetName val="Peak Temperature - tpa"/>
      <sheetName val="Summer Temperature"/>
      <sheetName val="Winter Temperature"/>
      <sheetName val="winter - pre '74"/>
      <sheetName val="summer - pre '74"/>
      <sheetName val="System"/>
      <sheetName val="Retail - Coincident"/>
      <sheetName val="Retail - Maximum"/>
      <sheetName val="kw-per-customer"/>
      <sheetName val="LM @ SYS Peak"/>
      <sheetName val="Customers"/>
      <sheetName val="1999 peak day temps"/>
      <sheetName val="Sheet1"/>
    </sheetNames>
    <sheetDataSet>
      <sheetData sheetId="0" refreshError="1">
        <row r="5">
          <cell r="F5">
            <v>0</v>
          </cell>
          <cell r="G5">
            <v>0</v>
          </cell>
          <cell r="J5">
            <v>0</v>
          </cell>
          <cell r="N5">
            <v>0</v>
          </cell>
          <cell r="Q5">
            <v>185</v>
          </cell>
          <cell r="R5">
            <v>0</v>
          </cell>
          <cell r="V5">
            <v>0</v>
          </cell>
        </row>
        <row r="6">
          <cell r="F6">
            <v>0</v>
          </cell>
          <cell r="G6">
            <v>0</v>
          </cell>
          <cell r="J6">
            <v>0</v>
          </cell>
          <cell r="N6">
            <v>0</v>
          </cell>
          <cell r="Q6">
            <v>305</v>
          </cell>
          <cell r="R6">
            <v>140</v>
          </cell>
          <cell r="V6">
            <v>0</v>
          </cell>
        </row>
        <row r="7">
          <cell r="F7">
            <v>0</v>
          </cell>
          <cell r="G7">
            <v>0</v>
          </cell>
          <cell r="J7">
            <v>0</v>
          </cell>
          <cell r="N7">
            <v>0</v>
          </cell>
          <cell r="Q7">
            <v>254</v>
          </cell>
          <cell r="R7">
            <v>220</v>
          </cell>
          <cell r="V7">
            <v>0</v>
          </cell>
        </row>
        <row r="8">
          <cell r="F8">
            <v>0</v>
          </cell>
          <cell r="G8">
            <v>0</v>
          </cell>
          <cell r="J8">
            <v>0</v>
          </cell>
          <cell r="N8">
            <v>0</v>
          </cell>
          <cell r="Q8">
            <v>155</v>
          </cell>
          <cell r="R8">
            <v>0</v>
          </cell>
          <cell r="V8">
            <v>0</v>
          </cell>
        </row>
        <row r="9">
          <cell r="F9">
            <v>0</v>
          </cell>
          <cell r="G9">
            <v>0</v>
          </cell>
          <cell r="J9">
            <v>0</v>
          </cell>
          <cell r="N9">
            <v>0</v>
          </cell>
          <cell r="Q9">
            <v>187</v>
          </cell>
          <cell r="R9">
            <v>30</v>
          </cell>
          <cell r="V9">
            <v>0</v>
          </cell>
        </row>
        <row r="10">
          <cell r="F10">
            <v>0</v>
          </cell>
          <cell r="G10">
            <v>0</v>
          </cell>
          <cell r="J10">
            <v>0</v>
          </cell>
          <cell r="N10">
            <v>0</v>
          </cell>
          <cell r="Q10">
            <v>311</v>
          </cell>
          <cell r="R10">
            <v>290</v>
          </cell>
          <cell r="V10">
            <v>0</v>
          </cell>
        </row>
        <row r="11">
          <cell r="F11">
            <v>0</v>
          </cell>
          <cell r="G11">
            <v>11</v>
          </cell>
          <cell r="J11">
            <v>0</v>
          </cell>
          <cell r="N11">
            <v>0</v>
          </cell>
          <cell r="Q11">
            <v>290</v>
          </cell>
          <cell r="R11">
            <v>250</v>
          </cell>
          <cell r="V11">
            <v>0</v>
          </cell>
        </row>
        <row r="12">
          <cell r="F12">
            <v>9.68</v>
          </cell>
          <cell r="G12">
            <v>12</v>
          </cell>
          <cell r="J12">
            <v>0</v>
          </cell>
          <cell r="N12">
            <v>0</v>
          </cell>
          <cell r="Q12">
            <v>139</v>
          </cell>
          <cell r="R12">
            <v>0</v>
          </cell>
          <cell r="V12">
            <v>0</v>
          </cell>
        </row>
        <row r="13">
          <cell r="F13">
            <v>21.597000000000001</v>
          </cell>
          <cell r="G13">
            <v>36</v>
          </cell>
          <cell r="J13">
            <v>27</v>
          </cell>
          <cell r="N13">
            <v>0</v>
          </cell>
          <cell r="Q13">
            <v>149</v>
          </cell>
          <cell r="R13">
            <v>0</v>
          </cell>
          <cell r="V13">
            <v>49</v>
          </cell>
        </row>
        <row r="14">
          <cell r="F14">
            <v>39.299999999999997</v>
          </cell>
          <cell r="G14">
            <v>36</v>
          </cell>
          <cell r="J14">
            <v>93</v>
          </cell>
          <cell r="N14">
            <v>0</v>
          </cell>
          <cell r="Q14">
            <v>168</v>
          </cell>
          <cell r="R14">
            <v>50</v>
          </cell>
          <cell r="V14">
            <v>63</v>
          </cell>
        </row>
        <row r="15">
          <cell r="F15">
            <v>60.232999999999997</v>
          </cell>
          <cell r="G15">
            <v>42</v>
          </cell>
          <cell r="J15">
            <v>135</v>
          </cell>
          <cell r="N15">
            <v>0</v>
          </cell>
          <cell r="Q15">
            <v>177</v>
          </cell>
          <cell r="R15">
            <v>137</v>
          </cell>
          <cell r="V15">
            <v>0</v>
          </cell>
        </row>
        <row r="16">
          <cell r="F16">
            <v>74.858999999999995</v>
          </cell>
          <cell r="G16">
            <v>51</v>
          </cell>
          <cell r="J16">
            <v>181</v>
          </cell>
          <cell r="N16">
            <v>0</v>
          </cell>
          <cell r="Q16">
            <v>146</v>
          </cell>
          <cell r="R16">
            <v>0</v>
          </cell>
          <cell r="V16">
            <v>72</v>
          </cell>
        </row>
        <row r="17">
          <cell r="F17">
            <v>84.697000000000003</v>
          </cell>
          <cell r="G17">
            <v>58</v>
          </cell>
          <cell r="J17">
            <v>200</v>
          </cell>
          <cell r="N17">
            <v>0</v>
          </cell>
          <cell r="Q17">
            <v>167</v>
          </cell>
          <cell r="R17">
            <v>0</v>
          </cell>
          <cell r="V17">
            <v>0</v>
          </cell>
        </row>
        <row r="18">
          <cell r="F18">
            <v>90.075000000000003</v>
          </cell>
          <cell r="G18">
            <v>61</v>
          </cell>
          <cell r="J18">
            <v>0</v>
          </cell>
          <cell r="N18">
            <v>0</v>
          </cell>
          <cell r="Q18">
            <v>183</v>
          </cell>
          <cell r="R18">
            <v>0</v>
          </cell>
          <cell r="V18">
            <v>0</v>
          </cell>
        </row>
        <row r="19">
          <cell r="F19">
            <v>95.531999999999996</v>
          </cell>
          <cell r="G19">
            <v>66</v>
          </cell>
          <cell r="J19">
            <v>493</v>
          </cell>
          <cell r="N19">
            <v>0</v>
          </cell>
          <cell r="Q19">
            <v>202</v>
          </cell>
          <cell r="R19">
            <v>0</v>
          </cell>
          <cell r="V19">
            <v>0</v>
          </cell>
        </row>
        <row r="20">
          <cell r="F20">
            <v>99.429000000000002</v>
          </cell>
          <cell r="G20">
            <v>66</v>
          </cell>
          <cell r="J20">
            <v>300</v>
          </cell>
          <cell r="N20">
            <v>0</v>
          </cell>
          <cell r="Q20">
            <v>230</v>
          </cell>
          <cell r="R20">
            <v>230</v>
          </cell>
          <cell r="V20">
            <v>84</v>
          </cell>
        </row>
        <row r="21">
          <cell r="F21">
            <v>103.31</v>
          </cell>
          <cell r="G21">
            <v>65.5</v>
          </cell>
          <cell r="J21">
            <v>0</v>
          </cell>
          <cell r="N21">
            <v>0</v>
          </cell>
          <cell r="Q21">
            <v>163</v>
          </cell>
          <cell r="R21">
            <v>0</v>
          </cell>
          <cell r="V21">
            <v>0</v>
          </cell>
        </row>
        <row r="22">
          <cell r="F22">
            <v>115.259</v>
          </cell>
          <cell r="G22">
            <v>65.5</v>
          </cell>
          <cell r="J22">
            <v>0</v>
          </cell>
          <cell r="N22">
            <v>0</v>
          </cell>
          <cell r="Q22">
            <v>181</v>
          </cell>
          <cell r="R22">
            <v>0</v>
          </cell>
          <cell r="V22">
            <v>0</v>
          </cell>
        </row>
        <row r="23">
          <cell r="F23">
            <v>124.03700000000001</v>
          </cell>
          <cell r="G23">
            <v>65.5</v>
          </cell>
          <cell r="J23">
            <v>96</v>
          </cell>
          <cell r="N23">
            <v>11</v>
          </cell>
          <cell r="Q23">
            <v>155</v>
          </cell>
          <cell r="R23">
            <v>0</v>
          </cell>
          <cell r="V23">
            <v>0</v>
          </cell>
        </row>
        <row r="24">
          <cell r="F24">
            <v>156.78100000000001</v>
          </cell>
          <cell r="G24">
            <v>65.5</v>
          </cell>
          <cell r="J24">
            <v>0</v>
          </cell>
          <cell r="N24">
            <v>7</v>
          </cell>
          <cell r="Q24">
            <v>199</v>
          </cell>
          <cell r="R24">
            <v>0</v>
          </cell>
          <cell r="V24">
            <v>0</v>
          </cell>
        </row>
        <row r="25">
          <cell r="F25">
            <v>176.334</v>
          </cell>
          <cell r="G25">
            <v>65.5</v>
          </cell>
          <cell r="J25">
            <v>997</v>
          </cell>
          <cell r="N25">
            <v>13</v>
          </cell>
          <cell r="Q25">
            <v>281</v>
          </cell>
          <cell r="R25">
            <v>58</v>
          </cell>
          <cell r="V25">
            <v>52</v>
          </cell>
        </row>
        <row r="26">
          <cell r="F26">
            <v>201.03200000000001</v>
          </cell>
          <cell r="G26">
            <v>71.5</v>
          </cell>
          <cell r="J26">
            <v>1156</v>
          </cell>
          <cell r="N26">
            <v>0</v>
          </cell>
          <cell r="Q26">
            <v>255</v>
          </cell>
          <cell r="R26">
            <v>210</v>
          </cell>
          <cell r="V26">
            <v>116</v>
          </cell>
        </row>
        <row r="27">
          <cell r="F27">
            <v>237.749</v>
          </cell>
          <cell r="G27">
            <v>71.5</v>
          </cell>
          <cell r="J27">
            <v>111</v>
          </cell>
          <cell r="N27">
            <v>0</v>
          </cell>
          <cell r="Q27">
            <v>290</v>
          </cell>
          <cell r="R27">
            <v>0</v>
          </cell>
          <cell r="V27">
            <v>0</v>
          </cell>
        </row>
        <row r="28">
          <cell r="F28">
            <v>241</v>
          </cell>
          <cell r="J28">
            <v>514</v>
          </cell>
          <cell r="N28">
            <v>2</v>
          </cell>
          <cell r="R28">
            <v>0</v>
          </cell>
          <cell r="V28">
            <v>0</v>
          </cell>
        </row>
        <row r="39">
          <cell r="F39">
            <v>0</v>
          </cell>
          <cell r="G39">
            <v>0</v>
          </cell>
          <cell r="J39">
            <v>0</v>
          </cell>
          <cell r="N39">
            <v>0</v>
          </cell>
          <cell r="Q39">
            <v>165</v>
          </cell>
          <cell r="R39">
            <v>0</v>
          </cell>
          <cell r="V39">
            <v>0</v>
          </cell>
        </row>
        <row r="40">
          <cell r="F40">
            <v>0</v>
          </cell>
          <cell r="G40">
            <v>0</v>
          </cell>
          <cell r="J40">
            <v>0</v>
          </cell>
          <cell r="N40">
            <v>0</v>
          </cell>
          <cell r="Q40">
            <v>217</v>
          </cell>
          <cell r="R40">
            <v>30</v>
          </cell>
          <cell r="V40">
            <v>0</v>
          </cell>
        </row>
        <row r="41">
          <cell r="F41">
            <v>0</v>
          </cell>
          <cell r="G41">
            <v>0</v>
          </cell>
          <cell r="J41">
            <v>0</v>
          </cell>
          <cell r="N41">
            <v>0</v>
          </cell>
          <cell r="Q41">
            <v>205</v>
          </cell>
          <cell r="R41">
            <v>30</v>
          </cell>
          <cell r="V41">
            <v>0</v>
          </cell>
        </row>
        <row r="42">
          <cell r="F42">
            <v>0</v>
          </cell>
          <cell r="G42">
            <v>0</v>
          </cell>
          <cell r="J42">
            <v>0</v>
          </cell>
          <cell r="N42">
            <v>0</v>
          </cell>
          <cell r="Q42">
            <v>216</v>
          </cell>
          <cell r="R42">
            <v>30</v>
          </cell>
          <cell r="V42">
            <v>0</v>
          </cell>
        </row>
        <row r="43">
          <cell r="F43">
            <v>0</v>
          </cell>
          <cell r="G43">
            <v>0</v>
          </cell>
          <cell r="J43">
            <v>0</v>
          </cell>
          <cell r="N43">
            <v>0</v>
          </cell>
          <cell r="Q43">
            <v>191</v>
          </cell>
          <cell r="R43">
            <v>0</v>
          </cell>
          <cell r="V43">
            <v>0</v>
          </cell>
        </row>
      </sheetData>
      <sheetData sheetId="1" refreshError="1"/>
      <sheetData sheetId="2" refreshError="1"/>
      <sheetData sheetId="3" refreshError="1">
        <row r="14">
          <cell r="F14">
            <v>2975</v>
          </cell>
        </row>
        <row r="15">
          <cell r="F15">
            <v>3223</v>
          </cell>
        </row>
        <row r="16">
          <cell r="F16">
            <v>3407</v>
          </cell>
        </row>
        <row r="17">
          <cell r="F17">
            <v>3521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BR"/>
      <sheetName val="MW"/>
      <sheetName val="MWH"/>
      <sheetName val="Documentation"/>
    </sheetNames>
    <sheetDataSet>
      <sheetData sheetId="0"/>
      <sheetData sheetId="1">
        <row r="166">
          <cell r="B166">
            <v>977</v>
          </cell>
          <cell r="C166">
            <v>207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62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547</v>
          </cell>
        </row>
        <row r="167">
          <cell r="B167">
            <v>228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206">
          <cell r="B206">
            <v>450</v>
          </cell>
          <cell r="C206">
            <v>450</v>
          </cell>
          <cell r="D206">
            <v>450</v>
          </cell>
          <cell r="E206">
            <v>0</v>
          </cell>
          <cell r="F206">
            <v>450</v>
          </cell>
          <cell r="G206">
            <v>450</v>
          </cell>
          <cell r="H206">
            <v>450</v>
          </cell>
          <cell r="I206">
            <v>400</v>
          </cell>
          <cell r="J206">
            <v>300</v>
          </cell>
          <cell r="K206">
            <v>225</v>
          </cell>
          <cell r="L206">
            <v>85</v>
          </cell>
          <cell r="M206">
            <v>450</v>
          </cell>
        </row>
        <row r="207">
          <cell r="B207">
            <v>300</v>
          </cell>
          <cell r="C207">
            <v>300</v>
          </cell>
          <cell r="D207">
            <v>300</v>
          </cell>
          <cell r="E207">
            <v>300</v>
          </cell>
          <cell r="F207">
            <v>300</v>
          </cell>
          <cell r="G207">
            <v>300</v>
          </cell>
          <cell r="H207">
            <v>300</v>
          </cell>
          <cell r="I207">
            <v>300</v>
          </cell>
          <cell r="J207">
            <v>300</v>
          </cell>
          <cell r="K207">
            <v>300</v>
          </cell>
          <cell r="L207">
            <v>300</v>
          </cell>
          <cell r="M207">
            <v>300</v>
          </cell>
        </row>
        <row r="208">
          <cell r="B208">
            <v>425</v>
          </cell>
          <cell r="C208">
            <v>425</v>
          </cell>
          <cell r="D208">
            <v>375</v>
          </cell>
          <cell r="E208">
            <v>350</v>
          </cell>
          <cell r="F208">
            <v>400</v>
          </cell>
          <cell r="G208">
            <v>475</v>
          </cell>
          <cell r="H208">
            <v>475</v>
          </cell>
          <cell r="I208">
            <v>475</v>
          </cell>
          <cell r="J208">
            <v>475</v>
          </cell>
          <cell r="K208">
            <v>400</v>
          </cell>
          <cell r="L208">
            <v>350</v>
          </cell>
          <cell r="M208">
            <v>375</v>
          </cell>
        </row>
        <row r="209">
          <cell r="B209">
            <v>300.22000000000003</v>
          </cell>
          <cell r="C209">
            <v>300.22000000000003</v>
          </cell>
          <cell r="D209">
            <v>300.22000000000003</v>
          </cell>
          <cell r="E209">
            <v>300.22000000000003</v>
          </cell>
          <cell r="F209">
            <v>300.22000000000003</v>
          </cell>
          <cell r="G209">
            <v>300.22000000000003</v>
          </cell>
          <cell r="H209">
            <v>300.22000000000003</v>
          </cell>
          <cell r="I209">
            <v>300.22000000000003</v>
          </cell>
          <cell r="J209">
            <v>300.22000000000003</v>
          </cell>
          <cell r="K209">
            <v>300.22000000000003</v>
          </cell>
          <cell r="L209">
            <v>300.22000000000003</v>
          </cell>
          <cell r="M209">
            <v>300.22000000000003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86">
          <cell r="B286">
            <v>160</v>
          </cell>
          <cell r="C286">
            <v>122</v>
          </cell>
          <cell r="D286">
            <v>118</v>
          </cell>
          <cell r="E286">
            <v>87</v>
          </cell>
          <cell r="F286">
            <v>107</v>
          </cell>
          <cell r="G286">
            <v>117</v>
          </cell>
          <cell r="H286">
            <v>117</v>
          </cell>
          <cell r="I286">
            <v>131</v>
          </cell>
          <cell r="J286">
            <v>116</v>
          </cell>
          <cell r="K286">
            <v>104</v>
          </cell>
          <cell r="L286">
            <v>86</v>
          </cell>
          <cell r="M286">
            <v>94</v>
          </cell>
        </row>
        <row r="287">
          <cell r="B287">
            <v>75</v>
          </cell>
          <cell r="C287">
            <v>75</v>
          </cell>
          <cell r="D287">
            <v>75</v>
          </cell>
          <cell r="E287">
            <v>100</v>
          </cell>
          <cell r="F287">
            <v>133</v>
          </cell>
          <cell r="G287">
            <v>175</v>
          </cell>
          <cell r="H287">
            <v>175</v>
          </cell>
          <cell r="I287">
            <v>175</v>
          </cell>
          <cell r="J287">
            <v>175</v>
          </cell>
          <cell r="K287">
            <v>100</v>
          </cell>
          <cell r="L287">
            <v>50</v>
          </cell>
          <cell r="M287">
            <v>50</v>
          </cell>
        </row>
        <row r="327">
          <cell r="B327">
            <v>150</v>
          </cell>
          <cell r="C327">
            <v>150</v>
          </cell>
          <cell r="D327">
            <v>150</v>
          </cell>
          <cell r="E327">
            <v>150</v>
          </cell>
          <cell r="F327">
            <v>150</v>
          </cell>
          <cell r="G327">
            <v>150</v>
          </cell>
          <cell r="H327">
            <v>150</v>
          </cell>
          <cell r="I327">
            <v>150</v>
          </cell>
          <cell r="J327">
            <v>150</v>
          </cell>
          <cell r="K327">
            <v>150</v>
          </cell>
          <cell r="L327">
            <v>150</v>
          </cell>
          <cell r="M327">
            <v>150</v>
          </cell>
        </row>
        <row r="328">
          <cell r="B328">
            <v>150</v>
          </cell>
          <cell r="C328">
            <v>150</v>
          </cell>
          <cell r="D328">
            <v>150</v>
          </cell>
          <cell r="E328">
            <v>150</v>
          </cell>
          <cell r="F328">
            <v>150</v>
          </cell>
          <cell r="G328">
            <v>150</v>
          </cell>
          <cell r="H328">
            <v>150</v>
          </cell>
          <cell r="I328">
            <v>150</v>
          </cell>
          <cell r="J328">
            <v>150</v>
          </cell>
          <cell r="K328">
            <v>150</v>
          </cell>
          <cell r="L328">
            <v>150</v>
          </cell>
          <cell r="M328">
            <v>150</v>
          </cell>
        </row>
        <row r="329">
          <cell r="B329">
            <v>150.11000000000001</v>
          </cell>
          <cell r="C329">
            <v>150.11000000000001</v>
          </cell>
          <cell r="D329">
            <v>150.11000000000001</v>
          </cell>
          <cell r="E329">
            <v>150.11000000000001</v>
          </cell>
          <cell r="F329">
            <v>150.11000000000001</v>
          </cell>
          <cell r="G329">
            <v>150.11000000000001</v>
          </cell>
          <cell r="H329">
            <v>150.11000000000001</v>
          </cell>
          <cell r="I329">
            <v>150.11000000000001</v>
          </cell>
          <cell r="J329">
            <v>150.11000000000001</v>
          </cell>
          <cell r="K329">
            <v>150.11000000000001</v>
          </cell>
          <cell r="L329">
            <v>150.11000000000001</v>
          </cell>
          <cell r="M329">
            <v>150.11000000000001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B368">
            <v>150</v>
          </cell>
          <cell r="C368">
            <v>150</v>
          </cell>
          <cell r="D368">
            <v>150</v>
          </cell>
          <cell r="E368">
            <v>150</v>
          </cell>
          <cell r="F368">
            <v>150</v>
          </cell>
          <cell r="G368">
            <v>150</v>
          </cell>
          <cell r="H368">
            <v>150</v>
          </cell>
          <cell r="I368">
            <v>150</v>
          </cell>
          <cell r="J368">
            <v>150</v>
          </cell>
          <cell r="K368">
            <v>150</v>
          </cell>
          <cell r="L368">
            <v>150</v>
          </cell>
          <cell r="M368">
            <v>150</v>
          </cell>
        </row>
        <row r="369">
          <cell r="B369">
            <v>150.11000000000001</v>
          </cell>
          <cell r="C369">
            <v>150.11000000000001</v>
          </cell>
          <cell r="D369">
            <v>150.11000000000001</v>
          </cell>
          <cell r="E369">
            <v>150.11000000000001</v>
          </cell>
          <cell r="F369">
            <v>150.11000000000001</v>
          </cell>
          <cell r="G369">
            <v>150.11000000000001</v>
          </cell>
          <cell r="H369">
            <v>150.11000000000001</v>
          </cell>
          <cell r="I369">
            <v>150.11000000000001</v>
          </cell>
          <cell r="J369">
            <v>150.11000000000001</v>
          </cell>
          <cell r="K369">
            <v>150.11000000000001</v>
          </cell>
          <cell r="L369">
            <v>150.11000000000001</v>
          </cell>
          <cell r="M369">
            <v>150.11000000000001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</row>
        <row r="382"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</row>
        <row r="384"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</row>
        <row r="385"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</row>
        <row r="406"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B410">
            <v>250.18</v>
          </cell>
          <cell r="C410">
            <v>250.18</v>
          </cell>
          <cell r="D410">
            <v>250.18</v>
          </cell>
          <cell r="E410">
            <v>250.18</v>
          </cell>
          <cell r="F410">
            <v>250.18</v>
          </cell>
          <cell r="G410">
            <v>250.18</v>
          </cell>
          <cell r="H410">
            <v>250.18</v>
          </cell>
          <cell r="I410">
            <v>250.18</v>
          </cell>
          <cell r="J410">
            <v>250.18</v>
          </cell>
          <cell r="K410">
            <v>250.18</v>
          </cell>
          <cell r="L410">
            <v>250.18</v>
          </cell>
          <cell r="M410">
            <v>250.18</v>
          </cell>
        </row>
        <row r="411">
          <cell r="B411">
            <v>250.18</v>
          </cell>
          <cell r="C411">
            <v>250.18</v>
          </cell>
          <cell r="D411">
            <v>250.18</v>
          </cell>
          <cell r="E411">
            <v>250.18</v>
          </cell>
          <cell r="F411">
            <v>250.18</v>
          </cell>
          <cell r="G411">
            <v>250.18</v>
          </cell>
          <cell r="H411">
            <v>250.18</v>
          </cell>
          <cell r="I411">
            <v>250.18</v>
          </cell>
          <cell r="J411">
            <v>250.18</v>
          </cell>
          <cell r="K411">
            <v>250.18</v>
          </cell>
          <cell r="L411">
            <v>250.18</v>
          </cell>
          <cell r="M411">
            <v>250.18</v>
          </cell>
        </row>
        <row r="412">
          <cell r="B412">
            <v>250.18</v>
          </cell>
          <cell r="C412">
            <v>250.18</v>
          </cell>
          <cell r="D412">
            <v>250.18</v>
          </cell>
          <cell r="E412">
            <v>250.18</v>
          </cell>
          <cell r="F412">
            <v>250.18</v>
          </cell>
          <cell r="G412">
            <v>50.04</v>
          </cell>
          <cell r="H412">
            <v>50.04</v>
          </cell>
          <cell r="I412">
            <v>50.04</v>
          </cell>
          <cell r="J412">
            <v>50.04</v>
          </cell>
          <cell r="K412">
            <v>50.04</v>
          </cell>
          <cell r="L412">
            <v>50.04</v>
          </cell>
          <cell r="M412">
            <v>50.04</v>
          </cell>
        </row>
        <row r="413">
          <cell r="B413">
            <v>50.04</v>
          </cell>
          <cell r="C413">
            <v>50.04</v>
          </cell>
          <cell r="D413">
            <v>50.04</v>
          </cell>
          <cell r="E413">
            <v>50.04</v>
          </cell>
          <cell r="F413">
            <v>50.04</v>
          </cell>
          <cell r="G413">
            <v>50.04</v>
          </cell>
          <cell r="H413">
            <v>50.04</v>
          </cell>
          <cell r="I413">
            <v>50.04</v>
          </cell>
          <cell r="J413">
            <v>50.04</v>
          </cell>
          <cell r="K413">
            <v>50.04</v>
          </cell>
          <cell r="L413">
            <v>50.04</v>
          </cell>
          <cell r="M413">
            <v>50.04</v>
          </cell>
        </row>
        <row r="414">
          <cell r="B414">
            <v>50.04</v>
          </cell>
          <cell r="C414">
            <v>50.04</v>
          </cell>
          <cell r="D414">
            <v>50.04</v>
          </cell>
          <cell r="E414">
            <v>50.04</v>
          </cell>
          <cell r="F414">
            <v>50.04</v>
          </cell>
          <cell r="G414">
            <v>50.04</v>
          </cell>
          <cell r="H414">
            <v>50.04</v>
          </cell>
          <cell r="I414">
            <v>50.04</v>
          </cell>
          <cell r="J414">
            <v>50.04</v>
          </cell>
          <cell r="K414">
            <v>50.04</v>
          </cell>
          <cell r="L414">
            <v>50.04</v>
          </cell>
          <cell r="M414">
            <v>50.04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</row>
        <row r="419"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</row>
        <row r="420"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</row>
        <row r="421"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</row>
        <row r="422"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</row>
        <row r="424"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</row>
        <row r="450">
          <cell r="B450">
            <v>150.11000000000001</v>
          </cell>
          <cell r="C450">
            <v>150.11000000000001</v>
          </cell>
          <cell r="D450">
            <v>150.11000000000001</v>
          </cell>
          <cell r="E450">
            <v>150.11000000000001</v>
          </cell>
          <cell r="F450">
            <v>150.11000000000001</v>
          </cell>
          <cell r="G450">
            <v>150.11000000000001</v>
          </cell>
          <cell r="H450">
            <v>150.11000000000001</v>
          </cell>
          <cell r="I450">
            <v>150.11000000000001</v>
          </cell>
          <cell r="J450">
            <v>150.11000000000001</v>
          </cell>
          <cell r="K450">
            <v>150.11000000000001</v>
          </cell>
          <cell r="L450">
            <v>150.11000000000001</v>
          </cell>
          <cell r="M450">
            <v>150.11000000000001</v>
          </cell>
        </row>
        <row r="451">
          <cell r="B451">
            <v>150.11000000000001</v>
          </cell>
          <cell r="C451">
            <v>150.11000000000001</v>
          </cell>
          <cell r="D451">
            <v>150.11000000000001</v>
          </cell>
          <cell r="E451">
            <v>150.11000000000001</v>
          </cell>
          <cell r="F451">
            <v>150.11000000000001</v>
          </cell>
          <cell r="G451">
            <v>150.11000000000001</v>
          </cell>
          <cell r="H451">
            <v>150.11000000000001</v>
          </cell>
          <cell r="I451">
            <v>150.11000000000001</v>
          </cell>
          <cell r="J451">
            <v>150.11000000000001</v>
          </cell>
          <cell r="K451">
            <v>150.11000000000001</v>
          </cell>
          <cell r="L451">
            <v>150.11000000000001</v>
          </cell>
          <cell r="M451">
            <v>150.11000000000001</v>
          </cell>
        </row>
        <row r="452">
          <cell r="B452">
            <v>150.11000000000001</v>
          </cell>
          <cell r="C452">
            <v>150.11000000000001</v>
          </cell>
          <cell r="D452">
            <v>150.11000000000001</v>
          </cell>
          <cell r="E452">
            <v>150.11000000000001</v>
          </cell>
          <cell r="F452">
            <v>150.11000000000001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86"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>
            <v>100.07</v>
          </cell>
          <cell r="C490">
            <v>100.07</v>
          </cell>
          <cell r="D490">
            <v>100.07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600.44000000000005</v>
          </cell>
        </row>
        <row r="491">
          <cell r="B491">
            <v>600.44000000000005</v>
          </cell>
          <cell r="C491">
            <v>600.44000000000005</v>
          </cell>
          <cell r="D491">
            <v>600.44000000000005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600.44000000000005</v>
          </cell>
        </row>
        <row r="492">
          <cell r="B492">
            <v>600.44000000000005</v>
          </cell>
          <cell r="C492">
            <v>600.44000000000005</v>
          </cell>
          <cell r="D492">
            <v>600.44000000000005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600.44000000000005</v>
          </cell>
        </row>
        <row r="493">
          <cell r="B493">
            <v>600.44000000000005</v>
          </cell>
          <cell r="C493">
            <v>600.44000000000005</v>
          </cell>
          <cell r="D493">
            <v>600.44000000000005</v>
          </cell>
          <cell r="E493">
            <v>0</v>
          </cell>
          <cell r="F493">
            <v>0</v>
          </cell>
          <cell r="G493">
            <v>100.07</v>
          </cell>
          <cell r="H493">
            <v>100.07</v>
          </cell>
          <cell r="I493">
            <v>100.07</v>
          </cell>
          <cell r="J493">
            <v>100.07</v>
          </cell>
          <cell r="K493">
            <v>0</v>
          </cell>
          <cell r="L493">
            <v>0</v>
          </cell>
          <cell r="M493">
            <v>600.44000000000005</v>
          </cell>
        </row>
        <row r="494">
          <cell r="B494">
            <v>600.44000000000005</v>
          </cell>
          <cell r="C494">
            <v>600.44000000000005</v>
          </cell>
          <cell r="D494">
            <v>600.44000000000005</v>
          </cell>
          <cell r="E494">
            <v>0</v>
          </cell>
          <cell r="F494">
            <v>0</v>
          </cell>
          <cell r="G494">
            <v>100.07</v>
          </cell>
          <cell r="H494">
            <v>100.07</v>
          </cell>
          <cell r="I494">
            <v>100.07</v>
          </cell>
          <cell r="J494">
            <v>100.07</v>
          </cell>
          <cell r="K494">
            <v>0</v>
          </cell>
          <cell r="L494">
            <v>0</v>
          </cell>
          <cell r="M494">
            <v>600.44000000000005</v>
          </cell>
        </row>
        <row r="495">
          <cell r="B495">
            <v>600.44000000000005</v>
          </cell>
          <cell r="C495">
            <v>600.44000000000005</v>
          </cell>
          <cell r="D495">
            <v>600.44000000000005</v>
          </cell>
          <cell r="E495">
            <v>0</v>
          </cell>
          <cell r="F495">
            <v>0</v>
          </cell>
          <cell r="G495">
            <v>100.07</v>
          </cell>
          <cell r="H495">
            <v>100.07</v>
          </cell>
          <cell r="I495">
            <v>100.07</v>
          </cell>
          <cell r="J495">
            <v>100.07</v>
          </cell>
          <cell r="K495">
            <v>0</v>
          </cell>
          <cell r="L495">
            <v>0</v>
          </cell>
          <cell r="M495">
            <v>600.44000000000005</v>
          </cell>
        </row>
        <row r="496">
          <cell r="B496">
            <v>600.44000000000005</v>
          </cell>
          <cell r="C496">
            <v>600.44000000000005</v>
          </cell>
          <cell r="D496">
            <v>600.44000000000005</v>
          </cell>
          <cell r="E496">
            <v>0</v>
          </cell>
          <cell r="F496">
            <v>0</v>
          </cell>
          <cell r="G496">
            <v>100.07</v>
          </cell>
          <cell r="H496">
            <v>100.07</v>
          </cell>
          <cell r="I496">
            <v>100.07</v>
          </cell>
          <cell r="J496">
            <v>100.07</v>
          </cell>
          <cell r="K496">
            <v>0</v>
          </cell>
          <cell r="L496">
            <v>0</v>
          </cell>
          <cell r="M496">
            <v>600.44000000000005</v>
          </cell>
        </row>
        <row r="497">
          <cell r="B497">
            <v>600.44000000000005</v>
          </cell>
          <cell r="C497">
            <v>600.44000000000005</v>
          </cell>
          <cell r="D497">
            <v>600.44000000000005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600.44000000000005</v>
          </cell>
        </row>
        <row r="498">
          <cell r="B498">
            <v>600.44000000000005</v>
          </cell>
          <cell r="C498">
            <v>600.44000000000005</v>
          </cell>
          <cell r="D498">
            <v>600.44000000000005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600.44000000000005</v>
          </cell>
        </row>
        <row r="499">
          <cell r="B499">
            <v>600.44000000000005</v>
          </cell>
          <cell r="C499">
            <v>600.44000000000005</v>
          </cell>
          <cell r="D499">
            <v>600.44000000000005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600.44000000000005</v>
          </cell>
        </row>
        <row r="500">
          <cell r="B500">
            <v>600.44000000000005</v>
          </cell>
          <cell r="C500">
            <v>600.44000000000005</v>
          </cell>
          <cell r="D500">
            <v>600.44000000000005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600.44000000000005</v>
          </cell>
        </row>
        <row r="501">
          <cell r="B501">
            <v>600.44000000000005</v>
          </cell>
          <cell r="C501">
            <v>600.44000000000005</v>
          </cell>
          <cell r="D501">
            <v>600.44000000000005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600.44000000000005</v>
          </cell>
        </row>
        <row r="502">
          <cell r="B502">
            <v>600.44000000000005</v>
          </cell>
          <cell r="C502">
            <v>600.44000000000005</v>
          </cell>
          <cell r="D502">
            <v>600.44000000000005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600.44000000000005</v>
          </cell>
        </row>
        <row r="503">
          <cell r="B503">
            <v>600.44000000000005</v>
          </cell>
          <cell r="C503">
            <v>600.44000000000005</v>
          </cell>
          <cell r="D503">
            <v>600.44000000000005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600.44000000000005</v>
          </cell>
        </row>
        <row r="504">
          <cell r="B504">
            <v>600.44000000000005</v>
          </cell>
          <cell r="C504">
            <v>600.44000000000005</v>
          </cell>
          <cell r="D504">
            <v>600.44000000000005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600.44000000000005</v>
          </cell>
        </row>
        <row r="505">
          <cell r="B505">
            <v>600.44000000000005</v>
          </cell>
          <cell r="C505">
            <v>600.44000000000005</v>
          </cell>
          <cell r="D505">
            <v>600.44000000000005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600.44000000000005</v>
          </cell>
        </row>
        <row r="506">
          <cell r="B506">
            <v>600.44000000000005</v>
          </cell>
          <cell r="C506">
            <v>600.44000000000005</v>
          </cell>
          <cell r="D506">
            <v>600.44000000000005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600.44000000000005</v>
          </cell>
        </row>
        <row r="507">
          <cell r="B507">
            <v>600.44000000000005</v>
          </cell>
          <cell r="C507">
            <v>600.44000000000005</v>
          </cell>
          <cell r="D507">
            <v>600.44000000000005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600.44000000000005</v>
          </cell>
        </row>
        <row r="508">
          <cell r="B508">
            <v>600.44000000000005</v>
          </cell>
          <cell r="C508">
            <v>600.44000000000005</v>
          </cell>
          <cell r="D508">
            <v>600.44000000000005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600.44000000000005</v>
          </cell>
        </row>
        <row r="509">
          <cell r="B509">
            <v>600.44000000000005</v>
          </cell>
          <cell r="C509">
            <v>600.44000000000005</v>
          </cell>
          <cell r="D509">
            <v>600.44000000000005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600.44000000000005</v>
          </cell>
        </row>
        <row r="510">
          <cell r="B510">
            <v>600.44000000000005</v>
          </cell>
          <cell r="C510">
            <v>600.44000000000005</v>
          </cell>
          <cell r="D510">
            <v>600.44000000000005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600.44000000000005</v>
          </cell>
        </row>
        <row r="511">
          <cell r="B511">
            <v>600.44000000000005</v>
          </cell>
          <cell r="C511">
            <v>600.44000000000005</v>
          </cell>
          <cell r="D511">
            <v>600.44000000000005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600.44000000000005</v>
          </cell>
        </row>
        <row r="512">
          <cell r="B512">
            <v>600.44000000000005</v>
          </cell>
          <cell r="C512">
            <v>600.44000000000005</v>
          </cell>
          <cell r="D512">
            <v>600.44000000000005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600.44000000000005</v>
          </cell>
        </row>
        <row r="513">
          <cell r="B513">
            <v>600.44000000000005</v>
          </cell>
          <cell r="C513">
            <v>600.44000000000005</v>
          </cell>
          <cell r="D513">
            <v>600.44000000000005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600.44000000000005</v>
          </cell>
        </row>
        <row r="514">
          <cell r="B514">
            <v>600.44000000000005</v>
          </cell>
          <cell r="C514">
            <v>600.44000000000005</v>
          </cell>
          <cell r="D514">
            <v>600.44000000000005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600.44000000000005</v>
          </cell>
        </row>
        <row r="515">
          <cell r="B515">
            <v>600.44000000000005</v>
          </cell>
          <cell r="C515">
            <v>600.44000000000005</v>
          </cell>
          <cell r="D515">
            <v>600.44000000000005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600.44000000000005</v>
          </cell>
        </row>
        <row r="516">
          <cell r="B516">
            <v>600.44000000000005</v>
          </cell>
          <cell r="C516">
            <v>600.44000000000005</v>
          </cell>
          <cell r="D516">
            <v>600.44000000000005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600.44000000000005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</row>
        <row r="530">
          <cell r="B530">
            <v>150.11000000000001</v>
          </cell>
          <cell r="C530">
            <v>150.11000000000001</v>
          </cell>
          <cell r="D530">
            <v>150.11000000000001</v>
          </cell>
          <cell r="E530">
            <v>150.11000000000001</v>
          </cell>
          <cell r="F530">
            <v>150.11000000000001</v>
          </cell>
          <cell r="G530">
            <v>150.11000000000001</v>
          </cell>
          <cell r="H530">
            <v>150.11000000000001</v>
          </cell>
          <cell r="I530">
            <v>150.11000000000001</v>
          </cell>
          <cell r="J530">
            <v>150.11000000000001</v>
          </cell>
          <cell r="K530">
            <v>150.11000000000001</v>
          </cell>
          <cell r="L530">
            <v>150.11000000000001</v>
          </cell>
          <cell r="M530">
            <v>150.11000000000001</v>
          </cell>
        </row>
        <row r="531">
          <cell r="B531">
            <v>150.11000000000001</v>
          </cell>
          <cell r="C531">
            <v>150.11000000000001</v>
          </cell>
          <cell r="D531">
            <v>150.11000000000001</v>
          </cell>
          <cell r="E531">
            <v>150.11000000000001</v>
          </cell>
          <cell r="F531">
            <v>150.11000000000001</v>
          </cell>
          <cell r="G531">
            <v>150.11000000000001</v>
          </cell>
          <cell r="H531">
            <v>150.11000000000001</v>
          </cell>
          <cell r="I531">
            <v>150.11000000000001</v>
          </cell>
          <cell r="J531">
            <v>150.11000000000001</v>
          </cell>
          <cell r="K531">
            <v>150.11000000000001</v>
          </cell>
          <cell r="L531">
            <v>150.11000000000001</v>
          </cell>
          <cell r="M531">
            <v>150.11000000000001</v>
          </cell>
        </row>
        <row r="532">
          <cell r="B532">
            <v>150.11000000000001</v>
          </cell>
          <cell r="C532">
            <v>150.11000000000001</v>
          </cell>
          <cell r="D532">
            <v>150.11000000000001</v>
          </cell>
          <cell r="E532">
            <v>150.11000000000001</v>
          </cell>
          <cell r="F532">
            <v>150.11000000000001</v>
          </cell>
          <cell r="G532">
            <v>150.11000000000001</v>
          </cell>
          <cell r="H532">
            <v>150.11000000000001</v>
          </cell>
          <cell r="I532">
            <v>150.11000000000001</v>
          </cell>
          <cell r="J532">
            <v>150.11000000000001</v>
          </cell>
          <cell r="K532">
            <v>150.11000000000001</v>
          </cell>
          <cell r="L532">
            <v>150.11000000000001</v>
          </cell>
          <cell r="M532">
            <v>150.11000000000001</v>
          </cell>
        </row>
        <row r="533">
          <cell r="B533">
            <v>150.11000000000001</v>
          </cell>
          <cell r="C533">
            <v>150.11000000000001</v>
          </cell>
          <cell r="D533">
            <v>150.11000000000001</v>
          </cell>
          <cell r="E533">
            <v>150.11000000000001</v>
          </cell>
          <cell r="F533">
            <v>150.11000000000001</v>
          </cell>
          <cell r="G533">
            <v>150.11000000000001</v>
          </cell>
          <cell r="H533">
            <v>150.11000000000001</v>
          </cell>
          <cell r="I533">
            <v>150.11000000000001</v>
          </cell>
          <cell r="J533">
            <v>150.11000000000001</v>
          </cell>
          <cell r="K533">
            <v>150.11000000000001</v>
          </cell>
          <cell r="L533">
            <v>150.11000000000001</v>
          </cell>
          <cell r="M533">
            <v>150.11000000000001</v>
          </cell>
        </row>
        <row r="534">
          <cell r="B534">
            <v>150.11000000000001</v>
          </cell>
          <cell r="C534">
            <v>150.11000000000001</v>
          </cell>
          <cell r="D534">
            <v>150.11000000000001</v>
          </cell>
          <cell r="E534">
            <v>150.11000000000001</v>
          </cell>
          <cell r="F534">
            <v>150.11000000000001</v>
          </cell>
          <cell r="G534">
            <v>150.11000000000001</v>
          </cell>
          <cell r="H534">
            <v>150.11000000000001</v>
          </cell>
          <cell r="I534">
            <v>150.11000000000001</v>
          </cell>
          <cell r="J534">
            <v>150.11000000000001</v>
          </cell>
          <cell r="K534">
            <v>150.11000000000001</v>
          </cell>
          <cell r="L534">
            <v>150.11000000000001</v>
          </cell>
          <cell r="M534">
            <v>150.11000000000001</v>
          </cell>
        </row>
        <row r="535">
          <cell r="B535">
            <v>150.11000000000001</v>
          </cell>
          <cell r="C535">
            <v>150.11000000000001</v>
          </cell>
          <cell r="D535">
            <v>150.11000000000001</v>
          </cell>
          <cell r="E535">
            <v>150.11000000000001</v>
          </cell>
          <cell r="F535">
            <v>150.11000000000001</v>
          </cell>
          <cell r="G535">
            <v>150.11000000000001</v>
          </cell>
          <cell r="H535">
            <v>150.11000000000001</v>
          </cell>
          <cell r="I535">
            <v>150.11000000000001</v>
          </cell>
          <cell r="J535">
            <v>150.11000000000001</v>
          </cell>
          <cell r="K535">
            <v>150.11000000000001</v>
          </cell>
          <cell r="L535">
            <v>150.11000000000001</v>
          </cell>
          <cell r="M535">
            <v>150.11000000000001</v>
          </cell>
        </row>
        <row r="536">
          <cell r="B536">
            <v>150.11000000000001</v>
          </cell>
          <cell r="C536">
            <v>150.11000000000001</v>
          </cell>
          <cell r="D536">
            <v>150.11000000000001</v>
          </cell>
          <cell r="E536">
            <v>150.11000000000001</v>
          </cell>
          <cell r="F536">
            <v>150.11000000000001</v>
          </cell>
          <cell r="G536">
            <v>150.11000000000001</v>
          </cell>
          <cell r="H536">
            <v>150.11000000000001</v>
          </cell>
          <cell r="I536">
            <v>150.11000000000001</v>
          </cell>
          <cell r="J536">
            <v>150.11000000000001</v>
          </cell>
          <cell r="K536">
            <v>150.11000000000001</v>
          </cell>
          <cell r="L536">
            <v>150.11000000000001</v>
          </cell>
          <cell r="M536">
            <v>150.11000000000001</v>
          </cell>
        </row>
        <row r="537">
          <cell r="B537">
            <v>150.11000000000001</v>
          </cell>
          <cell r="C537">
            <v>150.11000000000001</v>
          </cell>
          <cell r="D537">
            <v>150.11000000000001</v>
          </cell>
          <cell r="E537">
            <v>150.11000000000001</v>
          </cell>
          <cell r="F537">
            <v>150.11000000000001</v>
          </cell>
          <cell r="G537">
            <v>150.11000000000001</v>
          </cell>
          <cell r="H537">
            <v>150.11000000000001</v>
          </cell>
          <cell r="I537">
            <v>150.11000000000001</v>
          </cell>
          <cell r="J537">
            <v>150.11000000000001</v>
          </cell>
          <cell r="K537">
            <v>150.11000000000001</v>
          </cell>
          <cell r="L537">
            <v>150.11000000000001</v>
          </cell>
          <cell r="M537">
            <v>150.11000000000001</v>
          </cell>
        </row>
        <row r="538">
          <cell r="B538">
            <v>150.11000000000001</v>
          </cell>
          <cell r="C538">
            <v>150.11000000000001</v>
          </cell>
          <cell r="D538">
            <v>150.11000000000001</v>
          </cell>
          <cell r="E538">
            <v>150.11000000000001</v>
          </cell>
          <cell r="F538">
            <v>150.11000000000001</v>
          </cell>
          <cell r="G538">
            <v>150.11000000000001</v>
          </cell>
          <cell r="H538">
            <v>150.11000000000001</v>
          </cell>
          <cell r="I538">
            <v>150.11000000000001</v>
          </cell>
          <cell r="J538">
            <v>150.11000000000001</v>
          </cell>
          <cell r="K538">
            <v>150.11000000000001</v>
          </cell>
          <cell r="L538">
            <v>150.11000000000001</v>
          </cell>
          <cell r="M538">
            <v>150.11000000000001</v>
          </cell>
        </row>
        <row r="539">
          <cell r="B539">
            <v>150.11000000000001</v>
          </cell>
          <cell r="C539">
            <v>150.11000000000001</v>
          </cell>
          <cell r="D539">
            <v>150.11000000000001</v>
          </cell>
          <cell r="E539">
            <v>150.11000000000001</v>
          </cell>
          <cell r="F539">
            <v>150.11000000000001</v>
          </cell>
          <cell r="G539">
            <v>150.11000000000001</v>
          </cell>
          <cell r="H539">
            <v>150.11000000000001</v>
          </cell>
          <cell r="I539">
            <v>150.11000000000001</v>
          </cell>
          <cell r="J539">
            <v>150.11000000000001</v>
          </cell>
          <cell r="K539">
            <v>150.11000000000001</v>
          </cell>
          <cell r="L539">
            <v>150.11000000000001</v>
          </cell>
          <cell r="M539">
            <v>150.11000000000001</v>
          </cell>
        </row>
        <row r="540">
          <cell r="B540">
            <v>150.11000000000001</v>
          </cell>
          <cell r="C540">
            <v>150.11000000000001</v>
          </cell>
          <cell r="D540">
            <v>150.11000000000001</v>
          </cell>
          <cell r="E540">
            <v>150.11000000000001</v>
          </cell>
          <cell r="F540">
            <v>150.11000000000001</v>
          </cell>
          <cell r="G540">
            <v>150.11000000000001</v>
          </cell>
          <cell r="H540">
            <v>150.11000000000001</v>
          </cell>
          <cell r="I540">
            <v>150.11000000000001</v>
          </cell>
          <cell r="J540">
            <v>150.11000000000001</v>
          </cell>
          <cell r="K540">
            <v>150.11000000000001</v>
          </cell>
          <cell r="L540">
            <v>150.11000000000001</v>
          </cell>
          <cell r="M540">
            <v>150.11000000000001</v>
          </cell>
        </row>
        <row r="541">
          <cell r="B541">
            <v>150.11000000000001</v>
          </cell>
          <cell r="C541">
            <v>150.11000000000001</v>
          </cell>
          <cell r="D541">
            <v>150.11000000000001</v>
          </cell>
          <cell r="E541">
            <v>150.11000000000001</v>
          </cell>
          <cell r="F541">
            <v>150.11000000000001</v>
          </cell>
          <cell r="G541">
            <v>150.11000000000001</v>
          </cell>
          <cell r="H541">
            <v>150.11000000000001</v>
          </cell>
          <cell r="I541">
            <v>150.11000000000001</v>
          </cell>
          <cell r="J541">
            <v>150.11000000000001</v>
          </cell>
          <cell r="K541">
            <v>150.11000000000001</v>
          </cell>
          <cell r="L541">
            <v>150.11000000000001</v>
          </cell>
          <cell r="M541">
            <v>150.11000000000001</v>
          </cell>
        </row>
        <row r="542">
          <cell r="B542">
            <v>150.11000000000001</v>
          </cell>
          <cell r="C542">
            <v>150.11000000000001</v>
          </cell>
          <cell r="D542">
            <v>150.11000000000001</v>
          </cell>
          <cell r="E542">
            <v>150.11000000000001</v>
          </cell>
          <cell r="F542">
            <v>150.11000000000001</v>
          </cell>
          <cell r="G542">
            <v>150.11000000000001</v>
          </cell>
          <cell r="H542">
            <v>150.11000000000001</v>
          </cell>
          <cell r="I542">
            <v>150.11000000000001</v>
          </cell>
          <cell r="J542">
            <v>150.11000000000001</v>
          </cell>
          <cell r="K542">
            <v>150.11000000000001</v>
          </cell>
          <cell r="L542">
            <v>150.11000000000001</v>
          </cell>
          <cell r="M542">
            <v>150.11000000000001</v>
          </cell>
        </row>
        <row r="543">
          <cell r="B543">
            <v>150.11000000000001</v>
          </cell>
          <cell r="C543">
            <v>150.11000000000001</v>
          </cell>
          <cell r="D543">
            <v>150.11000000000001</v>
          </cell>
          <cell r="E543">
            <v>150.11000000000001</v>
          </cell>
          <cell r="F543">
            <v>150.11000000000001</v>
          </cell>
          <cell r="G543">
            <v>150.11000000000001</v>
          </cell>
          <cell r="H543">
            <v>150.11000000000001</v>
          </cell>
          <cell r="I543">
            <v>150.11000000000001</v>
          </cell>
          <cell r="J543">
            <v>150.11000000000001</v>
          </cell>
          <cell r="K543">
            <v>150.11000000000001</v>
          </cell>
          <cell r="L543">
            <v>150.11000000000001</v>
          </cell>
          <cell r="M543">
            <v>150.11000000000001</v>
          </cell>
        </row>
        <row r="544">
          <cell r="B544">
            <v>150.11000000000001</v>
          </cell>
          <cell r="C544">
            <v>150.11000000000001</v>
          </cell>
          <cell r="D544">
            <v>150.11000000000001</v>
          </cell>
          <cell r="E544">
            <v>150.11000000000001</v>
          </cell>
          <cell r="F544">
            <v>150.11000000000001</v>
          </cell>
          <cell r="G544">
            <v>150.11000000000001</v>
          </cell>
          <cell r="H544">
            <v>150.11000000000001</v>
          </cell>
          <cell r="I544">
            <v>150.11000000000001</v>
          </cell>
          <cell r="J544">
            <v>150.11000000000001</v>
          </cell>
          <cell r="K544">
            <v>150.11000000000001</v>
          </cell>
          <cell r="L544">
            <v>150.11000000000001</v>
          </cell>
          <cell r="M544">
            <v>150.11000000000001</v>
          </cell>
        </row>
        <row r="545">
          <cell r="B545">
            <v>150.11000000000001</v>
          </cell>
          <cell r="C545">
            <v>150.11000000000001</v>
          </cell>
          <cell r="D545">
            <v>150.11000000000001</v>
          </cell>
          <cell r="E545">
            <v>150.11000000000001</v>
          </cell>
          <cell r="F545">
            <v>150.11000000000001</v>
          </cell>
          <cell r="G545">
            <v>150.11000000000001</v>
          </cell>
          <cell r="H545">
            <v>150.11000000000001</v>
          </cell>
          <cell r="I545">
            <v>150.11000000000001</v>
          </cell>
          <cell r="J545">
            <v>150.11000000000001</v>
          </cell>
          <cell r="K545">
            <v>150.11000000000001</v>
          </cell>
          <cell r="L545">
            <v>150.11000000000001</v>
          </cell>
          <cell r="M545">
            <v>150.11000000000001</v>
          </cell>
        </row>
        <row r="546">
          <cell r="B546">
            <v>150.11000000000001</v>
          </cell>
          <cell r="C546">
            <v>150.11000000000001</v>
          </cell>
          <cell r="D546">
            <v>150.11000000000001</v>
          </cell>
          <cell r="E546">
            <v>150.11000000000001</v>
          </cell>
          <cell r="F546">
            <v>150.11000000000001</v>
          </cell>
          <cell r="G546">
            <v>150.11000000000001</v>
          </cell>
          <cell r="H546">
            <v>150.11000000000001</v>
          </cell>
          <cell r="I546">
            <v>150.11000000000001</v>
          </cell>
          <cell r="J546">
            <v>150.11000000000001</v>
          </cell>
          <cell r="K546">
            <v>150.11000000000001</v>
          </cell>
          <cell r="L546">
            <v>150.11000000000001</v>
          </cell>
          <cell r="M546">
            <v>150.11000000000001</v>
          </cell>
        </row>
        <row r="547">
          <cell r="B547">
            <v>150.11000000000001</v>
          </cell>
          <cell r="C547">
            <v>150.11000000000001</v>
          </cell>
          <cell r="D547">
            <v>150.11000000000001</v>
          </cell>
          <cell r="E547">
            <v>150.11000000000001</v>
          </cell>
          <cell r="F547">
            <v>150.11000000000001</v>
          </cell>
          <cell r="G547">
            <v>150.11000000000001</v>
          </cell>
          <cell r="H547">
            <v>150.11000000000001</v>
          </cell>
          <cell r="I547">
            <v>150.11000000000001</v>
          </cell>
          <cell r="J547">
            <v>150.11000000000001</v>
          </cell>
          <cell r="K547">
            <v>150.11000000000001</v>
          </cell>
          <cell r="L547">
            <v>150.11000000000001</v>
          </cell>
          <cell r="M547">
            <v>150.11000000000001</v>
          </cell>
        </row>
        <row r="548">
          <cell r="B548">
            <v>150.11000000000001</v>
          </cell>
          <cell r="C548">
            <v>150.11000000000001</v>
          </cell>
          <cell r="D548">
            <v>150.11000000000001</v>
          </cell>
          <cell r="E548">
            <v>150.11000000000001</v>
          </cell>
          <cell r="F548">
            <v>150.11000000000001</v>
          </cell>
          <cell r="G548">
            <v>150.11000000000001</v>
          </cell>
          <cell r="H548">
            <v>150.11000000000001</v>
          </cell>
          <cell r="I548">
            <v>150.11000000000001</v>
          </cell>
          <cell r="J548">
            <v>150.11000000000001</v>
          </cell>
          <cell r="K548">
            <v>150.11000000000001</v>
          </cell>
          <cell r="L548">
            <v>150.11000000000001</v>
          </cell>
          <cell r="M548">
            <v>150.11000000000001</v>
          </cell>
        </row>
        <row r="549">
          <cell r="B549">
            <v>150.11000000000001</v>
          </cell>
          <cell r="C549">
            <v>150.11000000000001</v>
          </cell>
          <cell r="D549">
            <v>150.11000000000001</v>
          </cell>
          <cell r="E549">
            <v>150.11000000000001</v>
          </cell>
          <cell r="F549">
            <v>150.11000000000001</v>
          </cell>
          <cell r="G549">
            <v>150.11000000000001</v>
          </cell>
          <cell r="H549">
            <v>150.11000000000001</v>
          </cell>
          <cell r="I549">
            <v>150.11000000000001</v>
          </cell>
          <cell r="J549">
            <v>150.11000000000001</v>
          </cell>
          <cell r="K549">
            <v>150.11000000000001</v>
          </cell>
          <cell r="L549">
            <v>150.11000000000001</v>
          </cell>
          <cell r="M549">
            <v>150.11000000000001</v>
          </cell>
        </row>
        <row r="550">
          <cell r="B550">
            <v>150.11000000000001</v>
          </cell>
          <cell r="C550">
            <v>150.11000000000001</v>
          </cell>
          <cell r="D550">
            <v>150.11000000000001</v>
          </cell>
          <cell r="E550">
            <v>150.11000000000001</v>
          </cell>
          <cell r="F550">
            <v>150.11000000000001</v>
          </cell>
          <cell r="G550">
            <v>150.11000000000001</v>
          </cell>
          <cell r="H550">
            <v>150.11000000000001</v>
          </cell>
          <cell r="I550">
            <v>150.11000000000001</v>
          </cell>
          <cell r="J550">
            <v>150.11000000000001</v>
          </cell>
          <cell r="K550">
            <v>150.11000000000001</v>
          </cell>
          <cell r="L550">
            <v>150.11000000000001</v>
          </cell>
          <cell r="M550">
            <v>150.11000000000001</v>
          </cell>
        </row>
        <row r="551">
          <cell r="B551">
            <v>150.11000000000001</v>
          </cell>
          <cell r="C551">
            <v>150.11000000000001</v>
          </cell>
          <cell r="D551">
            <v>150.11000000000001</v>
          </cell>
          <cell r="E551">
            <v>150.11000000000001</v>
          </cell>
          <cell r="F551">
            <v>150.11000000000001</v>
          </cell>
          <cell r="G551">
            <v>150.11000000000001</v>
          </cell>
          <cell r="H551">
            <v>150.11000000000001</v>
          </cell>
          <cell r="I551">
            <v>150.11000000000001</v>
          </cell>
          <cell r="J551">
            <v>150.11000000000001</v>
          </cell>
          <cell r="K551">
            <v>150.11000000000001</v>
          </cell>
          <cell r="L551">
            <v>150.11000000000001</v>
          </cell>
          <cell r="M551">
            <v>150.11000000000001</v>
          </cell>
        </row>
        <row r="552">
          <cell r="B552">
            <v>150.11000000000001</v>
          </cell>
          <cell r="C552">
            <v>150.11000000000001</v>
          </cell>
          <cell r="D552">
            <v>150.11000000000001</v>
          </cell>
          <cell r="E552">
            <v>150.11000000000001</v>
          </cell>
          <cell r="F552">
            <v>150.11000000000001</v>
          </cell>
          <cell r="G552">
            <v>150.11000000000001</v>
          </cell>
          <cell r="H552">
            <v>150.11000000000001</v>
          </cell>
          <cell r="I552">
            <v>150.11000000000001</v>
          </cell>
          <cell r="J552">
            <v>150.11000000000001</v>
          </cell>
          <cell r="K552">
            <v>150.11000000000001</v>
          </cell>
          <cell r="L552">
            <v>150.11000000000001</v>
          </cell>
          <cell r="M552">
            <v>150.11000000000001</v>
          </cell>
        </row>
        <row r="553">
          <cell r="B553">
            <v>150.11000000000001</v>
          </cell>
          <cell r="C553">
            <v>150.11000000000001</v>
          </cell>
          <cell r="D553">
            <v>150.11000000000001</v>
          </cell>
          <cell r="E553">
            <v>150.11000000000001</v>
          </cell>
          <cell r="F553">
            <v>150.11000000000001</v>
          </cell>
          <cell r="G553">
            <v>150.11000000000001</v>
          </cell>
          <cell r="H553">
            <v>150.11000000000001</v>
          </cell>
          <cell r="I553">
            <v>150.11000000000001</v>
          </cell>
          <cell r="J553">
            <v>150.11000000000001</v>
          </cell>
          <cell r="K553">
            <v>150.11000000000001</v>
          </cell>
          <cell r="L553">
            <v>150.11000000000001</v>
          </cell>
          <cell r="M553">
            <v>150.11000000000001</v>
          </cell>
        </row>
        <row r="554">
          <cell r="B554">
            <v>150.11000000000001</v>
          </cell>
          <cell r="C554">
            <v>150.11000000000001</v>
          </cell>
          <cell r="D554">
            <v>150.11000000000001</v>
          </cell>
          <cell r="E554">
            <v>150.11000000000001</v>
          </cell>
          <cell r="F554">
            <v>150.11000000000001</v>
          </cell>
          <cell r="G554">
            <v>150.11000000000001</v>
          </cell>
          <cell r="H554">
            <v>150.11000000000001</v>
          </cell>
          <cell r="I554">
            <v>150.11000000000001</v>
          </cell>
          <cell r="J554">
            <v>150.11000000000001</v>
          </cell>
          <cell r="K554">
            <v>150.11000000000001</v>
          </cell>
          <cell r="L554">
            <v>150.11000000000001</v>
          </cell>
          <cell r="M554">
            <v>150.11000000000001</v>
          </cell>
        </row>
        <row r="555">
          <cell r="B555">
            <v>150.11000000000001</v>
          </cell>
          <cell r="C555">
            <v>150.11000000000001</v>
          </cell>
          <cell r="D555">
            <v>150.11000000000001</v>
          </cell>
          <cell r="E555">
            <v>150.11000000000001</v>
          </cell>
          <cell r="F555">
            <v>150.11000000000001</v>
          </cell>
          <cell r="G555">
            <v>150.11000000000001</v>
          </cell>
          <cell r="H555">
            <v>150.11000000000001</v>
          </cell>
          <cell r="I555">
            <v>150.11000000000001</v>
          </cell>
          <cell r="J555">
            <v>150.11000000000001</v>
          </cell>
          <cell r="K555">
            <v>150.11000000000001</v>
          </cell>
          <cell r="L555">
            <v>150.11000000000001</v>
          </cell>
          <cell r="M555">
            <v>150.11000000000001</v>
          </cell>
        </row>
        <row r="556">
          <cell r="B556">
            <v>150.11000000000001</v>
          </cell>
          <cell r="C556">
            <v>150.11000000000001</v>
          </cell>
          <cell r="D556">
            <v>150.11000000000001</v>
          </cell>
          <cell r="E556">
            <v>150.11000000000001</v>
          </cell>
          <cell r="F556">
            <v>150.11000000000001</v>
          </cell>
          <cell r="G556">
            <v>150.11000000000001</v>
          </cell>
          <cell r="H556">
            <v>150.11000000000001</v>
          </cell>
          <cell r="I556">
            <v>150.11000000000001</v>
          </cell>
          <cell r="J556">
            <v>150.11000000000001</v>
          </cell>
          <cell r="K556">
            <v>150.11000000000001</v>
          </cell>
          <cell r="L556">
            <v>150.11000000000001</v>
          </cell>
          <cell r="M556">
            <v>150.11000000000001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200.15</v>
          </cell>
          <cell r="H572">
            <v>200.15</v>
          </cell>
          <cell r="I572">
            <v>200.15</v>
          </cell>
          <cell r="J572">
            <v>200.15</v>
          </cell>
          <cell r="K572">
            <v>200.15</v>
          </cell>
          <cell r="L572">
            <v>200.15</v>
          </cell>
          <cell r="M572">
            <v>200.15</v>
          </cell>
        </row>
        <row r="573">
          <cell r="B573">
            <v>200.15</v>
          </cell>
          <cell r="C573">
            <v>200.15</v>
          </cell>
          <cell r="D573">
            <v>200.15</v>
          </cell>
          <cell r="E573">
            <v>200.15</v>
          </cell>
          <cell r="F573">
            <v>200.15</v>
          </cell>
          <cell r="G573">
            <v>200.15</v>
          </cell>
          <cell r="H573">
            <v>200.15</v>
          </cell>
          <cell r="I573">
            <v>200.15</v>
          </cell>
          <cell r="J573">
            <v>200.15</v>
          </cell>
          <cell r="K573">
            <v>200.15</v>
          </cell>
          <cell r="L573">
            <v>200.15</v>
          </cell>
          <cell r="M573">
            <v>200.15</v>
          </cell>
        </row>
        <row r="574">
          <cell r="B574">
            <v>200.15</v>
          </cell>
          <cell r="C574">
            <v>200.15</v>
          </cell>
          <cell r="D574">
            <v>200.15</v>
          </cell>
          <cell r="E574">
            <v>200.15</v>
          </cell>
          <cell r="F574">
            <v>200.15</v>
          </cell>
          <cell r="G574">
            <v>200.15</v>
          </cell>
          <cell r="H574">
            <v>200.15</v>
          </cell>
          <cell r="I574">
            <v>200.15</v>
          </cell>
          <cell r="J574">
            <v>200.15</v>
          </cell>
          <cell r="K574">
            <v>200.15</v>
          </cell>
          <cell r="L574">
            <v>200.15</v>
          </cell>
          <cell r="M574">
            <v>200.15</v>
          </cell>
        </row>
        <row r="575">
          <cell r="B575">
            <v>250.18</v>
          </cell>
          <cell r="C575">
            <v>250.18</v>
          </cell>
          <cell r="D575">
            <v>250.18</v>
          </cell>
          <cell r="E575">
            <v>250.18</v>
          </cell>
          <cell r="F575">
            <v>250.18</v>
          </cell>
          <cell r="G575">
            <v>500.37</v>
          </cell>
          <cell r="H575">
            <v>500.37</v>
          </cell>
          <cell r="I575">
            <v>500.37</v>
          </cell>
          <cell r="J575">
            <v>500.37</v>
          </cell>
          <cell r="K575">
            <v>500.37</v>
          </cell>
          <cell r="L575">
            <v>500.37</v>
          </cell>
          <cell r="M575">
            <v>500.37</v>
          </cell>
        </row>
        <row r="576">
          <cell r="B576">
            <v>500.37</v>
          </cell>
          <cell r="C576">
            <v>500.37</v>
          </cell>
          <cell r="D576">
            <v>500.37</v>
          </cell>
          <cell r="E576">
            <v>500.37</v>
          </cell>
          <cell r="F576">
            <v>500.37</v>
          </cell>
          <cell r="G576">
            <v>500.37</v>
          </cell>
          <cell r="H576">
            <v>500.37</v>
          </cell>
          <cell r="I576">
            <v>500.37</v>
          </cell>
          <cell r="J576">
            <v>500.37</v>
          </cell>
          <cell r="K576">
            <v>500.37</v>
          </cell>
          <cell r="L576">
            <v>500.37</v>
          </cell>
          <cell r="M576">
            <v>500.37</v>
          </cell>
        </row>
        <row r="577">
          <cell r="B577">
            <v>500.37</v>
          </cell>
          <cell r="C577">
            <v>500.37</v>
          </cell>
          <cell r="D577">
            <v>500.37</v>
          </cell>
          <cell r="E577">
            <v>500.37</v>
          </cell>
          <cell r="F577">
            <v>500.37</v>
          </cell>
          <cell r="G577">
            <v>500.37</v>
          </cell>
          <cell r="H577">
            <v>500.37</v>
          </cell>
          <cell r="I577">
            <v>500.37</v>
          </cell>
          <cell r="J577">
            <v>500.37</v>
          </cell>
          <cell r="K577">
            <v>500.37</v>
          </cell>
          <cell r="L577">
            <v>500.37</v>
          </cell>
          <cell r="M577">
            <v>500.37</v>
          </cell>
        </row>
        <row r="578">
          <cell r="B578">
            <v>500.37</v>
          </cell>
          <cell r="C578">
            <v>500.37</v>
          </cell>
          <cell r="D578">
            <v>500.37</v>
          </cell>
          <cell r="E578">
            <v>500.37</v>
          </cell>
          <cell r="F578">
            <v>500.37</v>
          </cell>
          <cell r="G578">
            <v>500.37</v>
          </cell>
          <cell r="H578">
            <v>500.37</v>
          </cell>
          <cell r="I578">
            <v>500.37</v>
          </cell>
          <cell r="J578">
            <v>500.37</v>
          </cell>
          <cell r="K578">
            <v>500.37</v>
          </cell>
          <cell r="L578">
            <v>500.37</v>
          </cell>
          <cell r="M578">
            <v>500.37</v>
          </cell>
        </row>
        <row r="579">
          <cell r="B579">
            <v>500.37</v>
          </cell>
          <cell r="C579">
            <v>500.37</v>
          </cell>
          <cell r="D579">
            <v>500.37</v>
          </cell>
          <cell r="E579">
            <v>500.37</v>
          </cell>
          <cell r="F579">
            <v>500.37</v>
          </cell>
          <cell r="G579">
            <v>500.37</v>
          </cell>
          <cell r="H579">
            <v>500.37</v>
          </cell>
          <cell r="I579">
            <v>500.37</v>
          </cell>
          <cell r="J579">
            <v>500.37</v>
          </cell>
          <cell r="K579">
            <v>500.37</v>
          </cell>
          <cell r="L579">
            <v>500.37</v>
          </cell>
          <cell r="M579">
            <v>500.37</v>
          </cell>
        </row>
        <row r="580">
          <cell r="B580">
            <v>500.37</v>
          </cell>
          <cell r="C580">
            <v>500.37</v>
          </cell>
          <cell r="D580">
            <v>500.37</v>
          </cell>
          <cell r="E580">
            <v>500.37</v>
          </cell>
          <cell r="F580">
            <v>500.37</v>
          </cell>
          <cell r="G580">
            <v>500.15</v>
          </cell>
          <cell r="H580">
            <v>500.15</v>
          </cell>
          <cell r="I580">
            <v>500.15</v>
          </cell>
          <cell r="J580">
            <v>500.15</v>
          </cell>
          <cell r="K580">
            <v>500.15</v>
          </cell>
          <cell r="L580">
            <v>500.15</v>
          </cell>
          <cell r="M580">
            <v>500.15</v>
          </cell>
        </row>
        <row r="581">
          <cell r="B581">
            <v>500.37</v>
          </cell>
          <cell r="C581">
            <v>500.37</v>
          </cell>
          <cell r="D581">
            <v>500.37</v>
          </cell>
          <cell r="E581">
            <v>500.37</v>
          </cell>
          <cell r="F581">
            <v>500.37</v>
          </cell>
          <cell r="G581">
            <v>500.15</v>
          </cell>
          <cell r="H581">
            <v>500.15</v>
          </cell>
          <cell r="I581">
            <v>500.15</v>
          </cell>
          <cell r="J581">
            <v>500.15</v>
          </cell>
          <cell r="K581">
            <v>500.15</v>
          </cell>
          <cell r="L581">
            <v>500.15</v>
          </cell>
          <cell r="M581">
            <v>500.15</v>
          </cell>
        </row>
        <row r="582">
          <cell r="B582">
            <v>500.37</v>
          </cell>
          <cell r="C582">
            <v>500.37</v>
          </cell>
          <cell r="D582">
            <v>500.37</v>
          </cell>
          <cell r="E582">
            <v>500.37</v>
          </cell>
          <cell r="F582">
            <v>500.37</v>
          </cell>
          <cell r="G582">
            <v>500.15</v>
          </cell>
          <cell r="H582">
            <v>500.15</v>
          </cell>
          <cell r="I582">
            <v>500.15</v>
          </cell>
          <cell r="J582">
            <v>500.15</v>
          </cell>
          <cell r="K582">
            <v>500.15</v>
          </cell>
          <cell r="L582">
            <v>500.15</v>
          </cell>
          <cell r="M582">
            <v>500.15</v>
          </cell>
        </row>
        <row r="583">
          <cell r="B583">
            <v>500.37</v>
          </cell>
          <cell r="C583">
            <v>500.37</v>
          </cell>
          <cell r="D583">
            <v>500.37</v>
          </cell>
          <cell r="E583">
            <v>500.37</v>
          </cell>
          <cell r="F583">
            <v>500.37</v>
          </cell>
          <cell r="G583">
            <v>500.15</v>
          </cell>
          <cell r="H583">
            <v>500.15</v>
          </cell>
          <cell r="I583">
            <v>500.15</v>
          </cell>
          <cell r="J583">
            <v>500.15</v>
          </cell>
          <cell r="K583">
            <v>500.15</v>
          </cell>
          <cell r="L583">
            <v>500.15</v>
          </cell>
          <cell r="M583">
            <v>500.15</v>
          </cell>
        </row>
        <row r="584">
          <cell r="B584">
            <v>500.37</v>
          </cell>
          <cell r="C584">
            <v>500.37</v>
          </cell>
          <cell r="D584">
            <v>500.37</v>
          </cell>
          <cell r="E584">
            <v>500.37</v>
          </cell>
          <cell r="F584">
            <v>500.37</v>
          </cell>
          <cell r="G584">
            <v>500.15</v>
          </cell>
          <cell r="H584">
            <v>500.15</v>
          </cell>
          <cell r="I584">
            <v>500.15</v>
          </cell>
          <cell r="J584">
            <v>500.15</v>
          </cell>
          <cell r="K584">
            <v>500.15</v>
          </cell>
          <cell r="L584">
            <v>500.15</v>
          </cell>
          <cell r="M584">
            <v>500.15</v>
          </cell>
        </row>
        <row r="585">
          <cell r="B585">
            <v>500.37</v>
          </cell>
          <cell r="C585">
            <v>500.37</v>
          </cell>
          <cell r="D585">
            <v>500.37</v>
          </cell>
          <cell r="E585">
            <v>500.37</v>
          </cell>
          <cell r="F585">
            <v>500.37</v>
          </cell>
          <cell r="G585">
            <v>500.15</v>
          </cell>
          <cell r="H585">
            <v>500.15</v>
          </cell>
          <cell r="I585">
            <v>500.15</v>
          </cell>
          <cell r="J585">
            <v>500.15</v>
          </cell>
          <cell r="K585">
            <v>500.15</v>
          </cell>
          <cell r="L585">
            <v>500.15</v>
          </cell>
          <cell r="M585">
            <v>500.15</v>
          </cell>
        </row>
        <row r="586">
          <cell r="B586">
            <v>500.37</v>
          </cell>
          <cell r="C586">
            <v>500.37</v>
          </cell>
          <cell r="D586">
            <v>500.37</v>
          </cell>
          <cell r="E586">
            <v>500.37</v>
          </cell>
          <cell r="F586">
            <v>500.37</v>
          </cell>
          <cell r="G586">
            <v>500.15</v>
          </cell>
          <cell r="H586">
            <v>500.15</v>
          </cell>
          <cell r="I586">
            <v>500.15</v>
          </cell>
          <cell r="J586">
            <v>500.15</v>
          </cell>
          <cell r="K586">
            <v>500.15</v>
          </cell>
          <cell r="L586">
            <v>500.15</v>
          </cell>
          <cell r="M586">
            <v>500.15</v>
          </cell>
        </row>
        <row r="587">
          <cell r="B587">
            <v>500.37</v>
          </cell>
          <cell r="C587">
            <v>500.37</v>
          </cell>
          <cell r="D587">
            <v>500.37</v>
          </cell>
          <cell r="E587">
            <v>500.37</v>
          </cell>
          <cell r="F587">
            <v>500.37</v>
          </cell>
          <cell r="G587">
            <v>500.15</v>
          </cell>
          <cell r="H587">
            <v>500.15</v>
          </cell>
          <cell r="I587">
            <v>500.15</v>
          </cell>
          <cell r="J587">
            <v>500.15</v>
          </cell>
          <cell r="K587">
            <v>500.15</v>
          </cell>
          <cell r="L587">
            <v>500.15</v>
          </cell>
          <cell r="M587">
            <v>500.15</v>
          </cell>
        </row>
        <row r="588">
          <cell r="B588">
            <v>500.37</v>
          </cell>
          <cell r="C588">
            <v>500.37</v>
          </cell>
          <cell r="D588">
            <v>500.37</v>
          </cell>
          <cell r="E588">
            <v>500.37</v>
          </cell>
          <cell r="F588">
            <v>500.37</v>
          </cell>
          <cell r="G588">
            <v>500.15</v>
          </cell>
          <cell r="H588">
            <v>500.15</v>
          </cell>
          <cell r="I588">
            <v>500.15</v>
          </cell>
          <cell r="J588">
            <v>500.15</v>
          </cell>
          <cell r="K588">
            <v>500.15</v>
          </cell>
          <cell r="L588">
            <v>500.15</v>
          </cell>
          <cell r="M588">
            <v>500.15</v>
          </cell>
        </row>
        <row r="589">
          <cell r="B589">
            <v>500.37</v>
          </cell>
          <cell r="C589">
            <v>500.37</v>
          </cell>
          <cell r="D589">
            <v>500.37</v>
          </cell>
          <cell r="E589">
            <v>500.37</v>
          </cell>
          <cell r="F589">
            <v>500.37</v>
          </cell>
          <cell r="G589">
            <v>500.15</v>
          </cell>
          <cell r="H589">
            <v>500.15</v>
          </cell>
          <cell r="I589">
            <v>500.15</v>
          </cell>
          <cell r="J589">
            <v>500.15</v>
          </cell>
          <cell r="K589">
            <v>500.15</v>
          </cell>
          <cell r="L589">
            <v>500.15</v>
          </cell>
          <cell r="M589">
            <v>500.15</v>
          </cell>
        </row>
        <row r="590">
          <cell r="B590">
            <v>500.37</v>
          </cell>
          <cell r="C590">
            <v>500.37</v>
          </cell>
          <cell r="D590">
            <v>500.37</v>
          </cell>
          <cell r="E590">
            <v>500.37</v>
          </cell>
          <cell r="F590">
            <v>500.37</v>
          </cell>
          <cell r="G590">
            <v>500.15</v>
          </cell>
          <cell r="H590">
            <v>500.15</v>
          </cell>
          <cell r="I590">
            <v>500.15</v>
          </cell>
          <cell r="J590">
            <v>500.15</v>
          </cell>
          <cell r="K590">
            <v>500.15</v>
          </cell>
          <cell r="L590">
            <v>500.15</v>
          </cell>
          <cell r="M590">
            <v>500.15</v>
          </cell>
        </row>
        <row r="591">
          <cell r="B591">
            <v>500.37</v>
          </cell>
          <cell r="C591">
            <v>500.37</v>
          </cell>
          <cell r="D591">
            <v>500.37</v>
          </cell>
          <cell r="E591">
            <v>500.37</v>
          </cell>
          <cell r="F591">
            <v>500.37</v>
          </cell>
          <cell r="G591">
            <v>500.15</v>
          </cell>
          <cell r="H591">
            <v>500.15</v>
          </cell>
          <cell r="I591">
            <v>500.15</v>
          </cell>
          <cell r="J591">
            <v>500.15</v>
          </cell>
          <cell r="K591">
            <v>500.15</v>
          </cell>
          <cell r="L591">
            <v>500.15</v>
          </cell>
          <cell r="M591">
            <v>500.15</v>
          </cell>
        </row>
        <row r="592">
          <cell r="B592">
            <v>500.37</v>
          </cell>
          <cell r="C592">
            <v>500.37</v>
          </cell>
          <cell r="D592">
            <v>500.37</v>
          </cell>
          <cell r="E592">
            <v>500.37</v>
          </cell>
          <cell r="F592">
            <v>500.37</v>
          </cell>
          <cell r="G592">
            <v>500.15</v>
          </cell>
          <cell r="H592">
            <v>500.15</v>
          </cell>
          <cell r="I592">
            <v>500.15</v>
          </cell>
          <cell r="J592">
            <v>500.15</v>
          </cell>
          <cell r="K592">
            <v>500.15</v>
          </cell>
          <cell r="L592">
            <v>500.15</v>
          </cell>
          <cell r="M592">
            <v>500.15</v>
          </cell>
        </row>
        <row r="593">
          <cell r="B593">
            <v>500.37</v>
          </cell>
          <cell r="C593">
            <v>500.37</v>
          </cell>
          <cell r="D593">
            <v>500.37</v>
          </cell>
          <cell r="E593">
            <v>500.37</v>
          </cell>
          <cell r="F593">
            <v>500.37</v>
          </cell>
          <cell r="G593">
            <v>500.15</v>
          </cell>
          <cell r="H593">
            <v>500.15</v>
          </cell>
          <cell r="I593">
            <v>500.15</v>
          </cell>
          <cell r="J593">
            <v>500.15</v>
          </cell>
          <cell r="K593">
            <v>500.15</v>
          </cell>
          <cell r="L593">
            <v>500.15</v>
          </cell>
          <cell r="M593">
            <v>500.15</v>
          </cell>
        </row>
        <row r="594">
          <cell r="B594">
            <v>500.37</v>
          </cell>
          <cell r="C594">
            <v>500.37</v>
          </cell>
          <cell r="D594">
            <v>500.37</v>
          </cell>
          <cell r="E594">
            <v>500.37</v>
          </cell>
          <cell r="F594">
            <v>500.37</v>
          </cell>
          <cell r="G594">
            <v>500.15</v>
          </cell>
          <cell r="H594">
            <v>500.15</v>
          </cell>
          <cell r="I594">
            <v>500.15</v>
          </cell>
          <cell r="J594">
            <v>500.15</v>
          </cell>
          <cell r="K594">
            <v>500.15</v>
          </cell>
          <cell r="L594">
            <v>500.15</v>
          </cell>
          <cell r="M594">
            <v>500.15</v>
          </cell>
        </row>
        <row r="595">
          <cell r="B595">
            <v>500.37</v>
          </cell>
          <cell r="C595">
            <v>500.37</v>
          </cell>
          <cell r="D595">
            <v>500.37</v>
          </cell>
          <cell r="E595">
            <v>500.37</v>
          </cell>
          <cell r="F595">
            <v>500.37</v>
          </cell>
          <cell r="G595">
            <v>500.15</v>
          </cell>
          <cell r="H595">
            <v>500.15</v>
          </cell>
          <cell r="I595">
            <v>500.15</v>
          </cell>
          <cell r="J595">
            <v>500.15</v>
          </cell>
          <cell r="K595">
            <v>500.15</v>
          </cell>
          <cell r="L595">
            <v>500.15</v>
          </cell>
          <cell r="M595">
            <v>500.15</v>
          </cell>
        </row>
        <row r="596">
          <cell r="B596">
            <v>500.37</v>
          </cell>
          <cell r="C596">
            <v>500.37</v>
          </cell>
          <cell r="D596">
            <v>500.37</v>
          </cell>
          <cell r="E596">
            <v>500.37</v>
          </cell>
          <cell r="F596">
            <v>500.37</v>
          </cell>
          <cell r="G596">
            <v>500.15</v>
          </cell>
          <cell r="H596">
            <v>500.15</v>
          </cell>
          <cell r="I596">
            <v>500.15</v>
          </cell>
          <cell r="J596">
            <v>500.15</v>
          </cell>
          <cell r="K596">
            <v>500.15</v>
          </cell>
          <cell r="L596">
            <v>500.15</v>
          </cell>
          <cell r="M596">
            <v>500.15</v>
          </cell>
        </row>
        <row r="606">
          <cell r="B606">
            <v>4.2999999999999997E-2</v>
          </cell>
          <cell r="C606">
            <v>11.576000000000001</v>
          </cell>
          <cell r="D606">
            <v>9.7439999999999998</v>
          </cell>
          <cell r="E606">
            <v>5.907</v>
          </cell>
          <cell r="F606">
            <v>9.7219999999999995</v>
          </cell>
          <cell r="G606">
            <v>12.378</v>
          </cell>
          <cell r="H606">
            <v>19.186</v>
          </cell>
          <cell r="I606">
            <v>11.914</v>
          </cell>
          <cell r="J606">
            <v>2.1850000000000001</v>
          </cell>
          <cell r="K606">
            <v>6.36</v>
          </cell>
          <cell r="L606">
            <v>9.92</v>
          </cell>
          <cell r="M606">
            <v>16</v>
          </cell>
        </row>
        <row r="607">
          <cell r="B607">
            <v>22</v>
          </cell>
          <cell r="C607">
            <v>24</v>
          </cell>
          <cell r="D607">
            <v>30</v>
          </cell>
          <cell r="E607">
            <v>15</v>
          </cell>
          <cell r="F607">
            <v>15</v>
          </cell>
          <cell r="G607">
            <v>15</v>
          </cell>
          <cell r="H607">
            <v>15</v>
          </cell>
          <cell r="I607">
            <v>15</v>
          </cell>
          <cell r="J607">
            <v>15</v>
          </cell>
          <cell r="K607">
            <v>15</v>
          </cell>
          <cell r="L607">
            <v>15</v>
          </cell>
          <cell r="M607">
            <v>15</v>
          </cell>
        </row>
        <row r="608">
          <cell r="B608">
            <v>16</v>
          </cell>
          <cell r="C608">
            <v>21</v>
          </cell>
          <cell r="D608">
            <v>21</v>
          </cell>
          <cell r="E608">
            <v>15</v>
          </cell>
          <cell r="F608">
            <v>15</v>
          </cell>
          <cell r="G608">
            <v>15</v>
          </cell>
          <cell r="H608">
            <v>15</v>
          </cell>
          <cell r="I608">
            <v>15</v>
          </cell>
          <cell r="J608">
            <v>15</v>
          </cell>
          <cell r="K608">
            <v>15</v>
          </cell>
          <cell r="L608">
            <v>15</v>
          </cell>
          <cell r="M608">
            <v>15</v>
          </cell>
        </row>
        <row r="609">
          <cell r="B609">
            <v>15.01</v>
          </cell>
          <cell r="C609">
            <v>15.01</v>
          </cell>
          <cell r="D609">
            <v>15.01</v>
          </cell>
          <cell r="E609">
            <v>15.01</v>
          </cell>
          <cell r="F609">
            <v>15.01</v>
          </cell>
          <cell r="G609">
            <v>15.01</v>
          </cell>
          <cell r="H609">
            <v>15.01</v>
          </cell>
          <cell r="I609">
            <v>15.01</v>
          </cell>
          <cell r="J609">
            <v>15.01</v>
          </cell>
          <cell r="K609">
            <v>15.01</v>
          </cell>
          <cell r="L609">
            <v>15.01</v>
          </cell>
          <cell r="M609">
            <v>15.01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</row>
        <row r="726">
          <cell r="B726">
            <v>10.8</v>
          </cell>
          <cell r="C726">
            <v>17.399999999999999</v>
          </cell>
          <cell r="D726">
            <v>18.2</v>
          </cell>
          <cell r="E726">
            <v>12.1</v>
          </cell>
          <cell r="F726">
            <v>6.8</v>
          </cell>
          <cell r="G726">
            <v>17.100000000000001</v>
          </cell>
          <cell r="H726">
            <v>13.2</v>
          </cell>
          <cell r="I726">
            <v>12.2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B727">
            <v>0</v>
          </cell>
          <cell r="C727">
            <v>10.217635639113109</v>
          </cell>
          <cell r="D727">
            <v>3.0652906917339329</v>
          </cell>
          <cell r="E727">
            <v>10.217635639113109</v>
          </cell>
          <cell r="F727">
            <v>10.194719135487817</v>
          </cell>
          <cell r="G727">
            <v>12.233662962585381</v>
          </cell>
          <cell r="H727">
            <v>10.194719135487817</v>
          </cell>
          <cell r="I727">
            <v>10.194719135487817</v>
          </cell>
          <cell r="J727">
            <v>10.194719135487817</v>
          </cell>
          <cell r="K727">
            <v>11.214191049036598</v>
          </cell>
          <cell r="L727">
            <v>7.1363033948414722</v>
          </cell>
          <cell r="M727">
            <v>10.194719135487817</v>
          </cell>
        </row>
        <row r="728">
          <cell r="B728">
            <v>27</v>
          </cell>
          <cell r="C728">
            <v>16</v>
          </cell>
          <cell r="D728">
            <v>0</v>
          </cell>
          <cell r="E728">
            <v>0</v>
          </cell>
          <cell r="F728">
            <v>10</v>
          </cell>
          <cell r="G728">
            <v>12</v>
          </cell>
          <cell r="H728">
            <v>10</v>
          </cell>
          <cell r="I728">
            <v>10</v>
          </cell>
          <cell r="J728">
            <v>10</v>
          </cell>
          <cell r="K728">
            <v>11</v>
          </cell>
          <cell r="L728">
            <v>7</v>
          </cell>
          <cell r="M728">
            <v>10</v>
          </cell>
        </row>
        <row r="729">
          <cell r="B729">
            <v>11.01</v>
          </cell>
          <cell r="C729">
            <v>11.01</v>
          </cell>
          <cell r="D729">
            <v>10.01</v>
          </cell>
          <cell r="E729">
            <v>10.01</v>
          </cell>
          <cell r="F729">
            <v>10.01</v>
          </cell>
          <cell r="G729">
            <v>12.01</v>
          </cell>
          <cell r="H729">
            <v>10.01</v>
          </cell>
          <cell r="I729">
            <v>10.01</v>
          </cell>
          <cell r="J729">
            <v>10.01</v>
          </cell>
          <cell r="K729">
            <v>11.01</v>
          </cell>
          <cell r="L729">
            <v>7.01</v>
          </cell>
          <cell r="M729">
            <v>10.01</v>
          </cell>
        </row>
        <row r="730">
          <cell r="B730">
            <v>11.01</v>
          </cell>
          <cell r="C730">
            <v>11.01</v>
          </cell>
          <cell r="D730">
            <v>10.01</v>
          </cell>
          <cell r="E730">
            <v>10.01</v>
          </cell>
          <cell r="F730">
            <v>10.01</v>
          </cell>
          <cell r="G730">
            <v>12.01</v>
          </cell>
          <cell r="H730">
            <v>10.01</v>
          </cell>
          <cell r="I730">
            <v>10.01</v>
          </cell>
          <cell r="J730">
            <v>10.01</v>
          </cell>
          <cell r="K730">
            <v>11.01</v>
          </cell>
          <cell r="L730">
            <v>7.01</v>
          </cell>
          <cell r="M730">
            <v>10.01</v>
          </cell>
        </row>
        <row r="731">
          <cell r="B731">
            <v>11.01</v>
          </cell>
          <cell r="C731">
            <v>11.01</v>
          </cell>
          <cell r="D731">
            <v>10.01</v>
          </cell>
          <cell r="E731">
            <v>10.01</v>
          </cell>
          <cell r="F731">
            <v>10.01</v>
          </cell>
          <cell r="G731">
            <v>12.01</v>
          </cell>
          <cell r="H731">
            <v>10.01</v>
          </cell>
          <cell r="I731">
            <v>10.01</v>
          </cell>
          <cell r="J731">
            <v>10.01</v>
          </cell>
          <cell r="K731">
            <v>11.01</v>
          </cell>
          <cell r="L731">
            <v>7.01</v>
          </cell>
          <cell r="M731">
            <v>10.01</v>
          </cell>
        </row>
        <row r="732">
          <cell r="B732">
            <v>11.01</v>
          </cell>
          <cell r="C732">
            <v>11.01</v>
          </cell>
          <cell r="D732">
            <v>10.01</v>
          </cell>
          <cell r="E732">
            <v>10.01</v>
          </cell>
          <cell r="F732">
            <v>10.01</v>
          </cell>
          <cell r="G732">
            <v>12.01</v>
          </cell>
          <cell r="H732">
            <v>10.01</v>
          </cell>
          <cell r="I732">
            <v>10.01</v>
          </cell>
          <cell r="J732">
            <v>10.01</v>
          </cell>
          <cell r="K732">
            <v>11.01</v>
          </cell>
          <cell r="L732">
            <v>7.01</v>
          </cell>
          <cell r="M732">
            <v>10.01</v>
          </cell>
        </row>
        <row r="733">
          <cell r="B733">
            <v>11.01</v>
          </cell>
          <cell r="C733">
            <v>11.01</v>
          </cell>
          <cell r="D733">
            <v>10.01</v>
          </cell>
          <cell r="E733">
            <v>10.01</v>
          </cell>
          <cell r="F733">
            <v>10.01</v>
          </cell>
          <cell r="G733">
            <v>12.01</v>
          </cell>
          <cell r="H733">
            <v>10.01</v>
          </cell>
          <cell r="I733">
            <v>10.01</v>
          </cell>
          <cell r="J733">
            <v>10.01</v>
          </cell>
          <cell r="K733">
            <v>11.01</v>
          </cell>
          <cell r="L733">
            <v>7.01</v>
          </cell>
          <cell r="M733">
            <v>10.01</v>
          </cell>
        </row>
        <row r="734">
          <cell r="B734">
            <v>11.01</v>
          </cell>
          <cell r="C734">
            <v>11.01</v>
          </cell>
          <cell r="D734">
            <v>10.01</v>
          </cell>
          <cell r="E734">
            <v>10.01</v>
          </cell>
          <cell r="F734">
            <v>10.01</v>
          </cell>
          <cell r="G734">
            <v>12.01</v>
          </cell>
          <cell r="H734">
            <v>10.01</v>
          </cell>
          <cell r="I734">
            <v>10.01</v>
          </cell>
          <cell r="J734">
            <v>10.01</v>
          </cell>
          <cell r="K734">
            <v>11.01</v>
          </cell>
          <cell r="L734">
            <v>7.01</v>
          </cell>
          <cell r="M734">
            <v>10.01</v>
          </cell>
        </row>
        <row r="735">
          <cell r="B735">
            <v>11.01</v>
          </cell>
          <cell r="C735">
            <v>11.01</v>
          </cell>
          <cell r="D735">
            <v>10.01</v>
          </cell>
          <cell r="E735">
            <v>10.01</v>
          </cell>
          <cell r="F735">
            <v>10.01</v>
          </cell>
          <cell r="G735">
            <v>12.01</v>
          </cell>
          <cell r="H735">
            <v>10.01</v>
          </cell>
          <cell r="I735">
            <v>10.01</v>
          </cell>
          <cell r="J735">
            <v>10.01</v>
          </cell>
          <cell r="K735">
            <v>11.01</v>
          </cell>
          <cell r="L735">
            <v>7.01</v>
          </cell>
          <cell r="M735">
            <v>10.01</v>
          </cell>
        </row>
        <row r="736">
          <cell r="B736">
            <v>11.01</v>
          </cell>
          <cell r="C736">
            <v>11.01</v>
          </cell>
          <cell r="D736">
            <v>10.01</v>
          </cell>
          <cell r="E736">
            <v>10.01</v>
          </cell>
          <cell r="F736">
            <v>10.01</v>
          </cell>
          <cell r="G736">
            <v>12.01</v>
          </cell>
          <cell r="H736">
            <v>10.01</v>
          </cell>
          <cell r="I736">
            <v>10.01</v>
          </cell>
          <cell r="J736">
            <v>10.01</v>
          </cell>
          <cell r="K736">
            <v>11.01</v>
          </cell>
          <cell r="L736">
            <v>7.01</v>
          </cell>
          <cell r="M736">
            <v>10.01</v>
          </cell>
        </row>
        <row r="737">
          <cell r="B737">
            <v>11.01</v>
          </cell>
          <cell r="C737">
            <v>11.01</v>
          </cell>
          <cell r="D737">
            <v>10.01</v>
          </cell>
          <cell r="E737">
            <v>10.01</v>
          </cell>
          <cell r="F737">
            <v>10.01</v>
          </cell>
          <cell r="G737">
            <v>12.01</v>
          </cell>
          <cell r="H737">
            <v>10.01</v>
          </cell>
          <cell r="I737">
            <v>10.01</v>
          </cell>
          <cell r="J737">
            <v>10.01</v>
          </cell>
          <cell r="K737">
            <v>11.01</v>
          </cell>
          <cell r="L737">
            <v>7.01</v>
          </cell>
          <cell r="M737">
            <v>10.01</v>
          </cell>
        </row>
        <row r="738">
          <cell r="B738">
            <v>11.01</v>
          </cell>
          <cell r="C738">
            <v>11.01</v>
          </cell>
          <cell r="D738">
            <v>10.01</v>
          </cell>
          <cell r="E738">
            <v>10.01</v>
          </cell>
          <cell r="F738">
            <v>10.01</v>
          </cell>
          <cell r="G738">
            <v>12.01</v>
          </cell>
          <cell r="H738">
            <v>10.01</v>
          </cell>
          <cell r="I738">
            <v>10.01</v>
          </cell>
          <cell r="J738">
            <v>10.01</v>
          </cell>
          <cell r="K738">
            <v>11.01</v>
          </cell>
          <cell r="L738">
            <v>7.01</v>
          </cell>
          <cell r="M738">
            <v>10.01</v>
          </cell>
        </row>
        <row r="739">
          <cell r="B739">
            <v>11.01</v>
          </cell>
          <cell r="C739">
            <v>11.01</v>
          </cell>
          <cell r="D739">
            <v>10.01</v>
          </cell>
          <cell r="E739">
            <v>10.01</v>
          </cell>
          <cell r="F739">
            <v>10.01</v>
          </cell>
          <cell r="G739">
            <v>12.01</v>
          </cell>
          <cell r="H739">
            <v>10.01</v>
          </cell>
          <cell r="I739">
            <v>10.01</v>
          </cell>
          <cell r="J739">
            <v>10.01</v>
          </cell>
          <cell r="K739">
            <v>11.01</v>
          </cell>
          <cell r="L739">
            <v>7.01</v>
          </cell>
          <cell r="M739">
            <v>10.01</v>
          </cell>
        </row>
        <row r="740">
          <cell r="B740">
            <v>11.01</v>
          </cell>
          <cell r="C740">
            <v>11.01</v>
          </cell>
          <cell r="D740">
            <v>10.01</v>
          </cell>
          <cell r="E740">
            <v>10.01</v>
          </cell>
          <cell r="F740">
            <v>10.01</v>
          </cell>
          <cell r="G740">
            <v>12.01</v>
          </cell>
          <cell r="H740">
            <v>10.01</v>
          </cell>
          <cell r="I740">
            <v>10.01</v>
          </cell>
          <cell r="J740">
            <v>10.01</v>
          </cell>
          <cell r="K740">
            <v>11.01</v>
          </cell>
          <cell r="L740">
            <v>7.01</v>
          </cell>
          <cell r="M740">
            <v>10.01</v>
          </cell>
        </row>
        <row r="741">
          <cell r="B741">
            <v>11.01</v>
          </cell>
          <cell r="C741">
            <v>11.01</v>
          </cell>
          <cell r="D741">
            <v>10.01</v>
          </cell>
          <cell r="E741">
            <v>10.01</v>
          </cell>
          <cell r="F741">
            <v>10.01</v>
          </cell>
          <cell r="G741">
            <v>12.01</v>
          </cell>
          <cell r="H741">
            <v>10.01</v>
          </cell>
          <cell r="I741">
            <v>10.01</v>
          </cell>
          <cell r="J741">
            <v>10.01</v>
          </cell>
          <cell r="K741">
            <v>11.01</v>
          </cell>
          <cell r="L741">
            <v>7.01</v>
          </cell>
          <cell r="M741">
            <v>10.01</v>
          </cell>
        </row>
        <row r="742">
          <cell r="B742">
            <v>11.01</v>
          </cell>
          <cell r="C742">
            <v>11.01</v>
          </cell>
          <cell r="D742">
            <v>10.01</v>
          </cell>
          <cell r="E742">
            <v>10.01</v>
          </cell>
          <cell r="F742">
            <v>10.01</v>
          </cell>
          <cell r="G742">
            <v>12.01</v>
          </cell>
          <cell r="H742">
            <v>10.01</v>
          </cell>
          <cell r="I742">
            <v>10.01</v>
          </cell>
          <cell r="J742">
            <v>10.01</v>
          </cell>
          <cell r="K742">
            <v>11.01</v>
          </cell>
          <cell r="L742">
            <v>7.01</v>
          </cell>
          <cell r="M742">
            <v>10.01</v>
          </cell>
        </row>
        <row r="743">
          <cell r="B743">
            <v>11.01</v>
          </cell>
          <cell r="C743">
            <v>11.01</v>
          </cell>
          <cell r="D743">
            <v>10.01</v>
          </cell>
          <cell r="E743">
            <v>10.01</v>
          </cell>
          <cell r="F743">
            <v>10.01</v>
          </cell>
          <cell r="G743">
            <v>12.01</v>
          </cell>
          <cell r="H743">
            <v>10.01</v>
          </cell>
          <cell r="I743">
            <v>10.01</v>
          </cell>
          <cell r="J743">
            <v>10.01</v>
          </cell>
          <cell r="K743">
            <v>11.01</v>
          </cell>
          <cell r="L743">
            <v>7.01</v>
          </cell>
          <cell r="M743">
            <v>10.01</v>
          </cell>
        </row>
        <row r="744">
          <cell r="B744">
            <v>11.01</v>
          </cell>
          <cell r="C744">
            <v>11.01</v>
          </cell>
          <cell r="D744">
            <v>10.01</v>
          </cell>
          <cell r="E744">
            <v>10.01</v>
          </cell>
          <cell r="F744">
            <v>10.01</v>
          </cell>
          <cell r="G744">
            <v>12.01</v>
          </cell>
          <cell r="H744">
            <v>10.01</v>
          </cell>
          <cell r="I744">
            <v>10.01</v>
          </cell>
          <cell r="J744">
            <v>10.01</v>
          </cell>
          <cell r="K744">
            <v>11.01</v>
          </cell>
          <cell r="L744">
            <v>7.01</v>
          </cell>
          <cell r="M744">
            <v>10.01</v>
          </cell>
        </row>
        <row r="745">
          <cell r="B745">
            <v>11.01</v>
          </cell>
          <cell r="C745">
            <v>11.01</v>
          </cell>
          <cell r="D745">
            <v>10.01</v>
          </cell>
          <cell r="E745">
            <v>10.01</v>
          </cell>
          <cell r="F745">
            <v>10.01</v>
          </cell>
          <cell r="G745">
            <v>12.01</v>
          </cell>
          <cell r="H745">
            <v>10.01</v>
          </cell>
          <cell r="I745">
            <v>10.01</v>
          </cell>
          <cell r="J745">
            <v>10.01</v>
          </cell>
          <cell r="K745">
            <v>11.01</v>
          </cell>
          <cell r="L745">
            <v>7.01</v>
          </cell>
          <cell r="M745">
            <v>10.01</v>
          </cell>
        </row>
        <row r="746">
          <cell r="B746">
            <v>11.01</v>
          </cell>
          <cell r="C746">
            <v>11.01</v>
          </cell>
          <cell r="D746">
            <v>10.01</v>
          </cell>
          <cell r="E746">
            <v>10.01</v>
          </cell>
          <cell r="F746">
            <v>10.01</v>
          </cell>
          <cell r="G746">
            <v>12.01</v>
          </cell>
          <cell r="H746">
            <v>10.01</v>
          </cell>
          <cell r="I746">
            <v>10.01</v>
          </cell>
          <cell r="J746">
            <v>10.01</v>
          </cell>
          <cell r="K746">
            <v>11.01</v>
          </cell>
          <cell r="L746">
            <v>7.01</v>
          </cell>
          <cell r="M746">
            <v>10.01</v>
          </cell>
        </row>
        <row r="747">
          <cell r="B747">
            <v>11.01</v>
          </cell>
          <cell r="C747">
            <v>11.01</v>
          </cell>
          <cell r="D747">
            <v>10.01</v>
          </cell>
          <cell r="E747">
            <v>10.01</v>
          </cell>
          <cell r="F747">
            <v>10.01</v>
          </cell>
          <cell r="G747">
            <v>12.01</v>
          </cell>
          <cell r="H747">
            <v>10.01</v>
          </cell>
          <cell r="I747">
            <v>10.01</v>
          </cell>
          <cell r="J747">
            <v>10.01</v>
          </cell>
          <cell r="K747">
            <v>11.01</v>
          </cell>
          <cell r="L747">
            <v>7.01</v>
          </cell>
          <cell r="M747">
            <v>10.01</v>
          </cell>
        </row>
        <row r="748">
          <cell r="B748">
            <v>11.01</v>
          </cell>
          <cell r="C748">
            <v>11.01</v>
          </cell>
          <cell r="D748">
            <v>10.01</v>
          </cell>
          <cell r="E748">
            <v>10.01</v>
          </cell>
          <cell r="F748">
            <v>10.01</v>
          </cell>
          <cell r="G748">
            <v>12.01</v>
          </cell>
          <cell r="H748">
            <v>10.01</v>
          </cell>
          <cell r="I748">
            <v>10.01</v>
          </cell>
          <cell r="J748">
            <v>10.01</v>
          </cell>
          <cell r="K748">
            <v>11.01</v>
          </cell>
          <cell r="L748">
            <v>7.01</v>
          </cell>
          <cell r="M748">
            <v>10.01</v>
          </cell>
        </row>
        <row r="749">
          <cell r="B749">
            <v>11.01</v>
          </cell>
          <cell r="C749">
            <v>11.01</v>
          </cell>
          <cell r="D749">
            <v>10.01</v>
          </cell>
          <cell r="E749">
            <v>10.01</v>
          </cell>
          <cell r="F749">
            <v>10.01</v>
          </cell>
          <cell r="G749">
            <v>12.01</v>
          </cell>
          <cell r="H749">
            <v>10.01</v>
          </cell>
          <cell r="I749">
            <v>10.01</v>
          </cell>
          <cell r="J749">
            <v>10.01</v>
          </cell>
          <cell r="K749">
            <v>11.01</v>
          </cell>
          <cell r="L749">
            <v>7.01</v>
          </cell>
          <cell r="M749">
            <v>10.01</v>
          </cell>
        </row>
        <row r="750">
          <cell r="B750">
            <v>11.01</v>
          </cell>
          <cell r="C750">
            <v>11.01</v>
          </cell>
          <cell r="D750">
            <v>10.01</v>
          </cell>
          <cell r="E750">
            <v>10.01</v>
          </cell>
          <cell r="F750">
            <v>10.01</v>
          </cell>
          <cell r="G750">
            <v>12.01</v>
          </cell>
          <cell r="H750">
            <v>10.01</v>
          </cell>
          <cell r="I750">
            <v>10.01</v>
          </cell>
          <cell r="J750">
            <v>10.01</v>
          </cell>
          <cell r="K750">
            <v>11.01</v>
          </cell>
          <cell r="L750">
            <v>7.01</v>
          </cell>
          <cell r="M750">
            <v>10.01</v>
          </cell>
        </row>
        <row r="751">
          <cell r="B751">
            <v>11.01</v>
          </cell>
          <cell r="C751">
            <v>11.01</v>
          </cell>
          <cell r="D751">
            <v>10.01</v>
          </cell>
          <cell r="E751">
            <v>10.01</v>
          </cell>
          <cell r="F751">
            <v>10.01</v>
          </cell>
          <cell r="G751">
            <v>12.01</v>
          </cell>
          <cell r="H751">
            <v>10.01</v>
          </cell>
          <cell r="I751">
            <v>10.01</v>
          </cell>
          <cell r="J751">
            <v>10.01</v>
          </cell>
          <cell r="K751">
            <v>11.01</v>
          </cell>
          <cell r="L751">
            <v>7.01</v>
          </cell>
          <cell r="M751">
            <v>10.01</v>
          </cell>
        </row>
        <row r="752">
          <cell r="B752">
            <v>11.01</v>
          </cell>
          <cell r="C752">
            <v>11.01</v>
          </cell>
          <cell r="D752">
            <v>10.01</v>
          </cell>
          <cell r="E752">
            <v>10.01</v>
          </cell>
          <cell r="F752">
            <v>10.01</v>
          </cell>
          <cell r="G752">
            <v>12.01</v>
          </cell>
          <cell r="H752">
            <v>10.01</v>
          </cell>
          <cell r="I752">
            <v>10.01</v>
          </cell>
          <cell r="J752">
            <v>10.01</v>
          </cell>
          <cell r="K752">
            <v>11.01</v>
          </cell>
          <cell r="L752">
            <v>7.01</v>
          </cell>
          <cell r="M752">
            <v>10.01</v>
          </cell>
        </row>
        <row r="753">
          <cell r="B753">
            <v>11.01</v>
          </cell>
          <cell r="C753">
            <v>11.01</v>
          </cell>
          <cell r="D753">
            <v>10.01</v>
          </cell>
          <cell r="E753">
            <v>10.01</v>
          </cell>
          <cell r="F753">
            <v>10.01</v>
          </cell>
          <cell r="G753">
            <v>12.01</v>
          </cell>
          <cell r="H753">
            <v>10.01</v>
          </cell>
          <cell r="I753">
            <v>10.01</v>
          </cell>
          <cell r="J753">
            <v>10.01</v>
          </cell>
          <cell r="K753">
            <v>11.01</v>
          </cell>
          <cell r="L753">
            <v>7.01</v>
          </cell>
          <cell r="M753">
            <v>10.01</v>
          </cell>
        </row>
        <row r="754">
          <cell r="B754">
            <v>11.01</v>
          </cell>
          <cell r="C754">
            <v>11.01</v>
          </cell>
          <cell r="D754">
            <v>10.01</v>
          </cell>
          <cell r="E754">
            <v>10.01</v>
          </cell>
          <cell r="F754">
            <v>10.01</v>
          </cell>
          <cell r="G754">
            <v>12.01</v>
          </cell>
          <cell r="H754">
            <v>10.01</v>
          </cell>
          <cell r="I754">
            <v>10.01</v>
          </cell>
          <cell r="J754">
            <v>10.01</v>
          </cell>
          <cell r="K754">
            <v>11.01</v>
          </cell>
          <cell r="L754">
            <v>7.01</v>
          </cell>
          <cell r="M754">
            <v>10.01</v>
          </cell>
        </row>
        <row r="755">
          <cell r="B755">
            <v>11.01</v>
          </cell>
          <cell r="C755">
            <v>11.01</v>
          </cell>
          <cell r="D755">
            <v>10.01</v>
          </cell>
          <cell r="E755">
            <v>10.01</v>
          </cell>
          <cell r="F755">
            <v>10.01</v>
          </cell>
          <cell r="G755">
            <v>12.01</v>
          </cell>
          <cell r="H755">
            <v>10.01</v>
          </cell>
          <cell r="I755">
            <v>10.01</v>
          </cell>
          <cell r="J755">
            <v>10.01</v>
          </cell>
          <cell r="K755">
            <v>11.01</v>
          </cell>
          <cell r="L755">
            <v>7.01</v>
          </cell>
          <cell r="M755">
            <v>10.01</v>
          </cell>
        </row>
        <row r="756">
          <cell r="B756">
            <v>11.01</v>
          </cell>
          <cell r="C756">
            <v>11.01</v>
          </cell>
          <cell r="D756">
            <v>10.01</v>
          </cell>
          <cell r="E756">
            <v>10.01</v>
          </cell>
          <cell r="F756">
            <v>10.01</v>
          </cell>
          <cell r="G756">
            <v>12.01</v>
          </cell>
          <cell r="H756">
            <v>10.01</v>
          </cell>
          <cell r="I756">
            <v>10.01</v>
          </cell>
          <cell r="J756">
            <v>10.01</v>
          </cell>
          <cell r="K756">
            <v>11.01</v>
          </cell>
          <cell r="L756">
            <v>7.01</v>
          </cell>
          <cell r="M756">
            <v>10.01</v>
          </cell>
        </row>
        <row r="766">
          <cell r="B766">
            <v>25</v>
          </cell>
          <cell r="C766">
            <v>25</v>
          </cell>
          <cell r="D766">
            <v>25</v>
          </cell>
          <cell r="E766">
            <v>25</v>
          </cell>
          <cell r="F766">
            <v>25</v>
          </cell>
          <cell r="G766">
            <v>25</v>
          </cell>
          <cell r="H766">
            <v>25</v>
          </cell>
          <cell r="I766">
            <v>25</v>
          </cell>
          <cell r="J766">
            <v>25</v>
          </cell>
          <cell r="K766">
            <v>25</v>
          </cell>
          <cell r="L766">
            <v>10</v>
          </cell>
          <cell r="M766">
            <v>25</v>
          </cell>
        </row>
        <row r="767">
          <cell r="B767">
            <v>25</v>
          </cell>
          <cell r="C767">
            <v>25</v>
          </cell>
          <cell r="D767">
            <v>25</v>
          </cell>
          <cell r="E767">
            <v>25</v>
          </cell>
          <cell r="F767">
            <v>25</v>
          </cell>
          <cell r="G767">
            <v>25</v>
          </cell>
          <cell r="H767">
            <v>25</v>
          </cell>
          <cell r="I767">
            <v>25</v>
          </cell>
          <cell r="J767">
            <v>25</v>
          </cell>
          <cell r="K767">
            <v>25</v>
          </cell>
          <cell r="L767">
            <v>25</v>
          </cell>
          <cell r="M767">
            <v>25</v>
          </cell>
        </row>
        <row r="768">
          <cell r="B768">
            <v>25</v>
          </cell>
          <cell r="C768">
            <v>25</v>
          </cell>
          <cell r="D768">
            <v>25</v>
          </cell>
          <cell r="E768">
            <v>25</v>
          </cell>
          <cell r="F768">
            <v>25</v>
          </cell>
          <cell r="G768">
            <v>25</v>
          </cell>
          <cell r="H768">
            <v>25</v>
          </cell>
          <cell r="I768">
            <v>25</v>
          </cell>
          <cell r="J768">
            <v>25</v>
          </cell>
          <cell r="K768">
            <v>25</v>
          </cell>
          <cell r="L768">
            <v>25</v>
          </cell>
          <cell r="M768">
            <v>25</v>
          </cell>
        </row>
        <row r="769">
          <cell r="B769">
            <v>25.02</v>
          </cell>
          <cell r="C769">
            <v>25.02</v>
          </cell>
          <cell r="D769">
            <v>25.02</v>
          </cell>
          <cell r="E769">
            <v>25.02</v>
          </cell>
          <cell r="F769">
            <v>25.02</v>
          </cell>
          <cell r="G769">
            <v>25.02</v>
          </cell>
          <cell r="H769">
            <v>25.02</v>
          </cell>
          <cell r="I769">
            <v>25.02</v>
          </cell>
          <cell r="J769">
            <v>25.02</v>
          </cell>
          <cell r="K769">
            <v>25.02</v>
          </cell>
          <cell r="L769">
            <v>25.02</v>
          </cell>
          <cell r="M769">
            <v>25.02</v>
          </cell>
        </row>
        <row r="770">
          <cell r="B770">
            <v>25.02</v>
          </cell>
          <cell r="C770">
            <v>25.02</v>
          </cell>
          <cell r="D770">
            <v>25.02</v>
          </cell>
          <cell r="E770">
            <v>25.02</v>
          </cell>
          <cell r="F770">
            <v>25.02</v>
          </cell>
          <cell r="G770">
            <v>25.02</v>
          </cell>
          <cell r="H770">
            <v>25.02</v>
          </cell>
          <cell r="I770">
            <v>25.02</v>
          </cell>
          <cell r="J770">
            <v>25.02</v>
          </cell>
          <cell r="K770">
            <v>25.02</v>
          </cell>
          <cell r="L770">
            <v>25.02</v>
          </cell>
          <cell r="M770">
            <v>25.02</v>
          </cell>
        </row>
        <row r="771">
          <cell r="B771">
            <v>25.02</v>
          </cell>
          <cell r="C771">
            <v>25.02</v>
          </cell>
          <cell r="D771">
            <v>25.02</v>
          </cell>
          <cell r="E771">
            <v>25.02</v>
          </cell>
          <cell r="F771">
            <v>25.02</v>
          </cell>
          <cell r="G771">
            <v>25.02</v>
          </cell>
          <cell r="H771">
            <v>25.02</v>
          </cell>
          <cell r="I771">
            <v>25.02</v>
          </cell>
          <cell r="J771">
            <v>25.02</v>
          </cell>
          <cell r="K771">
            <v>25.02</v>
          </cell>
          <cell r="L771">
            <v>25.02</v>
          </cell>
          <cell r="M771">
            <v>25.02</v>
          </cell>
        </row>
        <row r="772">
          <cell r="B772">
            <v>25.02</v>
          </cell>
          <cell r="C772">
            <v>25.02</v>
          </cell>
          <cell r="D772">
            <v>25.02</v>
          </cell>
          <cell r="E772">
            <v>25.02</v>
          </cell>
          <cell r="F772">
            <v>25.02</v>
          </cell>
          <cell r="G772">
            <v>25.02</v>
          </cell>
          <cell r="H772">
            <v>25.02</v>
          </cell>
          <cell r="I772">
            <v>25.02</v>
          </cell>
          <cell r="J772">
            <v>25.02</v>
          </cell>
          <cell r="K772">
            <v>25.02</v>
          </cell>
          <cell r="L772">
            <v>25.02</v>
          </cell>
          <cell r="M772">
            <v>25.02</v>
          </cell>
        </row>
        <row r="773">
          <cell r="B773">
            <v>25.02</v>
          </cell>
          <cell r="C773">
            <v>25.02</v>
          </cell>
          <cell r="D773">
            <v>25.02</v>
          </cell>
          <cell r="E773">
            <v>25.02</v>
          </cell>
          <cell r="F773">
            <v>25.02</v>
          </cell>
          <cell r="G773">
            <v>25.02</v>
          </cell>
          <cell r="H773">
            <v>25.02</v>
          </cell>
          <cell r="I773">
            <v>25.02</v>
          </cell>
          <cell r="J773">
            <v>25.02</v>
          </cell>
          <cell r="K773">
            <v>25.02</v>
          </cell>
          <cell r="L773">
            <v>25.02</v>
          </cell>
          <cell r="M773">
            <v>25.02</v>
          </cell>
        </row>
        <row r="774">
          <cell r="B774">
            <v>25.02</v>
          </cell>
          <cell r="C774">
            <v>25.02</v>
          </cell>
          <cell r="D774">
            <v>25.02</v>
          </cell>
          <cell r="E774">
            <v>25.02</v>
          </cell>
          <cell r="F774">
            <v>25.02</v>
          </cell>
          <cell r="G774">
            <v>25.02</v>
          </cell>
          <cell r="H774">
            <v>25.02</v>
          </cell>
          <cell r="I774">
            <v>25.02</v>
          </cell>
          <cell r="J774">
            <v>25.02</v>
          </cell>
          <cell r="K774">
            <v>25.02</v>
          </cell>
          <cell r="L774">
            <v>25.02</v>
          </cell>
          <cell r="M774">
            <v>25.02</v>
          </cell>
        </row>
        <row r="775">
          <cell r="B775">
            <v>25.02</v>
          </cell>
          <cell r="C775">
            <v>25.02</v>
          </cell>
          <cell r="D775">
            <v>25.02</v>
          </cell>
          <cell r="E775">
            <v>25.02</v>
          </cell>
          <cell r="F775">
            <v>25.02</v>
          </cell>
          <cell r="G775">
            <v>25.02</v>
          </cell>
          <cell r="H775">
            <v>25.02</v>
          </cell>
          <cell r="I775">
            <v>25.02</v>
          </cell>
          <cell r="J775">
            <v>25.02</v>
          </cell>
          <cell r="K775">
            <v>25.02</v>
          </cell>
          <cell r="L775">
            <v>25.02</v>
          </cell>
          <cell r="M775">
            <v>25.02</v>
          </cell>
        </row>
        <row r="776">
          <cell r="B776">
            <v>25.02</v>
          </cell>
          <cell r="C776">
            <v>25.02</v>
          </cell>
          <cell r="D776">
            <v>25.02</v>
          </cell>
          <cell r="E776">
            <v>25.02</v>
          </cell>
          <cell r="F776">
            <v>25.02</v>
          </cell>
          <cell r="G776">
            <v>25.02</v>
          </cell>
          <cell r="H776">
            <v>25.02</v>
          </cell>
          <cell r="I776">
            <v>25.02</v>
          </cell>
          <cell r="J776">
            <v>25.02</v>
          </cell>
          <cell r="K776">
            <v>25.02</v>
          </cell>
          <cell r="L776">
            <v>25.02</v>
          </cell>
          <cell r="M776">
            <v>25.02</v>
          </cell>
        </row>
        <row r="777">
          <cell r="B777">
            <v>25.02</v>
          </cell>
          <cell r="C777">
            <v>25.02</v>
          </cell>
          <cell r="D777">
            <v>25.02</v>
          </cell>
          <cell r="E777">
            <v>25.02</v>
          </cell>
          <cell r="F777">
            <v>25.02</v>
          </cell>
          <cell r="G777">
            <v>25.02</v>
          </cell>
          <cell r="H777">
            <v>25.02</v>
          </cell>
          <cell r="I777">
            <v>25.02</v>
          </cell>
          <cell r="J777">
            <v>25.02</v>
          </cell>
          <cell r="K777">
            <v>25.02</v>
          </cell>
          <cell r="L777">
            <v>25.02</v>
          </cell>
          <cell r="M777">
            <v>25.02</v>
          </cell>
        </row>
        <row r="778">
          <cell r="B778">
            <v>25.02</v>
          </cell>
          <cell r="C778">
            <v>25.02</v>
          </cell>
          <cell r="D778">
            <v>25.02</v>
          </cell>
          <cell r="E778">
            <v>25.02</v>
          </cell>
          <cell r="F778">
            <v>25.02</v>
          </cell>
          <cell r="G778">
            <v>25.02</v>
          </cell>
          <cell r="H778">
            <v>25.02</v>
          </cell>
          <cell r="I778">
            <v>25.02</v>
          </cell>
          <cell r="J778">
            <v>25.02</v>
          </cell>
          <cell r="K778">
            <v>25.02</v>
          </cell>
          <cell r="L778">
            <v>25.02</v>
          </cell>
          <cell r="M778">
            <v>25.02</v>
          </cell>
        </row>
        <row r="779">
          <cell r="B779">
            <v>25.02</v>
          </cell>
          <cell r="C779">
            <v>25.02</v>
          </cell>
          <cell r="D779">
            <v>25.02</v>
          </cell>
          <cell r="E779">
            <v>25.02</v>
          </cell>
          <cell r="F779">
            <v>25.02</v>
          </cell>
          <cell r="G779">
            <v>25.02</v>
          </cell>
          <cell r="H779">
            <v>25.02</v>
          </cell>
          <cell r="I779">
            <v>25.02</v>
          </cell>
          <cell r="J779">
            <v>25.02</v>
          </cell>
          <cell r="K779">
            <v>25.02</v>
          </cell>
          <cell r="L779">
            <v>25.02</v>
          </cell>
          <cell r="M779">
            <v>25.02</v>
          </cell>
        </row>
        <row r="780">
          <cell r="B780">
            <v>25.02</v>
          </cell>
          <cell r="C780">
            <v>25.02</v>
          </cell>
          <cell r="D780">
            <v>25.02</v>
          </cell>
          <cell r="E780">
            <v>25.02</v>
          </cell>
          <cell r="F780">
            <v>25.02</v>
          </cell>
          <cell r="G780">
            <v>25.02</v>
          </cell>
          <cell r="H780">
            <v>25.02</v>
          </cell>
          <cell r="I780">
            <v>25.02</v>
          </cell>
          <cell r="J780">
            <v>25.02</v>
          </cell>
          <cell r="K780">
            <v>25.02</v>
          </cell>
          <cell r="L780">
            <v>25.02</v>
          </cell>
          <cell r="M780">
            <v>25.02</v>
          </cell>
        </row>
        <row r="781">
          <cell r="B781">
            <v>25.02</v>
          </cell>
          <cell r="C781">
            <v>25.02</v>
          </cell>
          <cell r="D781">
            <v>25.02</v>
          </cell>
          <cell r="E781">
            <v>25.02</v>
          </cell>
          <cell r="F781">
            <v>25.02</v>
          </cell>
          <cell r="G781">
            <v>25.02</v>
          </cell>
          <cell r="H781">
            <v>25.02</v>
          </cell>
          <cell r="I781">
            <v>25.02</v>
          </cell>
          <cell r="J781">
            <v>25.02</v>
          </cell>
          <cell r="K781">
            <v>25.02</v>
          </cell>
          <cell r="L781">
            <v>25.02</v>
          </cell>
          <cell r="M781">
            <v>25.02</v>
          </cell>
        </row>
        <row r="782">
          <cell r="B782">
            <v>25.02</v>
          </cell>
          <cell r="C782">
            <v>25.02</v>
          </cell>
          <cell r="D782">
            <v>25.02</v>
          </cell>
          <cell r="E782">
            <v>25.02</v>
          </cell>
          <cell r="F782">
            <v>25.02</v>
          </cell>
          <cell r="G782">
            <v>25.02</v>
          </cell>
          <cell r="H782">
            <v>25.02</v>
          </cell>
          <cell r="I782">
            <v>25.02</v>
          </cell>
          <cell r="J782">
            <v>25.02</v>
          </cell>
          <cell r="K782">
            <v>25.02</v>
          </cell>
          <cell r="L782">
            <v>25.02</v>
          </cell>
          <cell r="M782">
            <v>25.02</v>
          </cell>
        </row>
        <row r="783">
          <cell r="B783">
            <v>25.02</v>
          </cell>
          <cell r="C783">
            <v>25.02</v>
          </cell>
          <cell r="D783">
            <v>25.02</v>
          </cell>
          <cell r="E783">
            <v>25.02</v>
          </cell>
          <cell r="F783">
            <v>25.02</v>
          </cell>
          <cell r="G783">
            <v>25.02</v>
          </cell>
          <cell r="H783">
            <v>25.02</v>
          </cell>
          <cell r="I783">
            <v>25.02</v>
          </cell>
          <cell r="J783">
            <v>25.02</v>
          </cell>
          <cell r="K783">
            <v>25.02</v>
          </cell>
          <cell r="L783">
            <v>25.02</v>
          </cell>
          <cell r="M783">
            <v>25.02</v>
          </cell>
        </row>
        <row r="784">
          <cell r="B784">
            <v>25.02</v>
          </cell>
          <cell r="C784">
            <v>25.02</v>
          </cell>
          <cell r="D784">
            <v>25.02</v>
          </cell>
          <cell r="E784">
            <v>25.02</v>
          </cell>
          <cell r="F784">
            <v>25.02</v>
          </cell>
          <cell r="G784">
            <v>25.02</v>
          </cell>
          <cell r="H784">
            <v>25.02</v>
          </cell>
          <cell r="I784">
            <v>25.02</v>
          </cell>
          <cell r="J784">
            <v>25.02</v>
          </cell>
          <cell r="K784">
            <v>25.02</v>
          </cell>
          <cell r="L784">
            <v>25.02</v>
          </cell>
          <cell r="M784">
            <v>25.02</v>
          </cell>
        </row>
        <row r="785">
          <cell r="B785">
            <v>25.02</v>
          </cell>
          <cell r="C785">
            <v>25.02</v>
          </cell>
          <cell r="D785">
            <v>25.02</v>
          </cell>
          <cell r="E785">
            <v>25.02</v>
          </cell>
          <cell r="F785">
            <v>25.02</v>
          </cell>
          <cell r="G785">
            <v>25.02</v>
          </cell>
          <cell r="H785">
            <v>25.02</v>
          </cell>
          <cell r="I785">
            <v>25.02</v>
          </cell>
          <cell r="J785">
            <v>25.02</v>
          </cell>
          <cell r="K785">
            <v>25.02</v>
          </cell>
          <cell r="L785">
            <v>25.02</v>
          </cell>
          <cell r="M785">
            <v>25.02</v>
          </cell>
        </row>
        <row r="786">
          <cell r="B786">
            <v>25.02</v>
          </cell>
          <cell r="C786">
            <v>25.02</v>
          </cell>
          <cell r="D786">
            <v>25.02</v>
          </cell>
          <cell r="E786">
            <v>25.02</v>
          </cell>
          <cell r="F786">
            <v>25.02</v>
          </cell>
          <cell r="G786">
            <v>25.02</v>
          </cell>
          <cell r="H786">
            <v>25.02</v>
          </cell>
          <cell r="I786">
            <v>25.02</v>
          </cell>
          <cell r="J786">
            <v>25.02</v>
          </cell>
          <cell r="K786">
            <v>25.02</v>
          </cell>
          <cell r="L786">
            <v>25.02</v>
          </cell>
          <cell r="M786">
            <v>25.02</v>
          </cell>
        </row>
        <row r="787">
          <cell r="B787">
            <v>25.02</v>
          </cell>
          <cell r="C787">
            <v>25.02</v>
          </cell>
          <cell r="D787">
            <v>25.02</v>
          </cell>
          <cell r="E787">
            <v>25.02</v>
          </cell>
          <cell r="F787">
            <v>25.02</v>
          </cell>
          <cell r="G787">
            <v>25.02</v>
          </cell>
          <cell r="H787">
            <v>25.02</v>
          </cell>
          <cell r="I787">
            <v>25.02</v>
          </cell>
          <cell r="J787">
            <v>25.02</v>
          </cell>
          <cell r="K787">
            <v>25.02</v>
          </cell>
          <cell r="L787">
            <v>25.02</v>
          </cell>
          <cell r="M787">
            <v>25.02</v>
          </cell>
        </row>
        <row r="788">
          <cell r="B788">
            <v>25.02</v>
          </cell>
          <cell r="C788">
            <v>25.02</v>
          </cell>
          <cell r="D788">
            <v>25.02</v>
          </cell>
          <cell r="E788">
            <v>25.02</v>
          </cell>
          <cell r="F788">
            <v>25.02</v>
          </cell>
          <cell r="G788">
            <v>25.02</v>
          </cell>
          <cell r="H788">
            <v>25.02</v>
          </cell>
          <cell r="I788">
            <v>25.02</v>
          </cell>
          <cell r="J788">
            <v>25.02</v>
          </cell>
          <cell r="K788">
            <v>25.02</v>
          </cell>
          <cell r="L788">
            <v>25.02</v>
          </cell>
          <cell r="M788">
            <v>25.02</v>
          </cell>
        </row>
        <row r="789">
          <cell r="B789">
            <v>25.02</v>
          </cell>
          <cell r="C789">
            <v>25.02</v>
          </cell>
          <cell r="D789">
            <v>25.02</v>
          </cell>
          <cell r="E789">
            <v>25.02</v>
          </cell>
          <cell r="F789">
            <v>25.02</v>
          </cell>
          <cell r="G789">
            <v>25.02</v>
          </cell>
          <cell r="H789">
            <v>25.02</v>
          </cell>
          <cell r="I789">
            <v>25.02</v>
          </cell>
          <cell r="J789">
            <v>25.02</v>
          </cell>
          <cell r="K789">
            <v>25.02</v>
          </cell>
          <cell r="L789">
            <v>25.02</v>
          </cell>
          <cell r="M789">
            <v>25.02</v>
          </cell>
        </row>
        <row r="790">
          <cell r="B790">
            <v>25.02</v>
          </cell>
          <cell r="C790">
            <v>25.02</v>
          </cell>
          <cell r="D790">
            <v>25.02</v>
          </cell>
          <cell r="E790">
            <v>25.02</v>
          </cell>
          <cell r="F790">
            <v>25.02</v>
          </cell>
          <cell r="G790">
            <v>25.02</v>
          </cell>
          <cell r="H790">
            <v>25.02</v>
          </cell>
          <cell r="I790">
            <v>25.02</v>
          </cell>
          <cell r="J790">
            <v>25.02</v>
          </cell>
          <cell r="K790">
            <v>25.02</v>
          </cell>
          <cell r="L790">
            <v>25.02</v>
          </cell>
          <cell r="M790">
            <v>25.02</v>
          </cell>
        </row>
        <row r="791">
          <cell r="B791">
            <v>25.02</v>
          </cell>
          <cell r="C791">
            <v>25.02</v>
          </cell>
          <cell r="D791">
            <v>25.02</v>
          </cell>
          <cell r="E791">
            <v>25.02</v>
          </cell>
          <cell r="F791">
            <v>25.02</v>
          </cell>
          <cell r="G791">
            <v>25.02</v>
          </cell>
          <cell r="H791">
            <v>25.02</v>
          </cell>
          <cell r="I791">
            <v>25.02</v>
          </cell>
          <cell r="J791">
            <v>25.02</v>
          </cell>
          <cell r="K791">
            <v>25.02</v>
          </cell>
          <cell r="L791">
            <v>25.02</v>
          </cell>
          <cell r="M791">
            <v>25.02</v>
          </cell>
        </row>
        <row r="792">
          <cell r="B792">
            <v>25.02</v>
          </cell>
          <cell r="C792">
            <v>25.02</v>
          </cell>
          <cell r="D792">
            <v>25.02</v>
          </cell>
          <cell r="E792">
            <v>25.02</v>
          </cell>
          <cell r="F792">
            <v>25.02</v>
          </cell>
          <cell r="G792">
            <v>25.02</v>
          </cell>
          <cell r="H792">
            <v>25.02</v>
          </cell>
          <cell r="I792">
            <v>25.02</v>
          </cell>
          <cell r="J792">
            <v>25.02</v>
          </cell>
          <cell r="K792">
            <v>25.02</v>
          </cell>
          <cell r="L792">
            <v>25.02</v>
          </cell>
          <cell r="M792">
            <v>25.02</v>
          </cell>
        </row>
        <row r="793">
          <cell r="B793">
            <v>25.02</v>
          </cell>
          <cell r="C793">
            <v>25.02</v>
          </cell>
          <cell r="D793">
            <v>25.02</v>
          </cell>
          <cell r="E793">
            <v>25.02</v>
          </cell>
          <cell r="F793">
            <v>25.02</v>
          </cell>
          <cell r="G793">
            <v>25.02</v>
          </cell>
          <cell r="H793">
            <v>25.02</v>
          </cell>
          <cell r="I793">
            <v>25.02</v>
          </cell>
          <cell r="J793">
            <v>25.02</v>
          </cell>
          <cell r="K793">
            <v>25.02</v>
          </cell>
          <cell r="L793">
            <v>25.02</v>
          </cell>
          <cell r="M793">
            <v>25.02</v>
          </cell>
        </row>
        <row r="794">
          <cell r="B794">
            <v>25.02</v>
          </cell>
          <cell r="C794">
            <v>25.02</v>
          </cell>
          <cell r="D794">
            <v>25.02</v>
          </cell>
          <cell r="E794">
            <v>25.02</v>
          </cell>
          <cell r="F794">
            <v>25.02</v>
          </cell>
          <cell r="G794">
            <v>25.02</v>
          </cell>
          <cell r="H794">
            <v>25.02</v>
          </cell>
          <cell r="I794">
            <v>25.02</v>
          </cell>
          <cell r="J794">
            <v>25.02</v>
          </cell>
          <cell r="K794">
            <v>25.02</v>
          </cell>
          <cell r="L794">
            <v>25.02</v>
          </cell>
          <cell r="M794">
            <v>25.02</v>
          </cell>
        </row>
        <row r="795">
          <cell r="B795">
            <v>25.02</v>
          </cell>
          <cell r="C795">
            <v>25.02</v>
          </cell>
          <cell r="D795">
            <v>25.02</v>
          </cell>
          <cell r="E795">
            <v>25.02</v>
          </cell>
          <cell r="F795">
            <v>25.02</v>
          </cell>
          <cell r="G795">
            <v>25.02</v>
          </cell>
          <cell r="H795">
            <v>25.02</v>
          </cell>
          <cell r="I795">
            <v>25.02</v>
          </cell>
          <cell r="J795">
            <v>25.02</v>
          </cell>
          <cell r="K795">
            <v>25.02</v>
          </cell>
          <cell r="L795">
            <v>25.02</v>
          </cell>
          <cell r="M795">
            <v>25.02</v>
          </cell>
        </row>
        <row r="796">
          <cell r="B796">
            <v>25.02</v>
          </cell>
          <cell r="C796">
            <v>25.02</v>
          </cell>
          <cell r="D796">
            <v>25.02</v>
          </cell>
          <cell r="E796">
            <v>25.02</v>
          </cell>
          <cell r="F796">
            <v>25.02</v>
          </cell>
          <cell r="G796">
            <v>25.02</v>
          </cell>
          <cell r="H796">
            <v>25.02</v>
          </cell>
          <cell r="I796">
            <v>25.02</v>
          </cell>
          <cell r="J796">
            <v>25.02</v>
          </cell>
          <cell r="K796">
            <v>25.02</v>
          </cell>
          <cell r="L796">
            <v>25.02</v>
          </cell>
          <cell r="M796">
            <v>25.02</v>
          </cell>
        </row>
        <row r="806">
          <cell r="B806">
            <v>8.3780000000000001</v>
          </cell>
          <cell r="C806">
            <v>7.0880000000000001</v>
          </cell>
          <cell r="D806">
            <v>6.2480000000000002</v>
          </cell>
          <cell r="E806">
            <v>4.9550000000000001</v>
          </cell>
          <cell r="F806">
            <v>6.641</v>
          </cell>
          <cell r="G806">
            <v>6.6449999999999996</v>
          </cell>
          <cell r="H806">
            <v>7.2720000000000002</v>
          </cell>
          <cell r="I806">
            <v>7.62</v>
          </cell>
          <cell r="J806">
            <v>7.1740000000000004</v>
          </cell>
          <cell r="K806">
            <v>5.9390000000000001</v>
          </cell>
          <cell r="L806">
            <v>4.6539999999999999</v>
          </cell>
          <cell r="M806">
            <v>7.1</v>
          </cell>
        </row>
        <row r="807">
          <cell r="B807">
            <v>8</v>
          </cell>
          <cell r="C807">
            <v>6</v>
          </cell>
          <cell r="D807">
            <v>5</v>
          </cell>
          <cell r="E807">
            <v>6</v>
          </cell>
          <cell r="F807">
            <v>6</v>
          </cell>
          <cell r="G807">
            <v>6</v>
          </cell>
          <cell r="H807">
            <v>6</v>
          </cell>
          <cell r="I807">
            <v>6</v>
          </cell>
          <cell r="J807">
            <v>6</v>
          </cell>
          <cell r="K807">
            <v>6</v>
          </cell>
          <cell r="L807">
            <v>5</v>
          </cell>
          <cell r="M807">
            <v>5</v>
          </cell>
        </row>
        <row r="808">
          <cell r="B808">
            <v>7</v>
          </cell>
          <cell r="C808">
            <v>6</v>
          </cell>
          <cell r="D808">
            <v>5</v>
          </cell>
          <cell r="E808">
            <v>5</v>
          </cell>
          <cell r="F808">
            <v>6</v>
          </cell>
          <cell r="G808">
            <v>7</v>
          </cell>
          <cell r="H808">
            <v>7</v>
          </cell>
          <cell r="I808">
            <v>6</v>
          </cell>
          <cell r="J808">
            <v>6</v>
          </cell>
          <cell r="K808">
            <v>6</v>
          </cell>
          <cell r="L808">
            <v>5</v>
          </cell>
          <cell r="M808">
            <v>5</v>
          </cell>
        </row>
        <row r="809">
          <cell r="B809">
            <v>6.31</v>
          </cell>
          <cell r="C809">
            <v>5.83</v>
          </cell>
          <cell r="D809">
            <v>5.1100000000000003</v>
          </cell>
          <cell r="E809">
            <v>4.54</v>
          </cell>
          <cell r="F809">
            <v>5.95</v>
          </cell>
          <cell r="G809">
            <v>6.5</v>
          </cell>
          <cell r="H809">
            <v>6.65</v>
          </cell>
          <cell r="I809">
            <v>6.37</v>
          </cell>
          <cell r="J809">
            <v>6.03</v>
          </cell>
          <cell r="K809">
            <v>5.73</v>
          </cell>
          <cell r="L809">
            <v>4.84</v>
          </cell>
          <cell r="M809">
            <v>5.54</v>
          </cell>
        </row>
        <row r="810">
          <cell r="B810">
            <v>6.41</v>
          </cell>
          <cell r="C810">
            <v>5.7</v>
          </cell>
          <cell r="D810">
            <v>5.1100000000000003</v>
          </cell>
          <cell r="E810">
            <v>4.5999999999999996</v>
          </cell>
          <cell r="F810">
            <v>6.05</v>
          </cell>
          <cell r="G810">
            <v>6.57</v>
          </cell>
          <cell r="H810">
            <v>6.75</v>
          </cell>
          <cell r="I810">
            <v>6.43</v>
          </cell>
          <cell r="J810">
            <v>6.13</v>
          </cell>
          <cell r="K810">
            <v>5.54</v>
          </cell>
          <cell r="L810">
            <v>4.84</v>
          </cell>
          <cell r="M810">
            <v>5.64</v>
          </cell>
        </row>
        <row r="811">
          <cell r="B811">
            <v>6.51</v>
          </cell>
          <cell r="C811">
            <v>5.7</v>
          </cell>
          <cell r="D811">
            <v>5.2</v>
          </cell>
          <cell r="E811">
            <v>4.6500000000000004</v>
          </cell>
          <cell r="F811">
            <v>6.14</v>
          </cell>
          <cell r="G811">
            <v>6.61</v>
          </cell>
          <cell r="H811">
            <v>6.84</v>
          </cell>
          <cell r="I811">
            <v>6.48</v>
          </cell>
          <cell r="J811">
            <v>6.13</v>
          </cell>
          <cell r="K811">
            <v>5.59</v>
          </cell>
          <cell r="L811">
            <v>4.84</v>
          </cell>
          <cell r="M811">
            <v>5.73</v>
          </cell>
        </row>
        <row r="812">
          <cell r="B812">
            <v>6.61</v>
          </cell>
          <cell r="C812">
            <v>5.7</v>
          </cell>
          <cell r="D812">
            <v>5.2</v>
          </cell>
          <cell r="E812">
            <v>4.7</v>
          </cell>
          <cell r="F812">
            <v>6.24</v>
          </cell>
          <cell r="G812">
            <v>6.66</v>
          </cell>
          <cell r="H812">
            <v>6.94</v>
          </cell>
          <cell r="I812">
            <v>6.53</v>
          </cell>
          <cell r="J812">
            <v>6.13</v>
          </cell>
          <cell r="K812">
            <v>5.63</v>
          </cell>
          <cell r="L812">
            <v>4.9000000000000004</v>
          </cell>
          <cell r="M812">
            <v>5.83</v>
          </cell>
        </row>
        <row r="813">
          <cell r="B813">
            <v>6.7</v>
          </cell>
          <cell r="C813">
            <v>5.7</v>
          </cell>
          <cell r="D813">
            <v>5.25</v>
          </cell>
          <cell r="E813">
            <v>4.75</v>
          </cell>
          <cell r="F813">
            <v>6.33</v>
          </cell>
          <cell r="G813">
            <v>6.71</v>
          </cell>
          <cell r="H813">
            <v>7.03</v>
          </cell>
          <cell r="I813">
            <v>6.58</v>
          </cell>
          <cell r="J813">
            <v>6.16</v>
          </cell>
          <cell r="K813">
            <v>5.67</v>
          </cell>
          <cell r="L813">
            <v>4.95</v>
          </cell>
          <cell r="M813">
            <v>5.93</v>
          </cell>
        </row>
        <row r="814">
          <cell r="B814">
            <v>6.8</v>
          </cell>
          <cell r="C814">
            <v>5.7</v>
          </cell>
          <cell r="D814">
            <v>5.29</v>
          </cell>
          <cell r="E814">
            <v>4.79</v>
          </cell>
          <cell r="F814">
            <v>6.43</v>
          </cell>
          <cell r="G814">
            <v>6.75</v>
          </cell>
          <cell r="H814">
            <v>7.13</v>
          </cell>
          <cell r="I814">
            <v>6.62</v>
          </cell>
          <cell r="J814">
            <v>6.19</v>
          </cell>
          <cell r="K814">
            <v>5.7</v>
          </cell>
          <cell r="L814">
            <v>5</v>
          </cell>
          <cell r="M814">
            <v>6.02</v>
          </cell>
        </row>
        <row r="815">
          <cell r="B815">
            <v>6.9</v>
          </cell>
          <cell r="C815">
            <v>5.83</v>
          </cell>
          <cell r="D815">
            <v>5.33</v>
          </cell>
          <cell r="E815">
            <v>4.84</v>
          </cell>
          <cell r="F815">
            <v>6.52</v>
          </cell>
          <cell r="G815">
            <v>6.8</v>
          </cell>
          <cell r="H815">
            <v>7.22</v>
          </cell>
          <cell r="I815">
            <v>6.67</v>
          </cell>
          <cell r="J815">
            <v>6.21</v>
          </cell>
          <cell r="K815">
            <v>5.74</v>
          </cell>
          <cell r="L815">
            <v>5.04</v>
          </cell>
          <cell r="M815">
            <v>6.12</v>
          </cell>
        </row>
        <row r="816">
          <cell r="B816">
            <v>7</v>
          </cell>
          <cell r="C816">
            <v>5.83</v>
          </cell>
          <cell r="D816">
            <v>5.37</v>
          </cell>
          <cell r="E816">
            <v>4.8899999999999997</v>
          </cell>
          <cell r="F816">
            <v>6.62</v>
          </cell>
          <cell r="G816">
            <v>6.85</v>
          </cell>
          <cell r="H816">
            <v>7.32</v>
          </cell>
          <cell r="I816">
            <v>6.72</v>
          </cell>
          <cell r="J816">
            <v>6.24</v>
          </cell>
          <cell r="K816">
            <v>5.78</v>
          </cell>
          <cell r="L816">
            <v>5.09</v>
          </cell>
          <cell r="M816">
            <v>6.22</v>
          </cell>
        </row>
        <row r="817">
          <cell r="B817">
            <v>7.1</v>
          </cell>
          <cell r="C817">
            <v>5.83</v>
          </cell>
          <cell r="D817">
            <v>5.4</v>
          </cell>
          <cell r="E817">
            <v>4.93</v>
          </cell>
          <cell r="F817">
            <v>6.72</v>
          </cell>
          <cell r="G817">
            <v>6.9</v>
          </cell>
          <cell r="H817">
            <v>7.32</v>
          </cell>
          <cell r="I817">
            <v>6.76</v>
          </cell>
          <cell r="J817">
            <v>6.26</v>
          </cell>
          <cell r="K817">
            <v>5.82</v>
          </cell>
          <cell r="L817">
            <v>5.13</v>
          </cell>
          <cell r="M817">
            <v>6.32</v>
          </cell>
        </row>
        <row r="818">
          <cell r="B818">
            <v>7.2</v>
          </cell>
          <cell r="C818">
            <v>5.83</v>
          </cell>
          <cell r="D818">
            <v>5.44</v>
          </cell>
          <cell r="E818">
            <v>4.9800000000000004</v>
          </cell>
          <cell r="F818">
            <v>6.72</v>
          </cell>
          <cell r="G818">
            <v>6.94</v>
          </cell>
          <cell r="H818">
            <v>7.41</v>
          </cell>
          <cell r="I818">
            <v>6.81</v>
          </cell>
          <cell r="J818">
            <v>6.28</v>
          </cell>
          <cell r="K818">
            <v>5.85</v>
          </cell>
          <cell r="L818">
            <v>5.18</v>
          </cell>
          <cell r="M818">
            <v>6.41</v>
          </cell>
        </row>
        <row r="819">
          <cell r="B819">
            <v>7.3</v>
          </cell>
          <cell r="C819">
            <v>5.83</v>
          </cell>
          <cell r="D819">
            <v>5.48</v>
          </cell>
          <cell r="E819">
            <v>5.03</v>
          </cell>
          <cell r="F819">
            <v>6.81</v>
          </cell>
          <cell r="G819">
            <v>6.99</v>
          </cell>
          <cell r="H819">
            <v>7.41</v>
          </cell>
          <cell r="I819">
            <v>6.86</v>
          </cell>
          <cell r="J819">
            <v>6.31</v>
          </cell>
          <cell r="K819">
            <v>5.89</v>
          </cell>
          <cell r="L819">
            <v>5.22</v>
          </cell>
          <cell r="M819">
            <v>6.51</v>
          </cell>
        </row>
        <row r="820">
          <cell r="B820">
            <v>7.4</v>
          </cell>
          <cell r="C820">
            <v>5.83</v>
          </cell>
          <cell r="D820">
            <v>5.52</v>
          </cell>
          <cell r="E820">
            <v>5.08</v>
          </cell>
          <cell r="F820">
            <v>6.81</v>
          </cell>
          <cell r="G820">
            <v>7.04</v>
          </cell>
          <cell r="H820">
            <v>7.46</v>
          </cell>
          <cell r="I820">
            <v>6.9</v>
          </cell>
          <cell r="J820">
            <v>6.33</v>
          </cell>
          <cell r="K820">
            <v>5.93</v>
          </cell>
          <cell r="L820">
            <v>5.27</v>
          </cell>
          <cell r="M820">
            <v>6.61</v>
          </cell>
        </row>
        <row r="821">
          <cell r="B821">
            <v>7.49</v>
          </cell>
          <cell r="C821">
            <v>5.83</v>
          </cell>
          <cell r="D821">
            <v>5.56</v>
          </cell>
          <cell r="E821">
            <v>5.12</v>
          </cell>
          <cell r="F821">
            <v>6.86</v>
          </cell>
          <cell r="G821">
            <v>7.08</v>
          </cell>
          <cell r="H821">
            <v>7.5</v>
          </cell>
          <cell r="I821">
            <v>6.95</v>
          </cell>
          <cell r="J821">
            <v>6.36</v>
          </cell>
          <cell r="K821">
            <v>5.97</v>
          </cell>
          <cell r="L821">
            <v>5.31</v>
          </cell>
          <cell r="M821">
            <v>6.7</v>
          </cell>
        </row>
        <row r="822">
          <cell r="B822">
            <v>7.59</v>
          </cell>
          <cell r="C822">
            <v>5.83</v>
          </cell>
          <cell r="D822">
            <v>5.6</v>
          </cell>
          <cell r="E822">
            <v>5.17</v>
          </cell>
          <cell r="F822">
            <v>6.9</v>
          </cell>
          <cell r="G822">
            <v>7.13</v>
          </cell>
          <cell r="H822">
            <v>7.54</v>
          </cell>
          <cell r="I822">
            <v>7</v>
          </cell>
          <cell r="J822">
            <v>6.38</v>
          </cell>
          <cell r="K822">
            <v>6</v>
          </cell>
          <cell r="L822">
            <v>5.36</v>
          </cell>
          <cell r="M822">
            <v>6.8</v>
          </cell>
        </row>
        <row r="823">
          <cell r="B823">
            <v>7.69</v>
          </cell>
          <cell r="C823">
            <v>5.83</v>
          </cell>
          <cell r="D823">
            <v>5.64</v>
          </cell>
          <cell r="E823">
            <v>5.22</v>
          </cell>
          <cell r="F823">
            <v>6.94</v>
          </cell>
          <cell r="G823">
            <v>7.18</v>
          </cell>
          <cell r="H823">
            <v>7.57</v>
          </cell>
          <cell r="I823">
            <v>7.04</v>
          </cell>
          <cell r="J823">
            <v>6.4</v>
          </cell>
          <cell r="K823">
            <v>6.04</v>
          </cell>
          <cell r="L823">
            <v>5.41</v>
          </cell>
          <cell r="M823">
            <v>6.9</v>
          </cell>
        </row>
        <row r="824">
          <cell r="B824">
            <v>7.79</v>
          </cell>
          <cell r="C824">
            <v>5.83</v>
          </cell>
          <cell r="D824">
            <v>5.67</v>
          </cell>
          <cell r="E824">
            <v>5.27</v>
          </cell>
          <cell r="F824">
            <v>6.98</v>
          </cell>
          <cell r="G824">
            <v>7.22</v>
          </cell>
          <cell r="H824">
            <v>7.61</v>
          </cell>
          <cell r="I824">
            <v>7.09</v>
          </cell>
          <cell r="J824">
            <v>6.43</v>
          </cell>
          <cell r="K824">
            <v>6.08</v>
          </cell>
          <cell r="L824">
            <v>5.45</v>
          </cell>
          <cell r="M824">
            <v>7</v>
          </cell>
        </row>
        <row r="825">
          <cell r="B825">
            <v>7.89</v>
          </cell>
          <cell r="C825">
            <v>5.83</v>
          </cell>
          <cell r="D825">
            <v>5.71</v>
          </cell>
          <cell r="E825">
            <v>5.31</v>
          </cell>
          <cell r="F825">
            <v>7.01</v>
          </cell>
          <cell r="G825">
            <v>7.27</v>
          </cell>
          <cell r="H825">
            <v>7.65</v>
          </cell>
          <cell r="I825">
            <v>7.14</v>
          </cell>
          <cell r="J825">
            <v>6.45</v>
          </cell>
          <cell r="K825">
            <v>6.12</v>
          </cell>
          <cell r="L825">
            <v>5.5</v>
          </cell>
          <cell r="M825">
            <v>7.09</v>
          </cell>
        </row>
        <row r="826">
          <cell r="B826">
            <v>7.99</v>
          </cell>
          <cell r="C826">
            <v>5.83</v>
          </cell>
          <cell r="D826">
            <v>5.75</v>
          </cell>
          <cell r="E826">
            <v>5.36</v>
          </cell>
          <cell r="F826">
            <v>7.05</v>
          </cell>
          <cell r="G826">
            <v>7.32</v>
          </cell>
          <cell r="H826">
            <v>7.69</v>
          </cell>
          <cell r="I826">
            <v>7.18</v>
          </cell>
          <cell r="J826">
            <v>6.47</v>
          </cell>
          <cell r="K826">
            <v>6.16</v>
          </cell>
          <cell r="L826">
            <v>5.54</v>
          </cell>
          <cell r="M826">
            <v>7.19</v>
          </cell>
        </row>
        <row r="827">
          <cell r="B827">
            <v>8.09</v>
          </cell>
          <cell r="C827">
            <v>5.93</v>
          </cell>
          <cell r="D827">
            <v>5.79</v>
          </cell>
          <cell r="E827">
            <v>5.41</v>
          </cell>
          <cell r="F827">
            <v>7.09</v>
          </cell>
          <cell r="G827">
            <v>7.37</v>
          </cell>
          <cell r="H827">
            <v>7.73</v>
          </cell>
          <cell r="I827">
            <v>7.23</v>
          </cell>
          <cell r="J827">
            <v>6.5</v>
          </cell>
          <cell r="K827">
            <v>6.19</v>
          </cell>
          <cell r="L827">
            <v>5.59</v>
          </cell>
          <cell r="M827">
            <v>7.29</v>
          </cell>
        </row>
        <row r="828">
          <cell r="B828">
            <v>8.18</v>
          </cell>
          <cell r="C828">
            <v>5.93</v>
          </cell>
          <cell r="D828">
            <v>5.83</v>
          </cell>
          <cell r="E828">
            <v>5.46</v>
          </cell>
          <cell r="F828">
            <v>7.13</v>
          </cell>
          <cell r="G828">
            <v>7.41</v>
          </cell>
          <cell r="H828">
            <v>7.76</v>
          </cell>
          <cell r="I828">
            <v>7.28</v>
          </cell>
          <cell r="J828">
            <v>6.52</v>
          </cell>
          <cell r="K828">
            <v>6.23</v>
          </cell>
          <cell r="L828">
            <v>5.63</v>
          </cell>
          <cell r="M828">
            <v>7.38</v>
          </cell>
        </row>
        <row r="829">
          <cell r="B829">
            <v>8.2799999999999994</v>
          </cell>
          <cell r="C829">
            <v>5.93</v>
          </cell>
          <cell r="D829">
            <v>5.87</v>
          </cell>
          <cell r="E829">
            <v>5.5</v>
          </cell>
          <cell r="F829">
            <v>7.17</v>
          </cell>
          <cell r="G829">
            <v>7.46</v>
          </cell>
          <cell r="H829">
            <v>7.8</v>
          </cell>
          <cell r="I829">
            <v>7.32</v>
          </cell>
          <cell r="J829">
            <v>6.55</v>
          </cell>
          <cell r="K829">
            <v>6.27</v>
          </cell>
          <cell r="L829">
            <v>5.68</v>
          </cell>
          <cell r="M829">
            <v>7.48</v>
          </cell>
        </row>
        <row r="830">
          <cell r="B830">
            <v>8.3800000000000008</v>
          </cell>
          <cell r="C830">
            <v>5.93</v>
          </cell>
          <cell r="D830">
            <v>5.9</v>
          </cell>
          <cell r="E830">
            <v>5.55</v>
          </cell>
          <cell r="F830">
            <v>7.21</v>
          </cell>
          <cell r="G830">
            <v>7.51</v>
          </cell>
          <cell r="H830">
            <v>7.84</v>
          </cell>
          <cell r="I830">
            <v>7.37</v>
          </cell>
          <cell r="J830">
            <v>6.57</v>
          </cell>
          <cell r="K830">
            <v>6.31</v>
          </cell>
          <cell r="L830">
            <v>5.73</v>
          </cell>
          <cell r="M830">
            <v>7.58</v>
          </cell>
        </row>
        <row r="831">
          <cell r="B831">
            <v>8.48</v>
          </cell>
          <cell r="C831">
            <v>5.93</v>
          </cell>
          <cell r="D831">
            <v>5.94</v>
          </cell>
          <cell r="E831">
            <v>5.6</v>
          </cell>
          <cell r="F831">
            <v>7.24</v>
          </cell>
          <cell r="G831">
            <v>7.55</v>
          </cell>
          <cell r="H831">
            <v>7.88</v>
          </cell>
          <cell r="I831">
            <v>7.42</v>
          </cell>
          <cell r="J831">
            <v>6.59</v>
          </cell>
          <cell r="K831">
            <v>6.34</v>
          </cell>
          <cell r="L831">
            <v>5.77</v>
          </cell>
          <cell r="M831">
            <v>7.68</v>
          </cell>
        </row>
        <row r="832">
          <cell r="B832">
            <v>8.58</v>
          </cell>
          <cell r="C832">
            <v>5.93</v>
          </cell>
          <cell r="D832">
            <v>5.98</v>
          </cell>
          <cell r="E832">
            <v>5.64</v>
          </cell>
          <cell r="F832">
            <v>7.28</v>
          </cell>
          <cell r="G832">
            <v>7.6</v>
          </cell>
          <cell r="H832">
            <v>7.92</v>
          </cell>
          <cell r="I832">
            <v>7.47</v>
          </cell>
          <cell r="J832">
            <v>6.62</v>
          </cell>
          <cell r="K832">
            <v>6.38</v>
          </cell>
          <cell r="L832">
            <v>5.82</v>
          </cell>
          <cell r="M832">
            <v>7.77</v>
          </cell>
        </row>
        <row r="833">
          <cell r="B833">
            <v>8.68</v>
          </cell>
          <cell r="C833">
            <v>5.93</v>
          </cell>
          <cell r="D833">
            <v>6.02</v>
          </cell>
          <cell r="E833">
            <v>5.69</v>
          </cell>
          <cell r="F833">
            <v>7.32</v>
          </cell>
          <cell r="G833">
            <v>7.65</v>
          </cell>
          <cell r="H833">
            <v>7.96</v>
          </cell>
          <cell r="I833">
            <v>7.51</v>
          </cell>
          <cell r="J833">
            <v>6.64</v>
          </cell>
          <cell r="K833">
            <v>6.42</v>
          </cell>
          <cell r="L833">
            <v>5.86</v>
          </cell>
          <cell r="M833">
            <v>7.87</v>
          </cell>
        </row>
        <row r="834">
          <cell r="B834">
            <v>8.7799999999999994</v>
          </cell>
          <cell r="C834">
            <v>5.93</v>
          </cell>
          <cell r="D834">
            <v>6.06</v>
          </cell>
          <cell r="E834">
            <v>5.74</v>
          </cell>
          <cell r="F834">
            <v>7.36</v>
          </cell>
          <cell r="G834">
            <v>7.7</v>
          </cell>
          <cell r="H834">
            <v>7.99</v>
          </cell>
          <cell r="I834">
            <v>7.56</v>
          </cell>
          <cell r="J834">
            <v>6.67</v>
          </cell>
          <cell r="K834">
            <v>6.46</v>
          </cell>
          <cell r="L834">
            <v>5.91</v>
          </cell>
          <cell r="M834">
            <v>7.97</v>
          </cell>
        </row>
        <row r="835">
          <cell r="B835">
            <v>8.8699999999999992</v>
          </cell>
          <cell r="C835">
            <v>5.93</v>
          </cell>
          <cell r="D835">
            <v>6.1</v>
          </cell>
          <cell r="E835">
            <v>5.79</v>
          </cell>
          <cell r="F835">
            <v>7.4</v>
          </cell>
          <cell r="G835">
            <v>7.74</v>
          </cell>
          <cell r="H835">
            <v>8.0299999999999994</v>
          </cell>
          <cell r="I835">
            <v>7.61</v>
          </cell>
          <cell r="J835">
            <v>6.69</v>
          </cell>
          <cell r="K835">
            <v>6.49</v>
          </cell>
          <cell r="L835">
            <v>5.95</v>
          </cell>
          <cell r="M835">
            <v>8.06</v>
          </cell>
        </row>
        <row r="836">
          <cell r="B836">
            <v>8.9700000000000006</v>
          </cell>
          <cell r="C836">
            <v>5.93</v>
          </cell>
          <cell r="D836">
            <v>6.14</v>
          </cell>
          <cell r="E836">
            <v>5.83</v>
          </cell>
          <cell r="F836">
            <v>7.44</v>
          </cell>
          <cell r="G836">
            <v>7.79</v>
          </cell>
          <cell r="H836">
            <v>8.07</v>
          </cell>
          <cell r="I836">
            <v>7.65</v>
          </cell>
          <cell r="J836">
            <v>6.71</v>
          </cell>
          <cell r="K836">
            <v>6.53</v>
          </cell>
          <cell r="L836">
            <v>6</v>
          </cell>
          <cell r="M836">
            <v>8.16</v>
          </cell>
        </row>
        <row r="846">
          <cell r="B846">
            <v>70</v>
          </cell>
          <cell r="C846">
            <v>70</v>
          </cell>
          <cell r="D846">
            <v>109</v>
          </cell>
          <cell r="E846">
            <v>50</v>
          </cell>
          <cell r="F846">
            <v>45</v>
          </cell>
          <cell r="G846">
            <v>102</v>
          </cell>
          <cell r="H846">
            <v>120</v>
          </cell>
          <cell r="I846">
            <v>120</v>
          </cell>
          <cell r="J846">
            <v>96</v>
          </cell>
          <cell r="K846">
            <v>40</v>
          </cell>
          <cell r="L846">
            <v>31</v>
          </cell>
          <cell r="M846">
            <v>76</v>
          </cell>
        </row>
        <row r="847">
          <cell r="B847">
            <v>37</v>
          </cell>
          <cell r="C847">
            <v>41</v>
          </cell>
          <cell r="D847">
            <v>52</v>
          </cell>
          <cell r="E847">
            <v>56</v>
          </cell>
          <cell r="F847">
            <v>60</v>
          </cell>
          <cell r="G847">
            <v>68</v>
          </cell>
          <cell r="H847">
            <v>84</v>
          </cell>
          <cell r="I847">
            <v>71</v>
          </cell>
          <cell r="J847">
            <v>63</v>
          </cell>
          <cell r="K847">
            <v>61</v>
          </cell>
          <cell r="L847">
            <v>48</v>
          </cell>
          <cell r="M847">
            <v>44</v>
          </cell>
        </row>
        <row r="848">
          <cell r="B848">
            <v>37</v>
          </cell>
          <cell r="C848">
            <v>43</v>
          </cell>
          <cell r="D848">
            <v>54</v>
          </cell>
          <cell r="E848">
            <v>58</v>
          </cell>
          <cell r="F848">
            <v>62</v>
          </cell>
          <cell r="G848">
            <v>70</v>
          </cell>
          <cell r="H848">
            <v>86</v>
          </cell>
          <cell r="I848">
            <v>74</v>
          </cell>
          <cell r="J848">
            <v>66</v>
          </cell>
          <cell r="K848">
            <v>64</v>
          </cell>
          <cell r="L848">
            <v>51</v>
          </cell>
          <cell r="M848">
            <v>48</v>
          </cell>
        </row>
        <row r="849">
          <cell r="B849">
            <v>20.02</v>
          </cell>
          <cell r="C849">
            <v>15.01</v>
          </cell>
          <cell r="D849">
            <v>53.04</v>
          </cell>
          <cell r="E849">
            <v>25.02</v>
          </cell>
          <cell r="F849">
            <v>50.04</v>
          </cell>
          <cell r="G849">
            <v>53.04</v>
          </cell>
          <cell r="H849">
            <v>53.04</v>
          </cell>
          <cell r="I849">
            <v>53.04</v>
          </cell>
          <cell r="J849">
            <v>43.03</v>
          </cell>
          <cell r="K849">
            <v>35.03</v>
          </cell>
          <cell r="L849">
            <v>18.010000000000002</v>
          </cell>
          <cell r="M849">
            <v>25.02</v>
          </cell>
        </row>
        <row r="850">
          <cell r="B850">
            <v>53.04</v>
          </cell>
          <cell r="C850">
            <v>40.03</v>
          </cell>
          <cell r="D850">
            <v>87.06</v>
          </cell>
          <cell r="E850">
            <v>60.04</v>
          </cell>
          <cell r="F850">
            <v>87.06</v>
          </cell>
          <cell r="G850">
            <v>87.06</v>
          </cell>
          <cell r="H850">
            <v>87.06</v>
          </cell>
          <cell r="I850">
            <v>87.06</v>
          </cell>
          <cell r="J850">
            <v>75.06</v>
          </cell>
          <cell r="K850">
            <v>69.05</v>
          </cell>
          <cell r="L850">
            <v>50.04</v>
          </cell>
          <cell r="M850">
            <v>59.04</v>
          </cell>
        </row>
        <row r="851">
          <cell r="B851">
            <v>55.04</v>
          </cell>
          <cell r="C851">
            <v>41.03</v>
          </cell>
          <cell r="D851">
            <v>89.07</v>
          </cell>
          <cell r="E851">
            <v>60.04</v>
          </cell>
          <cell r="F851">
            <v>89.07</v>
          </cell>
          <cell r="G851">
            <v>89.07</v>
          </cell>
          <cell r="H851">
            <v>89.07</v>
          </cell>
          <cell r="I851">
            <v>89.07</v>
          </cell>
          <cell r="J851">
            <v>75.06</v>
          </cell>
          <cell r="K851">
            <v>70.05</v>
          </cell>
          <cell r="L851">
            <v>52.04</v>
          </cell>
          <cell r="M851">
            <v>62.05</v>
          </cell>
        </row>
        <row r="852">
          <cell r="B852">
            <v>57.04</v>
          </cell>
          <cell r="C852">
            <v>42.03</v>
          </cell>
          <cell r="D852">
            <v>91.07</v>
          </cell>
          <cell r="E852">
            <v>60.04</v>
          </cell>
          <cell r="F852">
            <v>91.07</v>
          </cell>
          <cell r="G852">
            <v>91.07</v>
          </cell>
          <cell r="H852">
            <v>91.07</v>
          </cell>
          <cell r="I852">
            <v>91.07</v>
          </cell>
          <cell r="J852">
            <v>75.06</v>
          </cell>
          <cell r="K852">
            <v>71.05</v>
          </cell>
          <cell r="L852">
            <v>54.04</v>
          </cell>
          <cell r="M852">
            <v>65.05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</row>
        <row r="860"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</row>
        <row r="863"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</row>
        <row r="886">
          <cell r="B886">
            <v>6.7</v>
          </cell>
          <cell r="C886">
            <v>3.5</v>
          </cell>
          <cell r="D886">
            <v>5.0999999999999996</v>
          </cell>
          <cell r="E886">
            <v>4.4000000000000004</v>
          </cell>
          <cell r="F886">
            <v>3.2</v>
          </cell>
          <cell r="G886">
            <v>7.9</v>
          </cell>
          <cell r="H886">
            <v>10.8</v>
          </cell>
          <cell r="I886">
            <v>6.2489999999999997</v>
          </cell>
          <cell r="J886">
            <v>6.1219999999999999</v>
          </cell>
          <cell r="K886">
            <v>5.1239999999999997</v>
          </cell>
          <cell r="L886">
            <v>3</v>
          </cell>
          <cell r="M886">
            <v>5.2</v>
          </cell>
        </row>
        <row r="887">
          <cell r="B887">
            <v>5</v>
          </cell>
          <cell r="C887">
            <v>5</v>
          </cell>
          <cell r="D887">
            <v>5</v>
          </cell>
          <cell r="E887">
            <v>3</v>
          </cell>
          <cell r="F887">
            <v>5</v>
          </cell>
          <cell r="G887">
            <v>5</v>
          </cell>
          <cell r="H887">
            <v>5</v>
          </cell>
          <cell r="I887">
            <v>5</v>
          </cell>
          <cell r="J887">
            <v>4</v>
          </cell>
          <cell r="K887">
            <v>4</v>
          </cell>
          <cell r="L887">
            <v>4</v>
          </cell>
          <cell r="M887">
            <v>4</v>
          </cell>
        </row>
        <row r="888">
          <cell r="B888">
            <v>5</v>
          </cell>
          <cell r="C888">
            <v>4</v>
          </cell>
          <cell r="D888">
            <v>3</v>
          </cell>
          <cell r="E888">
            <v>3</v>
          </cell>
          <cell r="F888">
            <v>5</v>
          </cell>
          <cell r="G888">
            <v>5</v>
          </cell>
          <cell r="H888">
            <v>5</v>
          </cell>
          <cell r="I888">
            <v>5</v>
          </cell>
          <cell r="J888">
            <v>5</v>
          </cell>
          <cell r="K888">
            <v>4</v>
          </cell>
          <cell r="L888">
            <v>4</v>
          </cell>
          <cell r="M888">
            <v>4</v>
          </cell>
        </row>
        <row r="889">
          <cell r="B889">
            <v>4.7300000000000004</v>
          </cell>
          <cell r="C889">
            <v>4.09</v>
          </cell>
          <cell r="D889">
            <v>4</v>
          </cell>
          <cell r="E889">
            <v>3.91</v>
          </cell>
          <cell r="F889">
            <v>4.91</v>
          </cell>
          <cell r="G889">
            <v>5.0999999999999996</v>
          </cell>
          <cell r="H889">
            <v>5.28</v>
          </cell>
          <cell r="I889">
            <v>5.37</v>
          </cell>
          <cell r="J889">
            <v>5</v>
          </cell>
          <cell r="K889">
            <v>3.73</v>
          </cell>
          <cell r="L889">
            <v>4</v>
          </cell>
          <cell r="M889">
            <v>4.55</v>
          </cell>
        </row>
        <row r="890">
          <cell r="B890">
            <v>4.82</v>
          </cell>
          <cell r="C890">
            <v>4.09</v>
          </cell>
          <cell r="D890">
            <v>4.09</v>
          </cell>
          <cell r="E890">
            <v>3.91</v>
          </cell>
          <cell r="F890">
            <v>4.91</v>
          </cell>
          <cell r="G890">
            <v>5.0999999999999996</v>
          </cell>
          <cell r="H890">
            <v>5.37</v>
          </cell>
          <cell r="I890">
            <v>5.46</v>
          </cell>
          <cell r="J890">
            <v>5.0999999999999996</v>
          </cell>
          <cell r="K890">
            <v>3.73</v>
          </cell>
          <cell r="L890">
            <v>3.91</v>
          </cell>
          <cell r="M890">
            <v>4.55</v>
          </cell>
        </row>
        <row r="891">
          <cell r="B891">
            <v>4.82</v>
          </cell>
          <cell r="C891">
            <v>4.09</v>
          </cell>
          <cell r="D891">
            <v>4</v>
          </cell>
          <cell r="E891">
            <v>3.82</v>
          </cell>
          <cell r="F891">
            <v>4.91</v>
          </cell>
          <cell r="G891">
            <v>5.19</v>
          </cell>
          <cell r="H891">
            <v>5.37</v>
          </cell>
          <cell r="I891">
            <v>5.46</v>
          </cell>
          <cell r="J891">
            <v>5.28</v>
          </cell>
          <cell r="K891">
            <v>3.73</v>
          </cell>
          <cell r="L891">
            <v>3.91</v>
          </cell>
          <cell r="M891">
            <v>4.55</v>
          </cell>
        </row>
        <row r="892">
          <cell r="B892">
            <v>4.91</v>
          </cell>
          <cell r="C892">
            <v>4.09</v>
          </cell>
          <cell r="D892">
            <v>4.09</v>
          </cell>
          <cell r="E892">
            <v>3.82</v>
          </cell>
          <cell r="F892">
            <v>4.91</v>
          </cell>
          <cell r="G892">
            <v>5.28</v>
          </cell>
          <cell r="H892">
            <v>5.46</v>
          </cell>
          <cell r="I892">
            <v>5.55</v>
          </cell>
          <cell r="J892">
            <v>5.37</v>
          </cell>
          <cell r="K892">
            <v>3.73</v>
          </cell>
          <cell r="L892">
            <v>3.91</v>
          </cell>
          <cell r="M892">
            <v>4.55</v>
          </cell>
        </row>
        <row r="893">
          <cell r="B893">
            <v>4.91</v>
          </cell>
          <cell r="C893">
            <v>4.1900000000000004</v>
          </cell>
          <cell r="D893">
            <v>4.09</v>
          </cell>
          <cell r="E893">
            <v>3.82</v>
          </cell>
          <cell r="F893">
            <v>5</v>
          </cell>
          <cell r="G893">
            <v>5.28</v>
          </cell>
          <cell r="H893">
            <v>5.46</v>
          </cell>
          <cell r="I893">
            <v>5.55</v>
          </cell>
          <cell r="J893">
            <v>5.37</v>
          </cell>
          <cell r="K893">
            <v>3.73</v>
          </cell>
          <cell r="L893">
            <v>4</v>
          </cell>
          <cell r="M893">
            <v>4.55</v>
          </cell>
        </row>
        <row r="894">
          <cell r="B894">
            <v>5</v>
          </cell>
          <cell r="C894">
            <v>4.1900000000000004</v>
          </cell>
          <cell r="D894">
            <v>4.1900000000000004</v>
          </cell>
          <cell r="E894">
            <v>3.91</v>
          </cell>
          <cell r="F894">
            <v>5</v>
          </cell>
          <cell r="G894">
            <v>5.37</v>
          </cell>
          <cell r="H894">
            <v>5.46</v>
          </cell>
          <cell r="I894">
            <v>5.55</v>
          </cell>
          <cell r="J894">
            <v>5.37</v>
          </cell>
          <cell r="K894">
            <v>3.73</v>
          </cell>
          <cell r="L894">
            <v>4</v>
          </cell>
          <cell r="M894">
            <v>4.7300000000000004</v>
          </cell>
        </row>
        <row r="895">
          <cell r="B895">
            <v>5.0999999999999996</v>
          </cell>
          <cell r="C895">
            <v>4.1900000000000004</v>
          </cell>
          <cell r="D895">
            <v>4.28</v>
          </cell>
          <cell r="E895">
            <v>3.91</v>
          </cell>
          <cell r="F895">
            <v>5</v>
          </cell>
          <cell r="G895">
            <v>5.37</v>
          </cell>
          <cell r="H895">
            <v>5.46</v>
          </cell>
          <cell r="I895">
            <v>5.55</v>
          </cell>
          <cell r="J895">
            <v>5.46</v>
          </cell>
          <cell r="K895">
            <v>3.82</v>
          </cell>
          <cell r="L895">
            <v>4.09</v>
          </cell>
          <cell r="M895">
            <v>4.7300000000000004</v>
          </cell>
        </row>
        <row r="896">
          <cell r="B896">
            <v>5.19</v>
          </cell>
          <cell r="C896">
            <v>4.1900000000000004</v>
          </cell>
          <cell r="D896">
            <v>4.28</v>
          </cell>
          <cell r="E896">
            <v>3.91</v>
          </cell>
          <cell r="F896">
            <v>5</v>
          </cell>
          <cell r="G896">
            <v>5.46</v>
          </cell>
          <cell r="H896">
            <v>5.55</v>
          </cell>
          <cell r="I896">
            <v>5.64</v>
          </cell>
          <cell r="J896">
            <v>5.46</v>
          </cell>
          <cell r="K896">
            <v>3.91</v>
          </cell>
          <cell r="L896">
            <v>4.09</v>
          </cell>
          <cell r="M896">
            <v>4.82</v>
          </cell>
        </row>
        <row r="897">
          <cell r="B897">
            <v>5.19</v>
          </cell>
          <cell r="C897">
            <v>4.28</v>
          </cell>
          <cell r="D897">
            <v>4.37</v>
          </cell>
          <cell r="E897">
            <v>4</v>
          </cell>
          <cell r="F897">
            <v>5</v>
          </cell>
          <cell r="G897">
            <v>5.46</v>
          </cell>
          <cell r="H897">
            <v>5.55</v>
          </cell>
          <cell r="I897">
            <v>5.64</v>
          </cell>
          <cell r="J897">
            <v>5.46</v>
          </cell>
          <cell r="K897">
            <v>3.91</v>
          </cell>
          <cell r="L897">
            <v>4.1900000000000004</v>
          </cell>
          <cell r="M897">
            <v>4.91</v>
          </cell>
        </row>
        <row r="898">
          <cell r="B898">
            <v>5.28</v>
          </cell>
          <cell r="C898">
            <v>4.28</v>
          </cell>
          <cell r="D898">
            <v>4.37</v>
          </cell>
          <cell r="E898">
            <v>4</v>
          </cell>
          <cell r="F898">
            <v>5</v>
          </cell>
          <cell r="G898">
            <v>5.46</v>
          </cell>
          <cell r="H898">
            <v>5.64</v>
          </cell>
          <cell r="I898">
            <v>5.73</v>
          </cell>
          <cell r="J898">
            <v>5.46</v>
          </cell>
          <cell r="K898">
            <v>4.09</v>
          </cell>
          <cell r="L898">
            <v>4.1900000000000004</v>
          </cell>
          <cell r="M898">
            <v>5</v>
          </cell>
        </row>
        <row r="899">
          <cell r="B899">
            <v>5.37</v>
          </cell>
          <cell r="C899">
            <v>4.37</v>
          </cell>
          <cell r="D899">
            <v>4.37</v>
          </cell>
          <cell r="E899">
            <v>4.09</v>
          </cell>
          <cell r="F899">
            <v>5</v>
          </cell>
          <cell r="G899">
            <v>5.55</v>
          </cell>
          <cell r="H899">
            <v>5.73</v>
          </cell>
          <cell r="I899">
            <v>5.82</v>
          </cell>
          <cell r="J899">
            <v>5.46</v>
          </cell>
          <cell r="K899">
            <v>4.1900000000000004</v>
          </cell>
          <cell r="L899">
            <v>4.37</v>
          </cell>
          <cell r="M899">
            <v>5.0999999999999996</v>
          </cell>
        </row>
        <row r="900">
          <cell r="B900">
            <v>5.37</v>
          </cell>
          <cell r="C900">
            <v>4.46</v>
          </cell>
          <cell r="D900">
            <v>4.46</v>
          </cell>
          <cell r="E900">
            <v>4.09</v>
          </cell>
          <cell r="F900">
            <v>5.0999999999999996</v>
          </cell>
          <cell r="G900">
            <v>5.55</v>
          </cell>
          <cell r="H900">
            <v>5.82</v>
          </cell>
          <cell r="I900">
            <v>5.91</v>
          </cell>
          <cell r="J900">
            <v>5.55</v>
          </cell>
          <cell r="K900">
            <v>4.1900000000000004</v>
          </cell>
          <cell r="L900">
            <v>4.37</v>
          </cell>
          <cell r="M900">
            <v>5.0999999999999996</v>
          </cell>
        </row>
        <row r="901">
          <cell r="B901">
            <v>5.46</v>
          </cell>
          <cell r="C901">
            <v>4.6399999999999997</v>
          </cell>
          <cell r="D901">
            <v>4.46</v>
          </cell>
          <cell r="E901">
            <v>4.09</v>
          </cell>
          <cell r="F901">
            <v>5.0999999999999996</v>
          </cell>
          <cell r="G901">
            <v>5.64</v>
          </cell>
          <cell r="H901">
            <v>5.91</v>
          </cell>
          <cell r="I901">
            <v>6</v>
          </cell>
          <cell r="J901">
            <v>5.55</v>
          </cell>
          <cell r="K901">
            <v>4.28</v>
          </cell>
          <cell r="L901">
            <v>4.46</v>
          </cell>
          <cell r="M901">
            <v>5.0999999999999996</v>
          </cell>
        </row>
        <row r="902">
          <cell r="B902">
            <v>5.55</v>
          </cell>
          <cell r="C902">
            <v>4.7300000000000004</v>
          </cell>
          <cell r="D902">
            <v>4.55</v>
          </cell>
          <cell r="E902">
            <v>4.09</v>
          </cell>
          <cell r="F902">
            <v>5.0999999999999996</v>
          </cell>
          <cell r="G902">
            <v>5.73</v>
          </cell>
          <cell r="H902">
            <v>6</v>
          </cell>
          <cell r="I902">
            <v>6.1</v>
          </cell>
          <cell r="J902">
            <v>5.64</v>
          </cell>
          <cell r="K902">
            <v>4.28</v>
          </cell>
          <cell r="L902">
            <v>4.46</v>
          </cell>
          <cell r="M902">
            <v>5.0999999999999996</v>
          </cell>
        </row>
        <row r="903">
          <cell r="B903">
            <v>5.64</v>
          </cell>
          <cell r="C903">
            <v>4.7300000000000004</v>
          </cell>
          <cell r="D903">
            <v>4.55</v>
          </cell>
          <cell r="E903">
            <v>4.28</v>
          </cell>
          <cell r="F903">
            <v>5.0999999999999996</v>
          </cell>
          <cell r="G903">
            <v>5.82</v>
          </cell>
          <cell r="H903">
            <v>6.1</v>
          </cell>
          <cell r="I903">
            <v>6.19</v>
          </cell>
          <cell r="J903">
            <v>5.73</v>
          </cell>
          <cell r="K903">
            <v>4.28</v>
          </cell>
          <cell r="L903">
            <v>4.55</v>
          </cell>
          <cell r="M903">
            <v>5.19</v>
          </cell>
        </row>
        <row r="904">
          <cell r="B904">
            <v>5.73</v>
          </cell>
          <cell r="C904">
            <v>4.82</v>
          </cell>
          <cell r="D904">
            <v>4.6399999999999997</v>
          </cell>
          <cell r="E904">
            <v>4.28</v>
          </cell>
          <cell r="F904">
            <v>5.0999999999999996</v>
          </cell>
          <cell r="G904">
            <v>5.82</v>
          </cell>
          <cell r="H904">
            <v>6.1</v>
          </cell>
          <cell r="I904">
            <v>6.19</v>
          </cell>
          <cell r="J904">
            <v>5.82</v>
          </cell>
          <cell r="K904">
            <v>4.28</v>
          </cell>
          <cell r="L904">
            <v>4.55</v>
          </cell>
          <cell r="M904">
            <v>5.28</v>
          </cell>
        </row>
        <row r="905">
          <cell r="B905">
            <v>5.82</v>
          </cell>
          <cell r="C905">
            <v>4.82</v>
          </cell>
          <cell r="D905">
            <v>4.7300000000000004</v>
          </cell>
          <cell r="E905">
            <v>4.28</v>
          </cell>
          <cell r="F905">
            <v>5.19</v>
          </cell>
          <cell r="G905">
            <v>5.91</v>
          </cell>
          <cell r="H905">
            <v>6.19</v>
          </cell>
          <cell r="I905">
            <v>6.28</v>
          </cell>
          <cell r="J905">
            <v>5.91</v>
          </cell>
          <cell r="K905">
            <v>4.37</v>
          </cell>
          <cell r="L905">
            <v>4.6399999999999997</v>
          </cell>
          <cell r="M905">
            <v>5.28</v>
          </cell>
        </row>
        <row r="906">
          <cell r="B906">
            <v>5.82</v>
          </cell>
          <cell r="C906">
            <v>4.91</v>
          </cell>
          <cell r="D906">
            <v>4.7300000000000004</v>
          </cell>
          <cell r="E906">
            <v>4.37</v>
          </cell>
          <cell r="F906">
            <v>5.19</v>
          </cell>
          <cell r="G906">
            <v>6</v>
          </cell>
          <cell r="H906">
            <v>6.28</v>
          </cell>
          <cell r="I906">
            <v>6.37</v>
          </cell>
          <cell r="J906">
            <v>6</v>
          </cell>
          <cell r="K906">
            <v>4.37</v>
          </cell>
          <cell r="L906">
            <v>4.6399999999999997</v>
          </cell>
          <cell r="M906">
            <v>5.37</v>
          </cell>
        </row>
        <row r="907">
          <cell r="B907">
            <v>5.88</v>
          </cell>
          <cell r="C907">
            <v>4.8600000000000003</v>
          </cell>
          <cell r="D907">
            <v>4.7300000000000004</v>
          </cell>
          <cell r="E907">
            <v>4.37</v>
          </cell>
          <cell r="F907">
            <v>5.17</v>
          </cell>
          <cell r="G907">
            <v>5.96</v>
          </cell>
          <cell r="H907">
            <v>6.22</v>
          </cell>
          <cell r="I907">
            <v>6.31</v>
          </cell>
          <cell r="J907">
            <v>6.01</v>
          </cell>
          <cell r="K907">
            <v>4.43</v>
          </cell>
          <cell r="L907">
            <v>4.66</v>
          </cell>
          <cell r="M907">
            <v>5.4</v>
          </cell>
        </row>
        <row r="908">
          <cell r="B908">
            <v>5.94</v>
          </cell>
          <cell r="C908">
            <v>4.91</v>
          </cell>
          <cell r="D908">
            <v>4.7699999999999996</v>
          </cell>
          <cell r="E908">
            <v>4.37</v>
          </cell>
          <cell r="F908">
            <v>5.18</v>
          </cell>
          <cell r="G908">
            <v>6.01</v>
          </cell>
          <cell r="H908">
            <v>6.28</v>
          </cell>
          <cell r="I908">
            <v>6.37</v>
          </cell>
          <cell r="J908">
            <v>6.07</v>
          </cell>
          <cell r="K908">
            <v>4.47</v>
          </cell>
          <cell r="L908">
            <v>4.7</v>
          </cell>
          <cell r="M908">
            <v>5.45</v>
          </cell>
        </row>
        <row r="909">
          <cell r="B909">
            <v>6</v>
          </cell>
          <cell r="C909">
            <v>4.95</v>
          </cell>
          <cell r="D909">
            <v>4.8099999999999996</v>
          </cell>
          <cell r="E909">
            <v>4.37</v>
          </cell>
          <cell r="F909">
            <v>5.2</v>
          </cell>
          <cell r="G909">
            <v>6.05</v>
          </cell>
          <cell r="H909">
            <v>6.33</v>
          </cell>
          <cell r="I909">
            <v>6.42</v>
          </cell>
          <cell r="J909">
            <v>6.12</v>
          </cell>
          <cell r="K909">
            <v>4.51</v>
          </cell>
          <cell r="L909">
            <v>4.74</v>
          </cell>
          <cell r="M909">
            <v>5.5</v>
          </cell>
        </row>
        <row r="910">
          <cell r="B910">
            <v>6.07</v>
          </cell>
          <cell r="C910">
            <v>5</v>
          </cell>
          <cell r="D910">
            <v>4.84</v>
          </cell>
          <cell r="E910">
            <v>4.34</v>
          </cell>
          <cell r="F910">
            <v>5.21</v>
          </cell>
          <cell r="G910">
            <v>6.1</v>
          </cell>
          <cell r="H910">
            <v>6.38</v>
          </cell>
          <cell r="I910">
            <v>6.47</v>
          </cell>
          <cell r="J910">
            <v>6.18</v>
          </cell>
          <cell r="K910">
            <v>4.55</v>
          </cell>
          <cell r="L910">
            <v>4.79</v>
          </cell>
          <cell r="M910">
            <v>5.55</v>
          </cell>
        </row>
        <row r="911">
          <cell r="B911">
            <v>6.13</v>
          </cell>
          <cell r="C911">
            <v>5.05</v>
          </cell>
          <cell r="D911">
            <v>4.88</v>
          </cell>
          <cell r="E911">
            <v>4.3600000000000003</v>
          </cell>
          <cell r="F911">
            <v>5.23</v>
          </cell>
          <cell r="G911">
            <v>6.15</v>
          </cell>
          <cell r="H911">
            <v>6.43</v>
          </cell>
          <cell r="I911">
            <v>6.52</v>
          </cell>
          <cell r="J911">
            <v>6.24</v>
          </cell>
          <cell r="K911">
            <v>4.59</v>
          </cell>
          <cell r="L911">
            <v>4.83</v>
          </cell>
          <cell r="M911">
            <v>5.61</v>
          </cell>
        </row>
        <row r="912">
          <cell r="B912">
            <v>6.2</v>
          </cell>
          <cell r="C912">
            <v>5.09</v>
          </cell>
          <cell r="D912">
            <v>4.92</v>
          </cell>
          <cell r="E912">
            <v>4.43</v>
          </cell>
          <cell r="F912">
            <v>5.24</v>
          </cell>
          <cell r="G912">
            <v>6.2</v>
          </cell>
          <cell r="H912">
            <v>6.49</v>
          </cell>
          <cell r="I912">
            <v>6.58</v>
          </cell>
          <cell r="J912">
            <v>6.3</v>
          </cell>
          <cell r="K912">
            <v>4.6399999999999997</v>
          </cell>
          <cell r="L912">
            <v>4.87</v>
          </cell>
          <cell r="M912">
            <v>5.66</v>
          </cell>
        </row>
        <row r="913">
          <cell r="B913">
            <v>6.26</v>
          </cell>
          <cell r="C913">
            <v>5.14</v>
          </cell>
          <cell r="D913">
            <v>4.96</v>
          </cell>
          <cell r="E913">
            <v>4.43</v>
          </cell>
          <cell r="F913">
            <v>5.26</v>
          </cell>
          <cell r="G913">
            <v>6.24</v>
          </cell>
          <cell r="H913">
            <v>6.54</v>
          </cell>
          <cell r="I913">
            <v>6.63</v>
          </cell>
          <cell r="J913">
            <v>6.35</v>
          </cell>
          <cell r="K913">
            <v>4.68</v>
          </cell>
          <cell r="L913">
            <v>4.91</v>
          </cell>
          <cell r="M913">
            <v>5.71</v>
          </cell>
        </row>
        <row r="914">
          <cell r="B914">
            <v>6.32</v>
          </cell>
          <cell r="C914">
            <v>5.19</v>
          </cell>
          <cell r="D914">
            <v>5</v>
          </cell>
          <cell r="E914">
            <v>4.43</v>
          </cell>
          <cell r="F914">
            <v>5.27</v>
          </cell>
          <cell r="G914">
            <v>6.29</v>
          </cell>
          <cell r="H914">
            <v>6.59</v>
          </cell>
          <cell r="I914">
            <v>6.68</v>
          </cell>
          <cell r="J914">
            <v>6.41</v>
          </cell>
          <cell r="K914">
            <v>4.72</v>
          </cell>
          <cell r="L914">
            <v>4.96</v>
          </cell>
          <cell r="M914">
            <v>5.76</v>
          </cell>
        </row>
        <row r="915">
          <cell r="B915">
            <v>6.39</v>
          </cell>
          <cell r="C915">
            <v>5.23</v>
          </cell>
          <cell r="D915">
            <v>5.04</v>
          </cell>
          <cell r="E915">
            <v>4.45</v>
          </cell>
          <cell r="F915">
            <v>5.28</v>
          </cell>
          <cell r="G915">
            <v>6.34</v>
          </cell>
          <cell r="H915">
            <v>6.65</v>
          </cell>
          <cell r="I915">
            <v>6.74</v>
          </cell>
          <cell r="J915">
            <v>6.47</v>
          </cell>
          <cell r="K915">
            <v>4.76</v>
          </cell>
          <cell r="L915">
            <v>5</v>
          </cell>
          <cell r="M915">
            <v>5.81</v>
          </cell>
        </row>
        <row r="916">
          <cell r="B916">
            <v>6.45</v>
          </cell>
          <cell r="C916">
            <v>5.28</v>
          </cell>
          <cell r="D916">
            <v>5.08</v>
          </cell>
          <cell r="E916">
            <v>4.4800000000000004</v>
          </cell>
          <cell r="F916">
            <v>5.3</v>
          </cell>
          <cell r="G916">
            <v>6.38</v>
          </cell>
          <cell r="H916">
            <v>6.7</v>
          </cell>
          <cell r="I916">
            <v>6.79</v>
          </cell>
          <cell r="J916">
            <v>6.52</v>
          </cell>
          <cell r="K916">
            <v>4.8</v>
          </cell>
          <cell r="L916">
            <v>5.04</v>
          </cell>
          <cell r="M916">
            <v>5.86</v>
          </cell>
        </row>
        <row r="926">
          <cell r="B926">
            <v>11.65405847474954</v>
          </cell>
          <cell r="C926">
            <v>11.65405847474954</v>
          </cell>
          <cell r="D926">
            <v>11.65405847474954</v>
          </cell>
          <cell r="E926">
            <v>11.65405847474954</v>
          </cell>
          <cell r="F926">
            <v>11.65405847474954</v>
          </cell>
          <cell r="G926">
            <v>11.65405847474954</v>
          </cell>
          <cell r="H926">
            <v>11.65405847474954</v>
          </cell>
          <cell r="I926">
            <v>11.648104628588944</v>
          </cell>
          <cell r="J926">
            <v>11.648104628588944</v>
          </cell>
          <cell r="K926">
            <v>11.648104628588944</v>
          </cell>
          <cell r="L926">
            <v>11.648104628588944</v>
          </cell>
          <cell r="M926">
            <v>11.648104628588944</v>
          </cell>
        </row>
        <row r="927">
          <cell r="B927">
            <v>11.648104628588944</v>
          </cell>
          <cell r="C927">
            <v>11.648104628588944</v>
          </cell>
          <cell r="D927">
            <v>11.648104628588944</v>
          </cell>
          <cell r="E927">
            <v>11.648104628588944</v>
          </cell>
          <cell r="F927">
            <v>11.621979814456113</v>
          </cell>
          <cell r="G927">
            <v>11.621979814456113</v>
          </cell>
          <cell r="H927">
            <v>11.621979814456113</v>
          </cell>
          <cell r="I927">
            <v>11.621979814456113</v>
          </cell>
          <cell r="J927">
            <v>11.621979814456113</v>
          </cell>
          <cell r="K927">
            <v>11.621979814456113</v>
          </cell>
          <cell r="L927">
            <v>11.621979814456113</v>
          </cell>
          <cell r="M927">
            <v>11.621979814456113</v>
          </cell>
        </row>
        <row r="928">
          <cell r="B928">
            <v>11.607999999999999</v>
          </cell>
          <cell r="C928">
            <v>11.607999999999999</v>
          </cell>
          <cell r="D928">
            <v>11.607999999999999</v>
          </cell>
          <cell r="E928">
            <v>11.607999999999999</v>
          </cell>
          <cell r="F928">
            <v>11.607999999999999</v>
          </cell>
          <cell r="G928">
            <v>11.607999999999999</v>
          </cell>
          <cell r="H928">
            <v>11.607999999999999</v>
          </cell>
          <cell r="I928">
            <v>11.607999999999999</v>
          </cell>
          <cell r="J928">
            <v>11.607999999999999</v>
          </cell>
          <cell r="K928">
            <v>11.607999999999999</v>
          </cell>
          <cell r="L928">
            <v>11.607999999999999</v>
          </cell>
          <cell r="M928">
            <v>11.607999999999999</v>
          </cell>
        </row>
        <row r="966">
          <cell r="B966">
            <v>35</v>
          </cell>
          <cell r="C966">
            <v>18</v>
          </cell>
          <cell r="D966">
            <v>34</v>
          </cell>
          <cell r="E966">
            <v>35</v>
          </cell>
          <cell r="F966">
            <v>35</v>
          </cell>
          <cell r="G966">
            <v>35</v>
          </cell>
          <cell r="H966">
            <v>35</v>
          </cell>
          <cell r="I966">
            <v>35</v>
          </cell>
          <cell r="J966">
            <v>35</v>
          </cell>
          <cell r="K966">
            <v>35</v>
          </cell>
          <cell r="L966">
            <v>32</v>
          </cell>
          <cell r="M966">
            <v>34</v>
          </cell>
        </row>
        <row r="967">
          <cell r="B967">
            <v>35</v>
          </cell>
          <cell r="C967">
            <v>35</v>
          </cell>
          <cell r="D967">
            <v>35</v>
          </cell>
          <cell r="E967">
            <v>35</v>
          </cell>
          <cell r="F967">
            <v>35</v>
          </cell>
          <cell r="G967">
            <v>35</v>
          </cell>
          <cell r="H967">
            <v>35</v>
          </cell>
          <cell r="I967">
            <v>35</v>
          </cell>
          <cell r="J967">
            <v>35</v>
          </cell>
          <cell r="K967">
            <v>35</v>
          </cell>
          <cell r="L967">
            <v>35</v>
          </cell>
          <cell r="M967">
            <v>35</v>
          </cell>
        </row>
        <row r="968">
          <cell r="B968">
            <v>35</v>
          </cell>
          <cell r="C968">
            <v>35</v>
          </cell>
          <cell r="D968">
            <v>35</v>
          </cell>
          <cell r="E968">
            <v>35</v>
          </cell>
          <cell r="F968">
            <v>35</v>
          </cell>
          <cell r="G968">
            <v>35</v>
          </cell>
          <cell r="H968">
            <v>35</v>
          </cell>
          <cell r="I968">
            <v>35</v>
          </cell>
          <cell r="J968">
            <v>35</v>
          </cell>
          <cell r="K968">
            <v>35</v>
          </cell>
          <cell r="L968">
            <v>35</v>
          </cell>
          <cell r="M968">
            <v>35</v>
          </cell>
        </row>
        <row r="969">
          <cell r="B969">
            <v>25.02</v>
          </cell>
          <cell r="C969">
            <v>25.02</v>
          </cell>
          <cell r="D969">
            <v>25.02</v>
          </cell>
          <cell r="E969">
            <v>25.02</v>
          </cell>
          <cell r="F969">
            <v>25.02</v>
          </cell>
          <cell r="G969">
            <v>25.02</v>
          </cell>
          <cell r="H969">
            <v>25.02</v>
          </cell>
          <cell r="I969">
            <v>25.02</v>
          </cell>
          <cell r="J969">
            <v>25.02</v>
          </cell>
          <cell r="K969">
            <v>25.02</v>
          </cell>
          <cell r="L969">
            <v>25.02</v>
          </cell>
          <cell r="M969">
            <v>25.02</v>
          </cell>
        </row>
        <row r="970">
          <cell r="B970">
            <v>25.02</v>
          </cell>
          <cell r="C970">
            <v>25.02</v>
          </cell>
          <cell r="D970">
            <v>25.02</v>
          </cell>
          <cell r="E970">
            <v>25.02</v>
          </cell>
          <cell r="F970">
            <v>25.02</v>
          </cell>
          <cell r="G970">
            <v>25.02</v>
          </cell>
          <cell r="H970">
            <v>25.02</v>
          </cell>
          <cell r="I970">
            <v>25.02</v>
          </cell>
          <cell r="J970">
            <v>25.02</v>
          </cell>
          <cell r="K970">
            <v>25.02</v>
          </cell>
          <cell r="L970">
            <v>25.02</v>
          </cell>
          <cell r="M970">
            <v>25.02</v>
          </cell>
        </row>
        <row r="971">
          <cell r="B971">
            <v>25.02</v>
          </cell>
          <cell r="C971">
            <v>25.02</v>
          </cell>
          <cell r="D971">
            <v>25.02</v>
          </cell>
          <cell r="E971">
            <v>25.02</v>
          </cell>
          <cell r="F971">
            <v>25.02</v>
          </cell>
          <cell r="G971">
            <v>25.02</v>
          </cell>
          <cell r="H971">
            <v>25.02</v>
          </cell>
          <cell r="I971">
            <v>25.02</v>
          </cell>
          <cell r="J971">
            <v>25.02</v>
          </cell>
          <cell r="K971">
            <v>25.02</v>
          </cell>
          <cell r="L971">
            <v>25.02</v>
          </cell>
          <cell r="M971">
            <v>25.02</v>
          </cell>
        </row>
        <row r="972">
          <cell r="B972">
            <v>25.02</v>
          </cell>
          <cell r="C972">
            <v>25.02</v>
          </cell>
          <cell r="D972">
            <v>25.02</v>
          </cell>
          <cell r="E972">
            <v>25.02</v>
          </cell>
          <cell r="F972">
            <v>25.02</v>
          </cell>
          <cell r="G972">
            <v>25.02</v>
          </cell>
          <cell r="H972">
            <v>25.02</v>
          </cell>
          <cell r="I972">
            <v>25.02</v>
          </cell>
          <cell r="J972">
            <v>25.02</v>
          </cell>
          <cell r="K972">
            <v>25.02</v>
          </cell>
          <cell r="L972">
            <v>25.02</v>
          </cell>
          <cell r="M972">
            <v>25.02</v>
          </cell>
        </row>
        <row r="973">
          <cell r="B973">
            <v>25.02</v>
          </cell>
          <cell r="C973">
            <v>25.02</v>
          </cell>
          <cell r="D973">
            <v>25.02</v>
          </cell>
          <cell r="E973">
            <v>25.02</v>
          </cell>
          <cell r="F973">
            <v>25.02</v>
          </cell>
          <cell r="G973">
            <v>25.02</v>
          </cell>
          <cell r="H973">
            <v>25.02</v>
          </cell>
          <cell r="I973">
            <v>25.02</v>
          </cell>
          <cell r="J973">
            <v>25.02</v>
          </cell>
          <cell r="K973">
            <v>25.02</v>
          </cell>
          <cell r="L973">
            <v>25.02</v>
          </cell>
          <cell r="M973">
            <v>25.02</v>
          </cell>
        </row>
        <row r="974">
          <cell r="B974">
            <v>25.02</v>
          </cell>
          <cell r="C974">
            <v>25.02</v>
          </cell>
          <cell r="D974">
            <v>25.02</v>
          </cell>
          <cell r="E974">
            <v>25.02</v>
          </cell>
          <cell r="F974">
            <v>25.02</v>
          </cell>
          <cell r="G974">
            <v>25.02</v>
          </cell>
          <cell r="H974">
            <v>25.02</v>
          </cell>
          <cell r="I974">
            <v>25.02</v>
          </cell>
          <cell r="J974">
            <v>25.02</v>
          </cell>
          <cell r="K974">
            <v>25.02</v>
          </cell>
          <cell r="L974">
            <v>25.02</v>
          </cell>
          <cell r="M974">
            <v>25.02</v>
          </cell>
        </row>
        <row r="975">
          <cell r="B975">
            <v>25.02</v>
          </cell>
          <cell r="C975">
            <v>25.02</v>
          </cell>
          <cell r="D975">
            <v>25.02</v>
          </cell>
          <cell r="E975">
            <v>25.02</v>
          </cell>
          <cell r="F975">
            <v>25.02</v>
          </cell>
          <cell r="G975">
            <v>25.02</v>
          </cell>
          <cell r="H975">
            <v>25.02</v>
          </cell>
          <cell r="I975">
            <v>25.02</v>
          </cell>
          <cell r="J975">
            <v>25.02</v>
          </cell>
          <cell r="K975">
            <v>25.02</v>
          </cell>
          <cell r="L975">
            <v>25.02</v>
          </cell>
          <cell r="M975">
            <v>25.02</v>
          </cell>
        </row>
        <row r="976">
          <cell r="B976">
            <v>25.02</v>
          </cell>
          <cell r="C976">
            <v>25.02</v>
          </cell>
          <cell r="D976">
            <v>25.02</v>
          </cell>
          <cell r="E976">
            <v>25.02</v>
          </cell>
          <cell r="F976">
            <v>25.02</v>
          </cell>
          <cell r="G976">
            <v>25.02</v>
          </cell>
          <cell r="H976">
            <v>25.02</v>
          </cell>
          <cell r="I976">
            <v>25.02</v>
          </cell>
          <cell r="J976">
            <v>25.02</v>
          </cell>
          <cell r="K976">
            <v>25.02</v>
          </cell>
          <cell r="L976">
            <v>25.02</v>
          </cell>
          <cell r="M976">
            <v>25.02</v>
          </cell>
        </row>
        <row r="977">
          <cell r="B977">
            <v>25.02</v>
          </cell>
          <cell r="C977">
            <v>25.02</v>
          </cell>
          <cell r="D977">
            <v>25.02</v>
          </cell>
          <cell r="E977">
            <v>25.02</v>
          </cell>
          <cell r="F977">
            <v>25.02</v>
          </cell>
          <cell r="G977">
            <v>25.02</v>
          </cell>
          <cell r="H977">
            <v>25.02</v>
          </cell>
          <cell r="I977">
            <v>25.02</v>
          </cell>
          <cell r="J977">
            <v>25.02</v>
          </cell>
          <cell r="K977">
            <v>25.02</v>
          </cell>
          <cell r="L977">
            <v>25.02</v>
          </cell>
          <cell r="M977">
            <v>25.02</v>
          </cell>
        </row>
        <row r="978">
          <cell r="B978">
            <v>25.02</v>
          </cell>
          <cell r="C978">
            <v>25.02</v>
          </cell>
          <cell r="D978">
            <v>25.02</v>
          </cell>
          <cell r="E978">
            <v>25.02</v>
          </cell>
          <cell r="F978">
            <v>25.02</v>
          </cell>
          <cell r="G978">
            <v>25.02</v>
          </cell>
          <cell r="H978">
            <v>25.02</v>
          </cell>
          <cell r="I978">
            <v>25.02</v>
          </cell>
          <cell r="J978">
            <v>25.02</v>
          </cell>
          <cell r="K978">
            <v>25.02</v>
          </cell>
          <cell r="L978">
            <v>25.02</v>
          </cell>
          <cell r="M978">
            <v>25.02</v>
          </cell>
        </row>
        <row r="979">
          <cell r="B979">
            <v>25.02</v>
          </cell>
          <cell r="C979">
            <v>25.02</v>
          </cell>
          <cell r="D979">
            <v>25.02</v>
          </cell>
          <cell r="E979">
            <v>25.02</v>
          </cell>
          <cell r="F979">
            <v>25.02</v>
          </cell>
          <cell r="G979">
            <v>25.02</v>
          </cell>
          <cell r="H979">
            <v>25.02</v>
          </cell>
          <cell r="I979">
            <v>25.02</v>
          </cell>
          <cell r="J979">
            <v>25.02</v>
          </cell>
          <cell r="K979">
            <v>25.02</v>
          </cell>
          <cell r="L979">
            <v>25.02</v>
          </cell>
          <cell r="M979">
            <v>25.02</v>
          </cell>
        </row>
        <row r="980">
          <cell r="B980">
            <v>25.02</v>
          </cell>
          <cell r="C980">
            <v>25.02</v>
          </cell>
          <cell r="D980">
            <v>25.02</v>
          </cell>
          <cell r="E980">
            <v>25.02</v>
          </cell>
          <cell r="F980">
            <v>25.02</v>
          </cell>
          <cell r="G980">
            <v>25.02</v>
          </cell>
          <cell r="H980">
            <v>25.02</v>
          </cell>
          <cell r="I980">
            <v>25.02</v>
          </cell>
          <cell r="J980">
            <v>25.02</v>
          </cell>
          <cell r="K980">
            <v>25.02</v>
          </cell>
          <cell r="L980">
            <v>25.02</v>
          </cell>
          <cell r="M980">
            <v>25.02</v>
          </cell>
        </row>
        <row r="981">
          <cell r="B981">
            <v>25.02</v>
          </cell>
          <cell r="C981">
            <v>25.02</v>
          </cell>
          <cell r="D981">
            <v>25.02</v>
          </cell>
          <cell r="E981">
            <v>25.02</v>
          </cell>
          <cell r="F981">
            <v>25.02</v>
          </cell>
          <cell r="G981">
            <v>25.02</v>
          </cell>
          <cell r="H981">
            <v>25.02</v>
          </cell>
          <cell r="I981">
            <v>25.02</v>
          </cell>
          <cell r="J981">
            <v>25.02</v>
          </cell>
          <cell r="K981">
            <v>25.02</v>
          </cell>
          <cell r="L981">
            <v>25.02</v>
          </cell>
          <cell r="M981">
            <v>25.02</v>
          </cell>
        </row>
        <row r="982">
          <cell r="B982">
            <v>25.02</v>
          </cell>
          <cell r="C982">
            <v>25.02</v>
          </cell>
          <cell r="D982">
            <v>25.02</v>
          </cell>
          <cell r="E982">
            <v>25.02</v>
          </cell>
          <cell r="F982">
            <v>25.02</v>
          </cell>
          <cell r="G982">
            <v>25.02</v>
          </cell>
          <cell r="H982">
            <v>25.02</v>
          </cell>
          <cell r="I982">
            <v>25.02</v>
          </cell>
          <cell r="J982">
            <v>25.02</v>
          </cell>
          <cell r="K982">
            <v>25.02</v>
          </cell>
          <cell r="L982">
            <v>25.02</v>
          </cell>
          <cell r="M982">
            <v>25.02</v>
          </cell>
        </row>
        <row r="983">
          <cell r="B983">
            <v>25.02</v>
          </cell>
          <cell r="C983">
            <v>25.02</v>
          </cell>
          <cell r="D983">
            <v>25.02</v>
          </cell>
          <cell r="E983">
            <v>25.02</v>
          </cell>
          <cell r="F983">
            <v>25.02</v>
          </cell>
          <cell r="G983">
            <v>25.02</v>
          </cell>
          <cell r="H983">
            <v>25.02</v>
          </cell>
          <cell r="I983">
            <v>25.02</v>
          </cell>
          <cell r="J983">
            <v>25.02</v>
          </cell>
          <cell r="K983">
            <v>25.02</v>
          </cell>
          <cell r="L983">
            <v>25.02</v>
          </cell>
          <cell r="M983">
            <v>25.02</v>
          </cell>
        </row>
        <row r="984">
          <cell r="B984">
            <v>25.02</v>
          </cell>
          <cell r="C984">
            <v>25.02</v>
          </cell>
          <cell r="D984">
            <v>25.02</v>
          </cell>
          <cell r="E984">
            <v>25.02</v>
          </cell>
          <cell r="F984">
            <v>25.02</v>
          </cell>
          <cell r="G984">
            <v>25.02</v>
          </cell>
          <cell r="H984">
            <v>25.02</v>
          </cell>
          <cell r="I984">
            <v>25.02</v>
          </cell>
          <cell r="J984">
            <v>25.02</v>
          </cell>
          <cell r="K984">
            <v>25.02</v>
          </cell>
          <cell r="L984">
            <v>25.02</v>
          </cell>
          <cell r="M984">
            <v>25.02</v>
          </cell>
        </row>
        <row r="985">
          <cell r="B985">
            <v>25.02</v>
          </cell>
          <cell r="C985">
            <v>25.02</v>
          </cell>
          <cell r="D985">
            <v>25.02</v>
          </cell>
          <cell r="E985">
            <v>25.02</v>
          </cell>
          <cell r="F985">
            <v>25.02</v>
          </cell>
          <cell r="G985">
            <v>25.02</v>
          </cell>
          <cell r="H985">
            <v>25.02</v>
          </cell>
          <cell r="I985">
            <v>25.02</v>
          </cell>
          <cell r="J985">
            <v>25.02</v>
          </cell>
          <cell r="K985">
            <v>25.02</v>
          </cell>
          <cell r="L985">
            <v>25.02</v>
          </cell>
          <cell r="M985">
            <v>25.02</v>
          </cell>
        </row>
        <row r="986">
          <cell r="B986">
            <v>25.02</v>
          </cell>
          <cell r="C986">
            <v>25.02</v>
          </cell>
          <cell r="D986">
            <v>25.02</v>
          </cell>
          <cell r="E986">
            <v>25.02</v>
          </cell>
          <cell r="F986">
            <v>25.02</v>
          </cell>
          <cell r="G986">
            <v>25.02</v>
          </cell>
          <cell r="H986">
            <v>25.02</v>
          </cell>
          <cell r="I986">
            <v>25.02</v>
          </cell>
          <cell r="J986">
            <v>25.02</v>
          </cell>
          <cell r="K986">
            <v>25.02</v>
          </cell>
          <cell r="L986">
            <v>25.02</v>
          </cell>
          <cell r="M986">
            <v>25.02</v>
          </cell>
        </row>
        <row r="987">
          <cell r="B987">
            <v>25.02</v>
          </cell>
          <cell r="C987">
            <v>25.02</v>
          </cell>
          <cell r="D987">
            <v>25.02</v>
          </cell>
          <cell r="E987">
            <v>25.02</v>
          </cell>
          <cell r="F987">
            <v>25.02</v>
          </cell>
          <cell r="G987">
            <v>25.02</v>
          </cell>
          <cell r="H987">
            <v>25.02</v>
          </cell>
          <cell r="I987">
            <v>25.02</v>
          </cell>
          <cell r="J987">
            <v>25.02</v>
          </cell>
          <cell r="K987">
            <v>25.02</v>
          </cell>
          <cell r="L987">
            <v>25.02</v>
          </cell>
          <cell r="M987">
            <v>25.02</v>
          </cell>
        </row>
        <row r="988">
          <cell r="B988">
            <v>25.02</v>
          </cell>
          <cell r="C988">
            <v>25.02</v>
          </cell>
          <cell r="D988">
            <v>25.02</v>
          </cell>
          <cell r="E988">
            <v>25.02</v>
          </cell>
          <cell r="F988">
            <v>25.02</v>
          </cell>
          <cell r="G988">
            <v>25.02</v>
          </cell>
          <cell r="H988">
            <v>25.02</v>
          </cell>
          <cell r="I988">
            <v>25.02</v>
          </cell>
          <cell r="J988">
            <v>25.02</v>
          </cell>
          <cell r="K988">
            <v>25.02</v>
          </cell>
          <cell r="L988">
            <v>25.02</v>
          </cell>
          <cell r="M988">
            <v>25.02</v>
          </cell>
        </row>
        <row r="989">
          <cell r="B989">
            <v>25.02</v>
          </cell>
          <cell r="C989">
            <v>25.02</v>
          </cell>
          <cell r="D989">
            <v>25.02</v>
          </cell>
          <cell r="E989">
            <v>25.02</v>
          </cell>
          <cell r="F989">
            <v>25.02</v>
          </cell>
          <cell r="G989">
            <v>25.02</v>
          </cell>
          <cell r="H989">
            <v>25.02</v>
          </cell>
          <cell r="I989">
            <v>25.02</v>
          </cell>
          <cell r="J989">
            <v>25.02</v>
          </cell>
          <cell r="K989">
            <v>25.02</v>
          </cell>
          <cell r="L989">
            <v>25.02</v>
          </cell>
          <cell r="M989">
            <v>25.02</v>
          </cell>
        </row>
        <row r="990">
          <cell r="B990">
            <v>25.02</v>
          </cell>
          <cell r="C990">
            <v>25.02</v>
          </cell>
          <cell r="D990">
            <v>25.02</v>
          </cell>
          <cell r="E990">
            <v>25.02</v>
          </cell>
          <cell r="F990">
            <v>25.02</v>
          </cell>
          <cell r="G990">
            <v>25.02</v>
          </cell>
          <cell r="H990">
            <v>25.02</v>
          </cell>
          <cell r="I990">
            <v>25.02</v>
          </cell>
          <cell r="J990">
            <v>25.02</v>
          </cell>
          <cell r="K990">
            <v>25.02</v>
          </cell>
          <cell r="L990">
            <v>25.02</v>
          </cell>
          <cell r="M990">
            <v>25.02</v>
          </cell>
        </row>
        <row r="991">
          <cell r="B991">
            <v>25.02</v>
          </cell>
          <cell r="C991">
            <v>25.02</v>
          </cell>
          <cell r="D991">
            <v>25.02</v>
          </cell>
          <cell r="E991">
            <v>25.02</v>
          </cell>
          <cell r="F991">
            <v>25.02</v>
          </cell>
          <cell r="G991">
            <v>25.02</v>
          </cell>
          <cell r="H991">
            <v>25.02</v>
          </cell>
          <cell r="I991">
            <v>25.02</v>
          </cell>
          <cell r="J991">
            <v>25.02</v>
          </cell>
          <cell r="K991">
            <v>25.02</v>
          </cell>
          <cell r="L991">
            <v>25.02</v>
          </cell>
          <cell r="M991">
            <v>25.02</v>
          </cell>
        </row>
        <row r="992">
          <cell r="B992">
            <v>25.02</v>
          </cell>
          <cell r="C992">
            <v>25.02</v>
          </cell>
          <cell r="D992">
            <v>25.02</v>
          </cell>
          <cell r="E992">
            <v>25.02</v>
          </cell>
          <cell r="F992">
            <v>25.02</v>
          </cell>
          <cell r="G992">
            <v>25.02</v>
          </cell>
          <cell r="H992">
            <v>25.02</v>
          </cell>
          <cell r="I992">
            <v>25.02</v>
          </cell>
          <cell r="J992">
            <v>25.02</v>
          </cell>
          <cell r="K992">
            <v>25.02</v>
          </cell>
          <cell r="L992">
            <v>25.02</v>
          </cell>
          <cell r="M992">
            <v>25.02</v>
          </cell>
        </row>
        <row r="993">
          <cell r="B993">
            <v>25.02</v>
          </cell>
          <cell r="C993">
            <v>25.02</v>
          </cell>
          <cell r="D993">
            <v>25.02</v>
          </cell>
          <cell r="E993">
            <v>25.02</v>
          </cell>
          <cell r="F993">
            <v>25.02</v>
          </cell>
          <cell r="G993">
            <v>25.02</v>
          </cell>
          <cell r="H993">
            <v>25.02</v>
          </cell>
          <cell r="I993">
            <v>25.02</v>
          </cell>
          <cell r="J993">
            <v>25.02</v>
          </cell>
          <cell r="K993">
            <v>25.02</v>
          </cell>
          <cell r="L993">
            <v>25.02</v>
          </cell>
          <cell r="M993">
            <v>25.02</v>
          </cell>
        </row>
        <row r="994">
          <cell r="B994">
            <v>25.02</v>
          </cell>
          <cell r="C994">
            <v>25.02</v>
          </cell>
          <cell r="D994">
            <v>25.02</v>
          </cell>
          <cell r="E994">
            <v>25.02</v>
          </cell>
          <cell r="F994">
            <v>25.02</v>
          </cell>
          <cell r="G994">
            <v>25.02</v>
          </cell>
          <cell r="H994">
            <v>25.02</v>
          </cell>
          <cell r="I994">
            <v>25.02</v>
          </cell>
          <cell r="J994">
            <v>25.02</v>
          </cell>
          <cell r="K994">
            <v>25.02</v>
          </cell>
          <cell r="L994">
            <v>25.02</v>
          </cell>
          <cell r="M994">
            <v>25.02</v>
          </cell>
        </row>
        <row r="995">
          <cell r="B995">
            <v>25.02</v>
          </cell>
          <cell r="C995">
            <v>25.02</v>
          </cell>
          <cell r="D995">
            <v>25.02</v>
          </cell>
          <cell r="E995">
            <v>25.02</v>
          </cell>
          <cell r="F995">
            <v>25.02</v>
          </cell>
          <cell r="G995">
            <v>25.02</v>
          </cell>
          <cell r="H995">
            <v>25.02</v>
          </cell>
          <cell r="I995">
            <v>25.02</v>
          </cell>
          <cell r="J995">
            <v>25.02</v>
          </cell>
          <cell r="K995">
            <v>25.02</v>
          </cell>
          <cell r="L995">
            <v>25.02</v>
          </cell>
          <cell r="M995">
            <v>25.02</v>
          </cell>
        </row>
        <row r="996">
          <cell r="B996">
            <v>25.02</v>
          </cell>
          <cell r="C996">
            <v>25.02</v>
          </cell>
          <cell r="D996">
            <v>25.02</v>
          </cell>
          <cell r="E996">
            <v>25.02</v>
          </cell>
          <cell r="F996">
            <v>25.02</v>
          </cell>
          <cell r="G996">
            <v>25.02</v>
          </cell>
          <cell r="H996">
            <v>25.02</v>
          </cell>
          <cell r="I996">
            <v>25.02</v>
          </cell>
          <cell r="J996">
            <v>25.02</v>
          </cell>
          <cell r="K996">
            <v>25.02</v>
          </cell>
          <cell r="L996">
            <v>25.02</v>
          </cell>
          <cell r="M996">
            <v>25.02</v>
          </cell>
        </row>
        <row r="1006">
          <cell r="B1006">
            <v>75</v>
          </cell>
          <cell r="C1006">
            <v>45</v>
          </cell>
          <cell r="D1006">
            <v>30</v>
          </cell>
          <cell r="E1006">
            <v>75</v>
          </cell>
          <cell r="F1006">
            <v>57</v>
          </cell>
          <cell r="G1006">
            <v>75</v>
          </cell>
          <cell r="H1006">
            <v>100</v>
          </cell>
          <cell r="I1006">
            <v>100</v>
          </cell>
          <cell r="J1006">
            <v>75</v>
          </cell>
          <cell r="K1006">
            <v>36</v>
          </cell>
          <cell r="L1006">
            <v>0</v>
          </cell>
          <cell r="M1006">
            <v>75</v>
          </cell>
        </row>
        <row r="1007">
          <cell r="B1007">
            <v>50</v>
          </cell>
          <cell r="C1007">
            <v>50</v>
          </cell>
          <cell r="D1007">
            <v>50</v>
          </cell>
          <cell r="E1007">
            <v>50</v>
          </cell>
          <cell r="F1007">
            <v>50</v>
          </cell>
          <cell r="G1007">
            <v>50</v>
          </cell>
          <cell r="H1007">
            <v>50</v>
          </cell>
          <cell r="I1007">
            <v>50</v>
          </cell>
          <cell r="J1007">
            <v>50</v>
          </cell>
          <cell r="K1007">
            <v>50</v>
          </cell>
          <cell r="L1007">
            <v>50</v>
          </cell>
          <cell r="M1007">
            <v>50</v>
          </cell>
        </row>
        <row r="1008">
          <cell r="B1008">
            <v>50</v>
          </cell>
          <cell r="C1008">
            <v>50</v>
          </cell>
          <cell r="D1008">
            <v>50</v>
          </cell>
          <cell r="E1008">
            <v>50</v>
          </cell>
          <cell r="F1008">
            <v>50</v>
          </cell>
          <cell r="G1008">
            <v>50</v>
          </cell>
          <cell r="H1008">
            <v>50</v>
          </cell>
          <cell r="I1008">
            <v>50</v>
          </cell>
          <cell r="J1008">
            <v>50</v>
          </cell>
          <cell r="K1008">
            <v>50</v>
          </cell>
          <cell r="L1008">
            <v>50</v>
          </cell>
          <cell r="M1008">
            <v>50</v>
          </cell>
        </row>
        <row r="1009">
          <cell r="B1009">
            <v>50.04</v>
          </cell>
          <cell r="C1009">
            <v>50.04</v>
          </cell>
          <cell r="D1009">
            <v>50.04</v>
          </cell>
          <cell r="E1009">
            <v>50.04</v>
          </cell>
          <cell r="F1009">
            <v>50.04</v>
          </cell>
          <cell r="G1009">
            <v>50.04</v>
          </cell>
          <cell r="H1009">
            <v>50.04</v>
          </cell>
          <cell r="I1009">
            <v>50.04</v>
          </cell>
          <cell r="J1009">
            <v>50.04</v>
          </cell>
          <cell r="K1009">
            <v>50.04</v>
          </cell>
          <cell r="L1009">
            <v>50.04</v>
          </cell>
          <cell r="M1009">
            <v>50.04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</row>
        <row r="1020">
          <cell r="B1020">
            <v>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</row>
        <row r="1021"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</row>
        <row r="1022"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</row>
        <row r="1025">
          <cell r="B1025">
            <v>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</row>
        <row r="1026"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</row>
        <row r="1047">
          <cell r="B1047">
            <v>23</v>
          </cell>
          <cell r="C1047">
            <v>23</v>
          </cell>
          <cell r="D1047">
            <v>23</v>
          </cell>
          <cell r="E1047">
            <v>23</v>
          </cell>
          <cell r="F1047">
            <v>23</v>
          </cell>
          <cell r="G1047">
            <v>23</v>
          </cell>
          <cell r="H1047">
            <v>23</v>
          </cell>
          <cell r="I1047">
            <v>23</v>
          </cell>
          <cell r="J1047">
            <v>23</v>
          </cell>
          <cell r="K1047">
            <v>23</v>
          </cell>
          <cell r="L1047">
            <v>23</v>
          </cell>
          <cell r="M1047">
            <v>23</v>
          </cell>
        </row>
        <row r="1048">
          <cell r="B1048">
            <v>24</v>
          </cell>
          <cell r="C1048">
            <v>24</v>
          </cell>
          <cell r="D1048">
            <v>24</v>
          </cell>
          <cell r="E1048">
            <v>24</v>
          </cell>
          <cell r="F1048">
            <v>24</v>
          </cell>
          <cell r="G1048">
            <v>24</v>
          </cell>
          <cell r="H1048">
            <v>24</v>
          </cell>
          <cell r="I1048">
            <v>24</v>
          </cell>
          <cell r="J1048">
            <v>24</v>
          </cell>
          <cell r="K1048">
            <v>24</v>
          </cell>
          <cell r="L1048">
            <v>24</v>
          </cell>
          <cell r="M1048">
            <v>24</v>
          </cell>
        </row>
        <row r="1049">
          <cell r="B1049">
            <v>60.04</v>
          </cell>
          <cell r="C1049">
            <v>60.04</v>
          </cell>
          <cell r="D1049">
            <v>60.04</v>
          </cell>
          <cell r="E1049">
            <v>60.04</v>
          </cell>
          <cell r="F1049">
            <v>60.04</v>
          </cell>
          <cell r="G1049">
            <v>60.04</v>
          </cell>
          <cell r="H1049">
            <v>60.04</v>
          </cell>
          <cell r="I1049">
            <v>60.04</v>
          </cell>
          <cell r="J1049">
            <v>60.04</v>
          </cell>
          <cell r="K1049">
            <v>60.04</v>
          </cell>
          <cell r="L1049">
            <v>60.04</v>
          </cell>
          <cell r="M1049">
            <v>60.04</v>
          </cell>
        </row>
        <row r="1050">
          <cell r="B1050">
            <v>60.04</v>
          </cell>
          <cell r="C1050">
            <v>60.04</v>
          </cell>
          <cell r="D1050">
            <v>60.04</v>
          </cell>
          <cell r="E1050">
            <v>60.04</v>
          </cell>
          <cell r="F1050">
            <v>60.04</v>
          </cell>
          <cell r="G1050">
            <v>60.04</v>
          </cell>
          <cell r="H1050">
            <v>60.04</v>
          </cell>
          <cell r="I1050">
            <v>60.04</v>
          </cell>
          <cell r="J1050">
            <v>60.04</v>
          </cell>
          <cell r="K1050">
            <v>60.04</v>
          </cell>
          <cell r="L1050">
            <v>60.04</v>
          </cell>
          <cell r="M1050">
            <v>60.04</v>
          </cell>
        </row>
        <row r="1051">
          <cell r="B1051">
            <v>60.04</v>
          </cell>
          <cell r="C1051">
            <v>60.04</v>
          </cell>
          <cell r="D1051">
            <v>60.04</v>
          </cell>
          <cell r="E1051">
            <v>60.04</v>
          </cell>
          <cell r="F1051">
            <v>60.04</v>
          </cell>
          <cell r="G1051">
            <v>60.04</v>
          </cell>
          <cell r="H1051">
            <v>60.04</v>
          </cell>
          <cell r="I1051">
            <v>60.04</v>
          </cell>
          <cell r="J1051">
            <v>60.04</v>
          </cell>
          <cell r="K1051">
            <v>60.04</v>
          </cell>
          <cell r="L1051">
            <v>60.04</v>
          </cell>
          <cell r="M1051">
            <v>60.04</v>
          </cell>
        </row>
        <row r="1052">
          <cell r="B1052">
            <v>60.04</v>
          </cell>
          <cell r="C1052">
            <v>60.04</v>
          </cell>
          <cell r="D1052">
            <v>60.04</v>
          </cell>
          <cell r="E1052">
            <v>60.04</v>
          </cell>
          <cell r="F1052">
            <v>60.04</v>
          </cell>
          <cell r="G1052">
            <v>60.04</v>
          </cell>
          <cell r="H1052">
            <v>60.04</v>
          </cell>
          <cell r="I1052">
            <v>60.04</v>
          </cell>
          <cell r="J1052">
            <v>60.04</v>
          </cell>
          <cell r="K1052">
            <v>60.04</v>
          </cell>
          <cell r="L1052">
            <v>60.04</v>
          </cell>
          <cell r="M1052">
            <v>60.04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</row>
        <row r="1059">
          <cell r="B1059">
            <v>0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</row>
        <row r="1060"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</row>
        <row r="1061"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</row>
        <row r="1062">
          <cell r="B1062">
            <v>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</row>
        <row r="1063"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</row>
        <row r="1064">
          <cell r="B1064">
            <v>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</row>
        <row r="1065"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</row>
        <row r="1066"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</row>
        <row r="1086">
          <cell r="B1086">
            <v>109.902</v>
          </cell>
          <cell r="C1086">
            <v>78.301000000000002</v>
          </cell>
          <cell r="D1086">
            <v>74.426000000000002</v>
          </cell>
          <cell r="E1086">
            <v>65.510999999999996</v>
          </cell>
          <cell r="F1086">
            <v>88.697999999999993</v>
          </cell>
          <cell r="G1086">
            <v>96.388999999999996</v>
          </cell>
          <cell r="H1086">
            <v>94.801000000000002</v>
          </cell>
          <cell r="I1086">
            <v>95.34</v>
          </cell>
          <cell r="J1086">
            <v>89.353999999999999</v>
          </cell>
          <cell r="K1086">
            <v>80.275999999999996</v>
          </cell>
          <cell r="L1086">
            <v>65.622</v>
          </cell>
          <cell r="M1086">
            <v>94.01</v>
          </cell>
        </row>
        <row r="1087">
          <cell r="B1087">
            <v>41</v>
          </cell>
          <cell r="C1087">
            <v>41</v>
          </cell>
          <cell r="D1087">
            <v>41</v>
          </cell>
          <cell r="E1087">
            <v>41</v>
          </cell>
          <cell r="F1087">
            <v>41</v>
          </cell>
          <cell r="G1087">
            <v>41</v>
          </cell>
          <cell r="H1087">
            <v>41</v>
          </cell>
          <cell r="I1087">
            <v>41</v>
          </cell>
          <cell r="J1087">
            <v>41</v>
          </cell>
          <cell r="K1087">
            <v>41</v>
          </cell>
          <cell r="L1087">
            <v>41</v>
          </cell>
          <cell r="M1087">
            <v>41</v>
          </cell>
        </row>
        <row r="1088">
          <cell r="B1088">
            <v>41</v>
          </cell>
          <cell r="C1088">
            <v>41</v>
          </cell>
          <cell r="D1088">
            <v>41</v>
          </cell>
          <cell r="E1088">
            <v>41</v>
          </cell>
          <cell r="F1088">
            <v>41</v>
          </cell>
          <cell r="G1088">
            <v>41</v>
          </cell>
          <cell r="H1088">
            <v>41</v>
          </cell>
          <cell r="I1088">
            <v>41</v>
          </cell>
          <cell r="J1088">
            <v>41</v>
          </cell>
          <cell r="K1088">
            <v>41</v>
          </cell>
          <cell r="L1088">
            <v>41</v>
          </cell>
          <cell r="M1088">
            <v>41</v>
          </cell>
        </row>
        <row r="1089">
          <cell r="B1089">
            <v>40.78</v>
          </cell>
          <cell r="C1089">
            <v>40.78</v>
          </cell>
          <cell r="D1089">
            <v>40.78</v>
          </cell>
          <cell r="E1089">
            <v>40.78</v>
          </cell>
          <cell r="F1089">
            <v>40.78</v>
          </cell>
          <cell r="G1089">
            <v>40.78</v>
          </cell>
          <cell r="H1089">
            <v>40.78</v>
          </cell>
          <cell r="I1089">
            <v>40.78</v>
          </cell>
          <cell r="J1089">
            <v>40.78</v>
          </cell>
          <cell r="K1089">
            <v>40.78</v>
          </cell>
          <cell r="L1089">
            <v>40.78</v>
          </cell>
          <cell r="M1089">
            <v>40.78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</row>
        <row r="1126"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</row>
        <row r="1129">
          <cell r="B1129">
            <v>15.01</v>
          </cell>
          <cell r="C1129">
            <v>15.01</v>
          </cell>
          <cell r="D1129">
            <v>15.01</v>
          </cell>
          <cell r="E1129">
            <v>15.01</v>
          </cell>
          <cell r="F1129">
            <v>15.01</v>
          </cell>
          <cell r="G1129">
            <v>15.01</v>
          </cell>
          <cell r="H1129">
            <v>15.01</v>
          </cell>
          <cell r="I1129">
            <v>15.01</v>
          </cell>
          <cell r="J1129">
            <v>15.01</v>
          </cell>
          <cell r="K1129">
            <v>15.01</v>
          </cell>
          <cell r="L1129">
            <v>15.01</v>
          </cell>
          <cell r="M1129">
            <v>15.01</v>
          </cell>
        </row>
        <row r="1130">
          <cell r="B1130">
            <v>15.01</v>
          </cell>
          <cell r="C1130">
            <v>15.01</v>
          </cell>
          <cell r="D1130">
            <v>15.01</v>
          </cell>
          <cell r="E1130">
            <v>15.01</v>
          </cell>
          <cell r="F1130">
            <v>15.01</v>
          </cell>
          <cell r="G1130">
            <v>15.01</v>
          </cell>
          <cell r="H1130">
            <v>15.01</v>
          </cell>
          <cell r="I1130">
            <v>15.01</v>
          </cell>
          <cell r="J1130">
            <v>15.01</v>
          </cell>
          <cell r="K1130">
            <v>15.01</v>
          </cell>
          <cell r="L1130">
            <v>15.01</v>
          </cell>
          <cell r="M1130">
            <v>15.01</v>
          </cell>
        </row>
        <row r="1131">
          <cell r="B1131">
            <v>15.01</v>
          </cell>
          <cell r="C1131">
            <v>15.01</v>
          </cell>
          <cell r="D1131">
            <v>15.01</v>
          </cell>
          <cell r="E1131">
            <v>15.01</v>
          </cell>
          <cell r="F1131">
            <v>15.01</v>
          </cell>
          <cell r="G1131">
            <v>15.01</v>
          </cell>
          <cell r="H1131">
            <v>15.01</v>
          </cell>
          <cell r="I1131">
            <v>15.01</v>
          </cell>
          <cell r="J1131">
            <v>15.01</v>
          </cell>
          <cell r="K1131">
            <v>15.01</v>
          </cell>
          <cell r="L1131">
            <v>15.01</v>
          </cell>
          <cell r="M1131">
            <v>15.01</v>
          </cell>
        </row>
        <row r="1132">
          <cell r="B1132">
            <v>15.01</v>
          </cell>
          <cell r="C1132">
            <v>15.01</v>
          </cell>
          <cell r="D1132">
            <v>15.01</v>
          </cell>
          <cell r="E1132">
            <v>15.01</v>
          </cell>
          <cell r="F1132">
            <v>15.01</v>
          </cell>
          <cell r="G1132">
            <v>15.01</v>
          </cell>
          <cell r="H1132">
            <v>15.01</v>
          </cell>
          <cell r="I1132">
            <v>15.01</v>
          </cell>
          <cell r="J1132">
            <v>15.01</v>
          </cell>
          <cell r="K1132">
            <v>15.01</v>
          </cell>
          <cell r="L1132">
            <v>15.01</v>
          </cell>
          <cell r="M1132">
            <v>15.01</v>
          </cell>
        </row>
        <row r="1133">
          <cell r="B1133">
            <v>15.01</v>
          </cell>
          <cell r="C1133">
            <v>15.01</v>
          </cell>
          <cell r="D1133">
            <v>15.01</v>
          </cell>
          <cell r="E1133">
            <v>15.01</v>
          </cell>
          <cell r="F1133">
            <v>15.01</v>
          </cell>
          <cell r="G1133">
            <v>15.01</v>
          </cell>
          <cell r="H1133">
            <v>15.01</v>
          </cell>
          <cell r="I1133">
            <v>15.01</v>
          </cell>
          <cell r="J1133">
            <v>15.01</v>
          </cell>
          <cell r="K1133">
            <v>15.01</v>
          </cell>
          <cell r="L1133">
            <v>15.01</v>
          </cell>
          <cell r="M1133">
            <v>15.01</v>
          </cell>
        </row>
        <row r="1134">
          <cell r="B1134">
            <v>15.01</v>
          </cell>
          <cell r="C1134">
            <v>15.01</v>
          </cell>
          <cell r="D1134">
            <v>15.01</v>
          </cell>
          <cell r="E1134">
            <v>15.01</v>
          </cell>
          <cell r="F1134">
            <v>15.01</v>
          </cell>
          <cell r="G1134">
            <v>15.01</v>
          </cell>
          <cell r="H1134">
            <v>15.01</v>
          </cell>
          <cell r="I1134">
            <v>15.01</v>
          </cell>
          <cell r="J1134">
            <v>15.01</v>
          </cell>
          <cell r="K1134">
            <v>15.01</v>
          </cell>
          <cell r="L1134">
            <v>15.01</v>
          </cell>
          <cell r="M1134">
            <v>15.01</v>
          </cell>
        </row>
        <row r="1135">
          <cell r="B1135">
            <v>15.01</v>
          </cell>
          <cell r="C1135">
            <v>15.01</v>
          </cell>
          <cell r="D1135">
            <v>15.01</v>
          </cell>
          <cell r="E1135">
            <v>15.01</v>
          </cell>
          <cell r="F1135">
            <v>15.01</v>
          </cell>
          <cell r="G1135">
            <v>15.01</v>
          </cell>
          <cell r="H1135">
            <v>15.01</v>
          </cell>
          <cell r="I1135">
            <v>15.01</v>
          </cell>
          <cell r="J1135">
            <v>15.01</v>
          </cell>
          <cell r="K1135">
            <v>15.01</v>
          </cell>
          <cell r="L1135">
            <v>15.01</v>
          </cell>
          <cell r="M1135">
            <v>15.01</v>
          </cell>
        </row>
        <row r="1136">
          <cell r="B1136">
            <v>15.01</v>
          </cell>
          <cell r="C1136">
            <v>15.01</v>
          </cell>
          <cell r="D1136">
            <v>15.01</v>
          </cell>
          <cell r="E1136">
            <v>15.01</v>
          </cell>
          <cell r="F1136">
            <v>15.01</v>
          </cell>
          <cell r="G1136">
            <v>15.01</v>
          </cell>
          <cell r="H1136">
            <v>15.01</v>
          </cell>
          <cell r="I1136">
            <v>15.01</v>
          </cell>
          <cell r="J1136">
            <v>15.01</v>
          </cell>
          <cell r="K1136">
            <v>15.01</v>
          </cell>
          <cell r="L1136">
            <v>15.01</v>
          </cell>
          <cell r="M1136">
            <v>15.01</v>
          </cell>
        </row>
        <row r="1137">
          <cell r="B1137">
            <v>15.01</v>
          </cell>
          <cell r="C1137">
            <v>15.01</v>
          </cell>
          <cell r="D1137">
            <v>15.01</v>
          </cell>
          <cell r="E1137">
            <v>15.01</v>
          </cell>
          <cell r="F1137">
            <v>15.01</v>
          </cell>
          <cell r="G1137">
            <v>15.01</v>
          </cell>
          <cell r="H1137">
            <v>15.01</v>
          </cell>
          <cell r="I1137">
            <v>15.01</v>
          </cell>
          <cell r="J1137">
            <v>15.01</v>
          </cell>
          <cell r="K1137">
            <v>15.01</v>
          </cell>
          <cell r="L1137">
            <v>15.01</v>
          </cell>
          <cell r="M1137">
            <v>15.01</v>
          </cell>
        </row>
        <row r="1138">
          <cell r="B1138">
            <v>15.01</v>
          </cell>
          <cell r="C1138">
            <v>15.01</v>
          </cell>
          <cell r="D1138">
            <v>15.01</v>
          </cell>
          <cell r="E1138">
            <v>15.01</v>
          </cell>
          <cell r="F1138">
            <v>15.01</v>
          </cell>
          <cell r="G1138">
            <v>15.01</v>
          </cell>
          <cell r="H1138">
            <v>15.01</v>
          </cell>
          <cell r="I1138">
            <v>15.01</v>
          </cell>
          <cell r="J1138">
            <v>15.01</v>
          </cell>
          <cell r="K1138">
            <v>15.01</v>
          </cell>
          <cell r="L1138">
            <v>15.01</v>
          </cell>
          <cell r="M1138">
            <v>15.01</v>
          </cell>
        </row>
        <row r="1139">
          <cell r="B1139">
            <v>15.01</v>
          </cell>
          <cell r="C1139">
            <v>15.01</v>
          </cell>
          <cell r="D1139">
            <v>15.01</v>
          </cell>
          <cell r="E1139">
            <v>15.01</v>
          </cell>
          <cell r="F1139">
            <v>15.01</v>
          </cell>
          <cell r="G1139">
            <v>15.01</v>
          </cell>
          <cell r="H1139">
            <v>15.01</v>
          </cell>
          <cell r="I1139">
            <v>15.01</v>
          </cell>
          <cell r="J1139">
            <v>15.01</v>
          </cell>
          <cell r="K1139">
            <v>15.01</v>
          </cell>
          <cell r="L1139">
            <v>15.01</v>
          </cell>
          <cell r="M1139">
            <v>15.01</v>
          </cell>
        </row>
        <row r="1140">
          <cell r="B1140">
            <v>15.01</v>
          </cell>
          <cell r="C1140">
            <v>15.01</v>
          </cell>
          <cell r="D1140">
            <v>15.01</v>
          </cell>
          <cell r="E1140">
            <v>15.01</v>
          </cell>
          <cell r="F1140">
            <v>15.01</v>
          </cell>
          <cell r="G1140">
            <v>15.01</v>
          </cell>
          <cell r="H1140">
            <v>15.01</v>
          </cell>
          <cell r="I1140">
            <v>15.01</v>
          </cell>
          <cell r="J1140">
            <v>15.01</v>
          </cell>
          <cell r="K1140">
            <v>15.01</v>
          </cell>
          <cell r="L1140">
            <v>15.01</v>
          </cell>
          <cell r="M1140">
            <v>15.01</v>
          </cell>
        </row>
        <row r="1141">
          <cell r="B1141">
            <v>15.01</v>
          </cell>
          <cell r="C1141">
            <v>15.01</v>
          </cell>
          <cell r="D1141">
            <v>15.01</v>
          </cell>
          <cell r="E1141">
            <v>15.01</v>
          </cell>
          <cell r="F1141">
            <v>15.01</v>
          </cell>
          <cell r="G1141">
            <v>15.01</v>
          </cell>
          <cell r="H1141">
            <v>15.01</v>
          </cell>
          <cell r="I1141">
            <v>15.01</v>
          </cell>
          <cell r="J1141">
            <v>15.01</v>
          </cell>
          <cell r="K1141">
            <v>15.01</v>
          </cell>
          <cell r="L1141">
            <v>15.01</v>
          </cell>
          <cell r="M1141">
            <v>15.01</v>
          </cell>
        </row>
        <row r="1142">
          <cell r="B1142">
            <v>15.01</v>
          </cell>
          <cell r="C1142">
            <v>15.01</v>
          </cell>
          <cell r="D1142">
            <v>15.01</v>
          </cell>
          <cell r="E1142">
            <v>15.01</v>
          </cell>
          <cell r="F1142">
            <v>15.01</v>
          </cell>
          <cell r="G1142">
            <v>15.01</v>
          </cell>
          <cell r="H1142">
            <v>15.01</v>
          </cell>
          <cell r="I1142">
            <v>15.01</v>
          </cell>
          <cell r="J1142">
            <v>15.01</v>
          </cell>
          <cell r="K1142">
            <v>15.01</v>
          </cell>
          <cell r="L1142">
            <v>15.01</v>
          </cell>
          <cell r="M1142">
            <v>15.01</v>
          </cell>
        </row>
        <row r="1143">
          <cell r="B1143">
            <v>15.01</v>
          </cell>
          <cell r="C1143">
            <v>15.01</v>
          </cell>
          <cell r="D1143">
            <v>15.01</v>
          </cell>
          <cell r="E1143">
            <v>15.01</v>
          </cell>
          <cell r="F1143">
            <v>15.01</v>
          </cell>
          <cell r="G1143">
            <v>15.01</v>
          </cell>
          <cell r="H1143">
            <v>15.01</v>
          </cell>
          <cell r="I1143">
            <v>15.01</v>
          </cell>
          <cell r="J1143">
            <v>15.01</v>
          </cell>
          <cell r="K1143">
            <v>15.01</v>
          </cell>
          <cell r="L1143">
            <v>15.01</v>
          </cell>
          <cell r="M1143">
            <v>15.01</v>
          </cell>
        </row>
        <row r="1144">
          <cell r="B1144">
            <v>15.01</v>
          </cell>
          <cell r="C1144">
            <v>15.01</v>
          </cell>
          <cell r="D1144">
            <v>15.01</v>
          </cell>
          <cell r="E1144">
            <v>15.01</v>
          </cell>
          <cell r="F1144">
            <v>15.01</v>
          </cell>
          <cell r="G1144">
            <v>15.01</v>
          </cell>
          <cell r="H1144">
            <v>15.01</v>
          </cell>
          <cell r="I1144">
            <v>15.01</v>
          </cell>
          <cell r="J1144">
            <v>15.01</v>
          </cell>
          <cell r="K1144">
            <v>15.01</v>
          </cell>
          <cell r="L1144">
            <v>15.01</v>
          </cell>
          <cell r="M1144">
            <v>15.01</v>
          </cell>
        </row>
        <row r="1145">
          <cell r="B1145">
            <v>15.01</v>
          </cell>
          <cell r="C1145">
            <v>15.01</v>
          </cell>
          <cell r="D1145">
            <v>15.01</v>
          </cell>
          <cell r="E1145">
            <v>15.01</v>
          </cell>
          <cell r="F1145">
            <v>15.01</v>
          </cell>
          <cell r="G1145">
            <v>15.01</v>
          </cell>
          <cell r="H1145">
            <v>15.01</v>
          </cell>
          <cell r="I1145">
            <v>15.01</v>
          </cell>
          <cell r="J1145">
            <v>15.01</v>
          </cell>
          <cell r="K1145">
            <v>15.01</v>
          </cell>
          <cell r="L1145">
            <v>15.01</v>
          </cell>
          <cell r="M1145">
            <v>15.01</v>
          </cell>
        </row>
        <row r="1146">
          <cell r="B1146">
            <v>15.01</v>
          </cell>
          <cell r="C1146">
            <v>15.01</v>
          </cell>
          <cell r="D1146">
            <v>15.01</v>
          </cell>
          <cell r="E1146">
            <v>15.01</v>
          </cell>
          <cell r="F1146">
            <v>15.01</v>
          </cell>
          <cell r="G1146">
            <v>15.01</v>
          </cell>
          <cell r="H1146">
            <v>15.01</v>
          </cell>
          <cell r="I1146">
            <v>15.01</v>
          </cell>
          <cell r="J1146">
            <v>15.01</v>
          </cell>
          <cell r="K1146">
            <v>15.01</v>
          </cell>
          <cell r="L1146">
            <v>15.01</v>
          </cell>
          <cell r="M1146">
            <v>15.01</v>
          </cell>
        </row>
        <row r="1147">
          <cell r="B1147">
            <v>15.01</v>
          </cell>
          <cell r="C1147">
            <v>15.01</v>
          </cell>
          <cell r="D1147">
            <v>15.01</v>
          </cell>
          <cell r="E1147">
            <v>15.01</v>
          </cell>
          <cell r="F1147">
            <v>15.01</v>
          </cell>
          <cell r="G1147">
            <v>15.01</v>
          </cell>
          <cell r="H1147">
            <v>15.01</v>
          </cell>
          <cell r="I1147">
            <v>15.01</v>
          </cell>
          <cell r="J1147">
            <v>15.01</v>
          </cell>
          <cell r="K1147">
            <v>15.01</v>
          </cell>
          <cell r="L1147">
            <v>15.01</v>
          </cell>
          <cell r="M1147">
            <v>15.01</v>
          </cell>
        </row>
        <row r="1148">
          <cell r="B1148">
            <v>15.01</v>
          </cell>
          <cell r="C1148">
            <v>15.01</v>
          </cell>
          <cell r="D1148">
            <v>15.01</v>
          </cell>
          <cell r="E1148">
            <v>15.01</v>
          </cell>
          <cell r="F1148">
            <v>15.01</v>
          </cell>
          <cell r="G1148">
            <v>15.01</v>
          </cell>
          <cell r="H1148">
            <v>15.01</v>
          </cell>
          <cell r="I1148">
            <v>15.01</v>
          </cell>
          <cell r="J1148">
            <v>15.01</v>
          </cell>
          <cell r="K1148">
            <v>15.01</v>
          </cell>
          <cell r="L1148">
            <v>15.01</v>
          </cell>
          <cell r="M1148">
            <v>15.01</v>
          </cell>
        </row>
        <row r="1149">
          <cell r="B1149">
            <v>15.01</v>
          </cell>
          <cell r="C1149">
            <v>15.01</v>
          </cell>
          <cell r="D1149">
            <v>15.01</v>
          </cell>
          <cell r="E1149">
            <v>15.01</v>
          </cell>
          <cell r="F1149">
            <v>15.01</v>
          </cell>
          <cell r="G1149">
            <v>15.01</v>
          </cell>
          <cell r="H1149">
            <v>15.01</v>
          </cell>
          <cell r="I1149">
            <v>15.01</v>
          </cell>
          <cell r="J1149">
            <v>15.01</v>
          </cell>
          <cell r="K1149">
            <v>15.01</v>
          </cell>
          <cell r="L1149">
            <v>15.01</v>
          </cell>
          <cell r="M1149">
            <v>15.01</v>
          </cell>
        </row>
        <row r="1150">
          <cell r="B1150">
            <v>15.01</v>
          </cell>
          <cell r="C1150">
            <v>15.01</v>
          </cell>
          <cell r="D1150">
            <v>15.01</v>
          </cell>
          <cell r="E1150">
            <v>15.01</v>
          </cell>
          <cell r="F1150">
            <v>15.01</v>
          </cell>
          <cell r="G1150">
            <v>15.01</v>
          </cell>
          <cell r="H1150">
            <v>15.01</v>
          </cell>
          <cell r="I1150">
            <v>15.01</v>
          </cell>
          <cell r="J1150">
            <v>15.01</v>
          </cell>
          <cell r="K1150">
            <v>15.01</v>
          </cell>
          <cell r="L1150">
            <v>15.01</v>
          </cell>
          <cell r="M1150">
            <v>15.01</v>
          </cell>
        </row>
        <row r="1151">
          <cell r="B1151">
            <v>15.01</v>
          </cell>
          <cell r="C1151">
            <v>15.01</v>
          </cell>
          <cell r="D1151">
            <v>15.01</v>
          </cell>
          <cell r="E1151">
            <v>15.01</v>
          </cell>
          <cell r="F1151">
            <v>15.01</v>
          </cell>
          <cell r="G1151">
            <v>15.01</v>
          </cell>
          <cell r="H1151">
            <v>15.01</v>
          </cell>
          <cell r="I1151">
            <v>15.01</v>
          </cell>
          <cell r="J1151">
            <v>15.01</v>
          </cell>
          <cell r="K1151">
            <v>15.01</v>
          </cell>
          <cell r="L1151">
            <v>15.01</v>
          </cell>
          <cell r="M1151">
            <v>15.01</v>
          </cell>
        </row>
        <row r="1152">
          <cell r="B1152">
            <v>15.01</v>
          </cell>
          <cell r="C1152">
            <v>15.01</v>
          </cell>
          <cell r="D1152">
            <v>15.01</v>
          </cell>
          <cell r="E1152">
            <v>15.01</v>
          </cell>
          <cell r="F1152">
            <v>15.01</v>
          </cell>
          <cell r="G1152">
            <v>15.01</v>
          </cell>
          <cell r="H1152">
            <v>15.01</v>
          </cell>
          <cell r="I1152">
            <v>15.01</v>
          </cell>
          <cell r="J1152">
            <v>15.01</v>
          </cell>
          <cell r="K1152">
            <v>15.01</v>
          </cell>
          <cell r="L1152">
            <v>15.01</v>
          </cell>
          <cell r="M1152">
            <v>15.01</v>
          </cell>
        </row>
        <row r="1153">
          <cell r="B1153">
            <v>15.01</v>
          </cell>
          <cell r="C1153">
            <v>15.01</v>
          </cell>
          <cell r="D1153">
            <v>15.01</v>
          </cell>
          <cell r="E1153">
            <v>15.01</v>
          </cell>
          <cell r="F1153">
            <v>15.01</v>
          </cell>
          <cell r="G1153">
            <v>15.01</v>
          </cell>
          <cell r="H1153">
            <v>15.01</v>
          </cell>
          <cell r="I1153">
            <v>15.01</v>
          </cell>
          <cell r="J1153">
            <v>15.01</v>
          </cell>
          <cell r="K1153">
            <v>15.01</v>
          </cell>
          <cell r="L1153">
            <v>15.01</v>
          </cell>
          <cell r="M1153">
            <v>15.01</v>
          </cell>
        </row>
        <row r="1154">
          <cell r="B1154">
            <v>15.01</v>
          </cell>
          <cell r="C1154">
            <v>15.01</v>
          </cell>
          <cell r="D1154">
            <v>15.01</v>
          </cell>
          <cell r="E1154">
            <v>15.01</v>
          </cell>
          <cell r="F1154">
            <v>15.01</v>
          </cell>
          <cell r="G1154">
            <v>15.01</v>
          </cell>
          <cell r="H1154">
            <v>15.01</v>
          </cell>
          <cell r="I1154">
            <v>15.01</v>
          </cell>
          <cell r="J1154">
            <v>15.01</v>
          </cell>
          <cell r="K1154">
            <v>15.01</v>
          </cell>
          <cell r="L1154">
            <v>15.01</v>
          </cell>
          <cell r="M1154">
            <v>15.01</v>
          </cell>
        </row>
        <row r="1155">
          <cell r="B1155">
            <v>15.01</v>
          </cell>
          <cell r="C1155">
            <v>15.01</v>
          </cell>
          <cell r="D1155">
            <v>15.01</v>
          </cell>
          <cell r="E1155">
            <v>15.01</v>
          </cell>
          <cell r="F1155">
            <v>15.01</v>
          </cell>
          <cell r="G1155">
            <v>15.01</v>
          </cell>
          <cell r="H1155">
            <v>15.01</v>
          </cell>
          <cell r="I1155">
            <v>15.01</v>
          </cell>
          <cell r="J1155">
            <v>15.01</v>
          </cell>
          <cell r="K1155">
            <v>15.01</v>
          </cell>
          <cell r="L1155">
            <v>15.01</v>
          </cell>
          <cell r="M1155">
            <v>15.01</v>
          </cell>
        </row>
        <row r="1156">
          <cell r="B1156">
            <v>15.01</v>
          </cell>
          <cell r="C1156">
            <v>15.01</v>
          </cell>
          <cell r="D1156">
            <v>15.01</v>
          </cell>
          <cell r="E1156">
            <v>15.01</v>
          </cell>
          <cell r="F1156">
            <v>15.01</v>
          </cell>
          <cell r="G1156">
            <v>15.01</v>
          </cell>
          <cell r="H1156">
            <v>15.01</v>
          </cell>
          <cell r="I1156">
            <v>15.01</v>
          </cell>
          <cell r="J1156">
            <v>15.01</v>
          </cell>
          <cell r="K1156">
            <v>15.01</v>
          </cell>
          <cell r="L1156">
            <v>15.01</v>
          </cell>
          <cell r="M1156">
            <v>15.01</v>
          </cell>
        </row>
        <row r="1166">
          <cell r="B1166">
            <v>24.771999999999998</v>
          </cell>
          <cell r="C1166">
            <v>18.260999999999999</v>
          </cell>
          <cell r="D1166">
            <v>16.991</v>
          </cell>
          <cell r="E1166">
            <v>13.433999999999999</v>
          </cell>
          <cell r="F1166">
            <v>19.401</v>
          </cell>
          <cell r="G1166">
            <v>21.940999999999999</v>
          </cell>
          <cell r="H1166">
            <v>21.300999999999998</v>
          </cell>
          <cell r="I1166">
            <v>21.353999999999999</v>
          </cell>
          <cell r="J1166">
            <v>20.204000000000001</v>
          </cell>
          <cell r="K1166">
            <v>18.04</v>
          </cell>
          <cell r="L1166">
            <v>13.224</v>
          </cell>
          <cell r="M1166">
            <v>20.6</v>
          </cell>
        </row>
        <row r="1167">
          <cell r="B1167">
            <v>23</v>
          </cell>
          <cell r="C1167">
            <v>22</v>
          </cell>
          <cell r="D1167">
            <v>16</v>
          </cell>
          <cell r="E1167">
            <v>12</v>
          </cell>
          <cell r="F1167">
            <v>18</v>
          </cell>
          <cell r="G1167">
            <v>18</v>
          </cell>
          <cell r="H1167">
            <v>20</v>
          </cell>
          <cell r="I1167">
            <v>20</v>
          </cell>
          <cell r="J1167">
            <v>20</v>
          </cell>
          <cell r="K1167">
            <v>18</v>
          </cell>
          <cell r="L1167">
            <v>13</v>
          </cell>
          <cell r="M1167">
            <v>16</v>
          </cell>
        </row>
        <row r="1168">
          <cell r="B1168">
            <v>19</v>
          </cell>
          <cell r="C1168">
            <v>18</v>
          </cell>
          <cell r="D1168">
            <v>15</v>
          </cell>
          <cell r="E1168">
            <v>16</v>
          </cell>
          <cell r="F1168">
            <v>18</v>
          </cell>
          <cell r="G1168">
            <v>19</v>
          </cell>
          <cell r="H1168">
            <v>20</v>
          </cell>
          <cell r="I1168">
            <v>20</v>
          </cell>
          <cell r="J1168">
            <v>20</v>
          </cell>
          <cell r="K1168">
            <v>18</v>
          </cell>
          <cell r="L1168">
            <v>13</v>
          </cell>
          <cell r="M1168">
            <v>16</v>
          </cell>
        </row>
        <row r="1169">
          <cell r="B1169">
            <v>23.59</v>
          </cell>
          <cell r="C1169">
            <v>18.77</v>
          </cell>
          <cell r="D1169">
            <v>14.01</v>
          </cell>
          <cell r="E1169">
            <v>16.62</v>
          </cell>
          <cell r="F1169">
            <v>18.38</v>
          </cell>
          <cell r="G1169">
            <v>18.55</v>
          </cell>
          <cell r="H1169">
            <v>19.79</v>
          </cell>
          <cell r="I1169">
            <v>20.010000000000002</v>
          </cell>
          <cell r="J1169">
            <v>19.87</v>
          </cell>
          <cell r="K1169">
            <v>17.86</v>
          </cell>
          <cell r="L1169">
            <v>13.35</v>
          </cell>
          <cell r="M1169">
            <v>16.32</v>
          </cell>
        </row>
        <row r="1170">
          <cell r="B1170">
            <v>23.63</v>
          </cell>
          <cell r="C1170">
            <v>18.8</v>
          </cell>
          <cell r="D1170">
            <v>14.03</v>
          </cell>
          <cell r="E1170">
            <v>16.649999999999999</v>
          </cell>
          <cell r="F1170">
            <v>18.41</v>
          </cell>
          <cell r="G1170">
            <v>18.57</v>
          </cell>
          <cell r="H1170">
            <v>19.82</v>
          </cell>
          <cell r="I1170">
            <v>20.04</v>
          </cell>
          <cell r="J1170">
            <v>19.899999999999999</v>
          </cell>
          <cell r="K1170">
            <v>17.89</v>
          </cell>
          <cell r="L1170">
            <v>13.37</v>
          </cell>
          <cell r="M1170">
            <v>16.350000000000001</v>
          </cell>
        </row>
        <row r="1171">
          <cell r="B1171">
            <v>23.67</v>
          </cell>
          <cell r="C1171">
            <v>18.829999999999998</v>
          </cell>
          <cell r="D1171">
            <v>14.05</v>
          </cell>
          <cell r="E1171">
            <v>16.670000000000002</v>
          </cell>
          <cell r="F1171">
            <v>18.440000000000001</v>
          </cell>
          <cell r="G1171">
            <v>18.600000000000001</v>
          </cell>
          <cell r="H1171">
            <v>19.850000000000001</v>
          </cell>
          <cell r="I1171">
            <v>20.07</v>
          </cell>
          <cell r="J1171">
            <v>19.93</v>
          </cell>
          <cell r="K1171">
            <v>17.920000000000002</v>
          </cell>
          <cell r="L1171">
            <v>13.39</v>
          </cell>
          <cell r="M1171">
            <v>16.37</v>
          </cell>
        </row>
        <row r="1172">
          <cell r="B1172">
            <v>23.7</v>
          </cell>
          <cell r="C1172">
            <v>18.86</v>
          </cell>
          <cell r="D1172">
            <v>14.07</v>
          </cell>
          <cell r="E1172">
            <v>16.7</v>
          </cell>
          <cell r="F1172">
            <v>18.47</v>
          </cell>
          <cell r="G1172">
            <v>18.63</v>
          </cell>
          <cell r="H1172">
            <v>19.88</v>
          </cell>
          <cell r="I1172">
            <v>20.100000000000001</v>
          </cell>
          <cell r="J1172">
            <v>19.96</v>
          </cell>
          <cell r="K1172">
            <v>17.940000000000001</v>
          </cell>
          <cell r="L1172">
            <v>13.41</v>
          </cell>
          <cell r="M1172">
            <v>16.399999999999999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</row>
        <row r="1179">
          <cell r="B1179">
            <v>0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</row>
        <row r="1180"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</row>
        <row r="1181">
          <cell r="B1181">
            <v>0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</row>
        <row r="1182">
          <cell r="B1182">
            <v>0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</row>
        <row r="1183"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</row>
        <row r="1184"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</row>
        <row r="1185"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>
            <v>0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</row>
        <row r="1209">
          <cell r="B1209">
            <v>0</v>
          </cell>
          <cell r="C1209">
            <v>16.010000000000002</v>
          </cell>
          <cell r="D1209">
            <v>0</v>
          </cell>
          <cell r="E1209">
            <v>0</v>
          </cell>
          <cell r="F1209">
            <v>5</v>
          </cell>
          <cell r="G1209">
            <v>15.01</v>
          </cell>
          <cell r="H1209">
            <v>18.010000000000002</v>
          </cell>
          <cell r="I1209">
            <v>19.010000000000002</v>
          </cell>
          <cell r="J1209">
            <v>9.01</v>
          </cell>
          <cell r="K1209">
            <v>0</v>
          </cell>
          <cell r="L1209">
            <v>0</v>
          </cell>
          <cell r="M1209">
            <v>0</v>
          </cell>
        </row>
        <row r="1210">
          <cell r="B1210">
            <v>21.02</v>
          </cell>
          <cell r="C1210">
            <v>17.010000000000002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</row>
        <row r="1366">
          <cell r="B1366">
            <v>21.4</v>
          </cell>
          <cell r="C1366">
            <v>18.5</v>
          </cell>
          <cell r="D1366">
            <v>15.4</v>
          </cell>
          <cell r="E1366">
            <v>8.4</v>
          </cell>
          <cell r="F1366">
            <v>15.4</v>
          </cell>
          <cell r="G1366">
            <v>23.6</v>
          </cell>
          <cell r="H1366">
            <v>20.7</v>
          </cell>
          <cell r="I1366">
            <v>21.8</v>
          </cell>
          <cell r="J1366">
            <v>20.518999999999998</v>
          </cell>
          <cell r="K1366">
            <v>16.228999999999999</v>
          </cell>
          <cell r="L1366">
            <v>9.3160000000000007</v>
          </cell>
          <cell r="M1366">
            <v>17.100000000000001</v>
          </cell>
        </row>
        <row r="1406">
          <cell r="B1406">
            <v>82.596999999999994</v>
          </cell>
          <cell r="C1406">
            <v>61.814999999999998</v>
          </cell>
          <cell r="D1406">
            <v>60.942</v>
          </cell>
          <cell r="E1406">
            <v>42.32</v>
          </cell>
          <cell r="F1406">
            <v>57.22</v>
          </cell>
          <cell r="G1406">
            <v>61.76</v>
          </cell>
          <cell r="H1406">
            <v>59.406999999999996</v>
          </cell>
          <cell r="I1406">
            <v>61.988</v>
          </cell>
          <cell r="J1406">
            <v>58.116999999999997</v>
          </cell>
          <cell r="K1406">
            <v>51.445</v>
          </cell>
          <cell r="L1406">
            <v>43.688000000000002</v>
          </cell>
          <cell r="M1406">
            <v>69.400000000000006</v>
          </cell>
        </row>
      </sheetData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Documentation"/>
      <sheetName val="Input Factors"/>
      <sheetName val="System"/>
      <sheetName val="Res"/>
      <sheetName val="Com"/>
      <sheetName val="Ind"/>
      <sheetName val="SHL"/>
      <sheetName val="SPA"/>
      <sheetName val="Retail"/>
      <sheetName val="Whole"/>
      <sheetName val="PROSYM input"/>
    </sheetNames>
    <sheetDataSet>
      <sheetData sheetId="0" refreshError="1"/>
      <sheetData sheetId="1" refreshError="1"/>
      <sheetData sheetId="2">
        <row r="526">
          <cell r="C526">
            <v>40270133</v>
          </cell>
        </row>
        <row r="527">
          <cell r="C527">
            <v>39801314</v>
          </cell>
        </row>
        <row r="528">
          <cell r="C528">
            <v>40489597</v>
          </cell>
        </row>
        <row r="529">
          <cell r="C529">
            <v>41098360</v>
          </cell>
        </row>
        <row r="530">
          <cell r="C530">
            <v>41375353</v>
          </cell>
        </row>
        <row r="531">
          <cell r="C531">
            <v>41994588</v>
          </cell>
        </row>
        <row r="532">
          <cell r="C532">
            <v>43012927</v>
          </cell>
        </row>
        <row r="533">
          <cell r="C533">
            <v>43997632</v>
          </cell>
        </row>
        <row r="534">
          <cell r="C534">
            <v>44418922</v>
          </cell>
        </row>
        <row r="535">
          <cell r="C535">
            <v>44869748</v>
          </cell>
        </row>
        <row r="536">
          <cell r="C536">
            <v>45458815</v>
          </cell>
        </row>
        <row r="537">
          <cell r="C537">
            <v>46001731</v>
          </cell>
        </row>
        <row r="538">
          <cell r="C538">
            <v>46377403</v>
          </cell>
        </row>
        <row r="539">
          <cell r="C539">
            <v>46949423</v>
          </cell>
        </row>
        <row r="540">
          <cell r="C540">
            <v>47342233</v>
          </cell>
        </row>
        <row r="541">
          <cell r="C541">
            <v>47849837</v>
          </cell>
        </row>
        <row r="542">
          <cell r="C542">
            <v>48232387</v>
          </cell>
        </row>
        <row r="543">
          <cell r="C543">
            <v>48576796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nnual MW"/>
      <sheetName val="Sum NCP MW"/>
      <sheetName val="Win NCP MW"/>
      <sheetName val="sheet1"/>
      <sheetName val="Coincident MW"/>
    </sheetNames>
    <sheetDataSet>
      <sheetData sheetId="0" refreshError="1"/>
      <sheetData sheetId="1" refreshError="1"/>
      <sheetData sheetId="2" refreshError="1"/>
      <sheetData sheetId="3" refreshError="1">
        <row r="14">
          <cell r="F14">
            <v>4870</v>
          </cell>
          <cell r="G14">
            <v>2855.9</v>
          </cell>
          <cell r="S14">
            <v>1111.6993684210527</v>
          </cell>
          <cell r="T14">
            <v>825.7</v>
          </cell>
        </row>
        <row r="15">
          <cell r="F15">
            <v>4980.8999999999996</v>
          </cell>
          <cell r="G15">
            <v>2883.3</v>
          </cell>
          <cell r="S15">
            <v>1150.7343157894736</v>
          </cell>
          <cell r="T15">
            <v>848.3</v>
          </cell>
        </row>
        <row r="16">
          <cell r="F16">
            <v>5090.8</v>
          </cell>
          <cell r="G16">
            <v>2908.7</v>
          </cell>
          <cell r="S16">
            <v>1189.6696842105264</v>
          </cell>
          <cell r="T16">
            <v>871</v>
          </cell>
        </row>
        <row r="17">
          <cell r="F17">
            <v>5199.5</v>
          </cell>
          <cell r="G17">
            <v>2932</v>
          </cell>
          <cell r="S17">
            <v>1229.0033684210528</v>
          </cell>
          <cell r="T17">
            <v>893.7</v>
          </cell>
        </row>
        <row r="18">
          <cell r="F18">
            <v>5307.3</v>
          </cell>
          <cell r="G18">
            <v>2953.3</v>
          </cell>
          <cell r="S18">
            <v>1267.0425263157897</v>
          </cell>
          <cell r="T18">
            <v>916.4</v>
          </cell>
        </row>
        <row r="19">
          <cell r="F19">
            <v>5415.4</v>
          </cell>
          <cell r="G19">
            <v>2973.3</v>
          </cell>
          <cell r="S19">
            <v>1303.9863157894738</v>
          </cell>
          <cell r="T19">
            <v>939</v>
          </cell>
        </row>
        <row r="20">
          <cell r="F20">
            <v>5525.7</v>
          </cell>
          <cell r="G20">
            <v>2993.2</v>
          </cell>
          <cell r="S20">
            <v>1341.6271578947369</v>
          </cell>
          <cell r="T20">
            <v>961.7</v>
          </cell>
        </row>
        <row r="21">
          <cell r="F21">
            <v>5637.8</v>
          </cell>
          <cell r="G21">
            <v>3012.6</v>
          </cell>
          <cell r="S21">
            <v>1380.9608421052631</v>
          </cell>
          <cell r="T21">
            <v>984.4</v>
          </cell>
        </row>
        <row r="22">
          <cell r="F22">
            <v>5751.5</v>
          </cell>
          <cell r="G22">
            <v>3031.4</v>
          </cell>
          <cell r="S22">
            <v>1418.8008421052632</v>
          </cell>
          <cell r="T22">
            <v>1007.1</v>
          </cell>
        </row>
        <row r="23">
          <cell r="F23">
            <v>5866.8</v>
          </cell>
          <cell r="G23">
            <v>3049.6</v>
          </cell>
          <cell r="S23">
            <v>1458.0349473684212</v>
          </cell>
          <cell r="T23">
            <v>1029.8</v>
          </cell>
        </row>
        <row r="35">
          <cell r="F35">
            <v>4175.4394693200666</v>
          </cell>
          <cell r="G35">
            <v>2430.7640956421133</v>
          </cell>
          <cell r="S35">
            <v>955.40336842105273</v>
          </cell>
          <cell r="T35">
            <v>610.97372654155504</v>
          </cell>
        </row>
        <row r="36">
          <cell r="F36">
            <v>4270.5228855721389</v>
          </cell>
          <cell r="G36">
            <v>2454.0852680293096</v>
          </cell>
          <cell r="S36">
            <v>988.95031578947362</v>
          </cell>
          <cell r="T36">
            <v>627.69651474530826</v>
          </cell>
        </row>
        <row r="37">
          <cell r="F37">
            <v>4364.7489220563848</v>
          </cell>
          <cell r="G37">
            <v>2475.7041650597762</v>
          </cell>
          <cell r="S37">
            <v>1022.4116842105263</v>
          </cell>
          <cell r="T37">
            <v>644.49329758713145</v>
          </cell>
        </row>
        <row r="38">
          <cell r="F38">
            <v>4457.9461028192372</v>
          </cell>
          <cell r="G38">
            <v>2495.5356729656769</v>
          </cell>
          <cell r="S38">
            <v>1056.2153684210527</v>
          </cell>
          <cell r="T38">
            <v>661.29008042895452</v>
          </cell>
        </row>
        <row r="39">
          <cell r="F39">
            <v>4550.3716417910446</v>
          </cell>
          <cell r="G39">
            <v>2513.6649055148478</v>
          </cell>
          <cell r="S39">
            <v>1088.9065263157895</v>
          </cell>
          <cell r="T39">
            <v>678.08686327077749</v>
          </cell>
        </row>
        <row r="40">
          <cell r="F40">
            <v>4643.0543946932003</v>
          </cell>
          <cell r="G40">
            <v>2530.6876590821444</v>
          </cell>
          <cell r="S40">
            <v>1120.6563157894736</v>
          </cell>
          <cell r="T40">
            <v>694.80965147453082</v>
          </cell>
        </row>
        <row r="41">
          <cell r="F41">
            <v>4737.6233830845767</v>
          </cell>
          <cell r="G41">
            <v>2547.6252988816041</v>
          </cell>
          <cell r="S41">
            <v>1153.0051578947368</v>
          </cell>
          <cell r="T41">
            <v>711.60643431635401</v>
          </cell>
        </row>
        <row r="42">
          <cell r="F42">
            <v>4833.7356550580434</v>
          </cell>
          <cell r="G42">
            <v>2564.137369841882</v>
          </cell>
          <cell r="S42">
            <v>1186.8088421052632</v>
          </cell>
          <cell r="T42">
            <v>728.40321715817697</v>
          </cell>
        </row>
        <row r="43">
          <cell r="F43">
            <v>4931.2197346600333</v>
          </cell>
          <cell r="G43">
            <v>2580.1387581951408</v>
          </cell>
          <cell r="S43">
            <v>1219.3288421052632</v>
          </cell>
          <cell r="T43">
            <v>745.2</v>
          </cell>
        </row>
        <row r="44">
          <cell r="F44">
            <v>5030.0756218905472</v>
          </cell>
          <cell r="G44">
            <v>2595.6294639413804</v>
          </cell>
          <cell r="S44">
            <v>1253.0469473684211</v>
          </cell>
          <cell r="T44">
            <v>761.99678284182312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</sheetNames>
    <sheetDataSet>
      <sheetData sheetId="0">
        <row r="6">
          <cell r="I6">
            <v>622858</v>
          </cell>
        </row>
        <row r="7">
          <cell r="I7">
            <v>642623</v>
          </cell>
        </row>
        <row r="8">
          <cell r="I8">
            <v>667278</v>
          </cell>
        </row>
        <row r="9">
          <cell r="I9">
            <v>695213</v>
          </cell>
        </row>
        <row r="10">
          <cell r="I10">
            <v>728366</v>
          </cell>
        </row>
        <row r="11">
          <cell r="I11">
            <v>765760</v>
          </cell>
        </row>
        <row r="12">
          <cell r="I12">
            <v>800266</v>
          </cell>
        </row>
        <row r="13">
          <cell r="I13">
            <v>828674</v>
          </cell>
        </row>
        <row r="14">
          <cell r="I14">
            <v>858347</v>
          </cell>
        </row>
        <row r="15">
          <cell r="I15">
            <v>893529</v>
          </cell>
        </row>
        <row r="16">
          <cell r="I16">
            <v>934472</v>
          </cell>
        </row>
        <row r="17">
          <cell r="I17">
            <v>974757</v>
          </cell>
        </row>
        <row r="18">
          <cell r="I18">
            <v>1016688</v>
          </cell>
        </row>
        <row r="19">
          <cell r="I19">
            <v>1056780</v>
          </cell>
        </row>
        <row r="20">
          <cell r="I20">
            <v>1095949</v>
          </cell>
        </row>
        <row r="21">
          <cell r="I21">
            <v>1134404</v>
          </cell>
        </row>
        <row r="22">
          <cell r="I22">
            <v>1162784</v>
          </cell>
        </row>
        <row r="23">
          <cell r="I23">
            <v>1184561</v>
          </cell>
        </row>
        <row r="24">
          <cell r="I24">
            <v>1209555</v>
          </cell>
        </row>
        <row r="25">
          <cell r="I25">
            <v>1247543</v>
          </cell>
        </row>
        <row r="26">
          <cell r="I26">
            <v>1273305</v>
          </cell>
        </row>
        <row r="40">
          <cell r="I40">
            <v>626220</v>
          </cell>
        </row>
        <row r="41">
          <cell r="I41">
            <v>647407</v>
          </cell>
        </row>
        <row r="42">
          <cell r="I42">
            <v>671610</v>
          </cell>
        </row>
        <row r="43">
          <cell r="I43">
            <v>700169</v>
          </cell>
        </row>
        <row r="44">
          <cell r="I44">
            <v>733380</v>
          </cell>
        </row>
        <row r="45">
          <cell r="I45">
            <v>770955</v>
          </cell>
        </row>
        <row r="46">
          <cell r="I46">
            <v>804219</v>
          </cell>
        </row>
        <row r="47">
          <cell r="I47">
            <v>832155</v>
          </cell>
        </row>
        <row r="48">
          <cell r="I48">
            <v>863044</v>
          </cell>
        </row>
        <row r="49">
          <cell r="I49">
            <v>899968</v>
          </cell>
        </row>
        <row r="50">
          <cell r="I50">
            <v>939787</v>
          </cell>
        </row>
        <row r="51">
          <cell r="I51">
            <v>980831</v>
          </cell>
        </row>
        <row r="52">
          <cell r="I52">
            <v>1022732</v>
          </cell>
        </row>
        <row r="53">
          <cell r="I53">
            <v>1062603</v>
          </cell>
        </row>
        <row r="54">
          <cell r="I54">
            <v>1100403</v>
          </cell>
        </row>
        <row r="55">
          <cell r="I55">
            <v>1139186</v>
          </cell>
        </row>
        <row r="56">
          <cell r="I56">
            <v>1166991</v>
          </cell>
        </row>
        <row r="57">
          <cell r="I57">
            <v>1189160</v>
          </cell>
        </row>
        <row r="58">
          <cell r="I58">
            <v>1213990</v>
          </cell>
        </row>
        <row r="59">
          <cell r="I59">
            <v>1252452</v>
          </cell>
        </row>
        <row r="60">
          <cell r="I60">
            <v>1277812</v>
          </cell>
        </row>
        <row r="73">
          <cell r="I73">
            <v>626705</v>
          </cell>
        </row>
        <row r="74">
          <cell r="I74">
            <v>649347</v>
          </cell>
        </row>
        <row r="75">
          <cell r="I75">
            <v>673400</v>
          </cell>
        </row>
        <row r="76">
          <cell r="I76">
            <v>702138</v>
          </cell>
        </row>
        <row r="77">
          <cell r="I77">
            <v>735819</v>
          </cell>
        </row>
        <row r="78">
          <cell r="I78">
            <v>773629</v>
          </cell>
        </row>
        <row r="79">
          <cell r="I79">
            <v>806253</v>
          </cell>
        </row>
        <row r="80">
          <cell r="I80">
            <v>834476</v>
          </cell>
        </row>
        <row r="81">
          <cell r="I81">
            <v>865481</v>
          </cell>
        </row>
        <row r="82">
          <cell r="I82">
            <v>901289</v>
          </cell>
        </row>
        <row r="83">
          <cell r="I83">
            <v>943642</v>
          </cell>
        </row>
        <row r="84">
          <cell r="I84">
            <v>983892</v>
          </cell>
        </row>
        <row r="85">
          <cell r="I85">
            <v>1026224</v>
          </cell>
        </row>
        <row r="86">
          <cell r="I86">
            <v>1065403</v>
          </cell>
        </row>
        <row r="87">
          <cell r="I87">
            <v>1104068</v>
          </cell>
        </row>
        <row r="88">
          <cell r="I88">
            <v>1142397</v>
          </cell>
        </row>
        <row r="89">
          <cell r="I89">
            <v>1169437</v>
          </cell>
        </row>
        <row r="90">
          <cell r="I90">
            <v>1190780</v>
          </cell>
        </row>
        <row r="91">
          <cell r="I91">
            <v>1216145</v>
          </cell>
        </row>
        <row r="92">
          <cell r="I92">
            <v>1255150</v>
          </cell>
        </row>
        <row r="93">
          <cell r="G93">
            <v>2240</v>
          </cell>
        </row>
        <row r="106">
          <cell r="I106">
            <v>621893</v>
          </cell>
        </row>
        <row r="107">
          <cell r="I107">
            <v>647518</v>
          </cell>
        </row>
        <row r="108">
          <cell r="I108">
            <v>668671</v>
          </cell>
        </row>
        <row r="109">
          <cell r="I109">
            <v>698064</v>
          </cell>
        </row>
        <row r="110">
          <cell r="I110">
            <v>732435</v>
          </cell>
        </row>
        <row r="111">
          <cell r="I111">
            <v>770749</v>
          </cell>
        </row>
        <row r="112">
          <cell r="I112">
            <v>800651</v>
          </cell>
        </row>
        <row r="113">
          <cell r="I113">
            <v>830644</v>
          </cell>
        </row>
        <row r="114">
          <cell r="I114">
            <v>861030</v>
          </cell>
        </row>
        <row r="115">
          <cell r="I115">
            <v>899397</v>
          </cell>
        </row>
        <row r="116">
          <cell r="I116">
            <v>940945</v>
          </cell>
        </row>
        <row r="117">
          <cell r="I117">
            <v>979863</v>
          </cell>
        </row>
        <row r="118">
          <cell r="I118">
            <v>1022973</v>
          </cell>
        </row>
        <row r="119">
          <cell r="I119">
            <v>1060125</v>
          </cell>
        </row>
        <row r="120">
          <cell r="I120">
            <v>1102284</v>
          </cell>
        </row>
        <row r="121">
          <cell r="I121">
            <v>1137544</v>
          </cell>
        </row>
        <row r="122">
          <cell r="I122">
            <v>1162344</v>
          </cell>
        </row>
        <row r="123">
          <cell r="I123">
            <v>1183281</v>
          </cell>
        </row>
        <row r="124">
          <cell r="I124">
            <v>1218249</v>
          </cell>
        </row>
        <row r="125">
          <cell r="I125">
            <v>1245767</v>
          </cell>
        </row>
        <row r="126">
          <cell r="G126">
            <v>2574</v>
          </cell>
        </row>
        <row r="139">
          <cell r="I139">
            <v>613527</v>
          </cell>
        </row>
        <row r="140">
          <cell r="I140">
            <v>635360</v>
          </cell>
        </row>
        <row r="141">
          <cell r="I141">
            <v>660010</v>
          </cell>
        </row>
        <row r="142">
          <cell r="I142">
            <v>698227</v>
          </cell>
        </row>
        <row r="143">
          <cell r="I143">
            <v>724894</v>
          </cell>
        </row>
        <row r="144">
          <cell r="I144">
            <v>763420</v>
          </cell>
        </row>
        <row r="145">
          <cell r="I145">
            <v>793135</v>
          </cell>
        </row>
        <row r="146">
          <cell r="I146">
            <v>820042</v>
          </cell>
        </row>
        <row r="147">
          <cell r="I147">
            <v>849896</v>
          </cell>
        </row>
        <row r="148">
          <cell r="I148">
            <v>889234</v>
          </cell>
        </row>
        <row r="149">
          <cell r="I149">
            <v>929839</v>
          </cell>
        </row>
        <row r="150">
          <cell r="I150">
            <v>967584</v>
          </cell>
        </row>
        <row r="151">
          <cell r="I151">
            <v>1008607</v>
          </cell>
        </row>
        <row r="152">
          <cell r="I152">
            <v>1047373</v>
          </cell>
        </row>
        <row r="153">
          <cell r="I153">
            <v>1089615</v>
          </cell>
        </row>
        <row r="154">
          <cell r="I154">
            <v>1123175</v>
          </cell>
        </row>
        <row r="155">
          <cell r="I155">
            <v>1147581</v>
          </cell>
        </row>
        <row r="156">
          <cell r="I156">
            <v>1168673</v>
          </cell>
        </row>
        <row r="157">
          <cell r="I157">
            <v>1204122</v>
          </cell>
        </row>
        <row r="158">
          <cell r="I158">
            <v>1229945</v>
          </cell>
        </row>
        <row r="159">
          <cell r="G159">
            <v>2436</v>
          </cell>
        </row>
        <row r="172">
          <cell r="I172">
            <v>610999</v>
          </cell>
        </row>
        <row r="173">
          <cell r="I173">
            <v>634011</v>
          </cell>
        </row>
        <row r="174">
          <cell r="I174">
            <v>657410</v>
          </cell>
        </row>
        <row r="175">
          <cell r="I175">
            <v>687442</v>
          </cell>
        </row>
        <row r="176">
          <cell r="I176">
            <v>723265</v>
          </cell>
        </row>
        <row r="177">
          <cell r="I177">
            <v>761356</v>
          </cell>
        </row>
        <row r="178">
          <cell r="I178">
            <v>790059</v>
          </cell>
        </row>
        <row r="179">
          <cell r="I179">
            <v>816794</v>
          </cell>
        </row>
        <row r="180">
          <cell r="I180">
            <v>847293</v>
          </cell>
        </row>
        <row r="181">
          <cell r="I181">
            <v>886410</v>
          </cell>
        </row>
        <row r="182">
          <cell r="I182">
            <v>927200</v>
          </cell>
        </row>
        <row r="183">
          <cell r="I183">
            <v>964411</v>
          </cell>
        </row>
        <row r="184">
          <cell r="I184">
            <v>1008290</v>
          </cell>
        </row>
        <row r="185">
          <cell r="I185">
            <v>1044687</v>
          </cell>
        </row>
        <row r="186">
          <cell r="I186">
            <v>1086531</v>
          </cell>
        </row>
        <row r="187">
          <cell r="I187">
            <v>1120028</v>
          </cell>
        </row>
        <row r="188">
          <cell r="I188">
            <v>1143191</v>
          </cell>
        </row>
        <row r="189">
          <cell r="I189">
            <v>1165112</v>
          </cell>
        </row>
        <row r="190">
          <cell r="I190">
            <v>1200237</v>
          </cell>
        </row>
        <row r="191">
          <cell r="I191">
            <v>1226448</v>
          </cell>
        </row>
        <row r="192">
          <cell r="G192">
            <v>2447</v>
          </cell>
        </row>
        <row r="205">
          <cell r="I205">
            <v>611212</v>
          </cell>
        </row>
        <row r="206">
          <cell r="I206">
            <v>634277</v>
          </cell>
        </row>
        <row r="207">
          <cell r="I207">
            <v>657996</v>
          </cell>
        </row>
        <row r="208">
          <cell r="I208">
            <v>677150</v>
          </cell>
        </row>
        <row r="209">
          <cell r="I209">
            <v>724557</v>
          </cell>
        </row>
        <row r="210">
          <cell r="I210">
            <v>761087</v>
          </cell>
        </row>
        <row r="211">
          <cell r="I211">
            <v>791635</v>
          </cell>
        </row>
        <row r="212">
          <cell r="I212">
            <v>819189</v>
          </cell>
        </row>
        <row r="213">
          <cell r="I213">
            <v>848944</v>
          </cell>
        </row>
        <row r="214">
          <cell r="I214">
            <v>888598</v>
          </cell>
        </row>
        <row r="215">
          <cell r="I215">
            <v>928908</v>
          </cell>
        </row>
        <row r="216">
          <cell r="I216">
            <v>966093</v>
          </cell>
        </row>
        <row r="217">
          <cell r="I217">
            <v>1008684</v>
          </cell>
        </row>
        <row r="218">
          <cell r="I218">
            <v>1046093</v>
          </cell>
        </row>
        <row r="219">
          <cell r="I219">
            <v>1087447</v>
          </cell>
        </row>
        <row r="220">
          <cell r="I220">
            <v>1120959</v>
          </cell>
        </row>
        <row r="221">
          <cell r="I221">
            <v>1143341</v>
          </cell>
        </row>
        <row r="222">
          <cell r="I222">
            <v>1166211</v>
          </cell>
        </row>
        <row r="223">
          <cell r="I223">
            <v>1200502</v>
          </cell>
        </row>
        <row r="224">
          <cell r="I224">
            <v>1226458</v>
          </cell>
        </row>
        <row r="225">
          <cell r="G225">
            <v>2424</v>
          </cell>
        </row>
        <row r="238">
          <cell r="I238">
            <v>611902</v>
          </cell>
        </row>
        <row r="241">
          <cell r="I241">
            <v>690059</v>
          </cell>
        </row>
        <row r="243">
          <cell r="I243">
            <v>763240</v>
          </cell>
        </row>
        <row r="246">
          <cell r="I246">
            <v>851058</v>
          </cell>
        </row>
        <row r="247">
          <cell r="I247">
            <v>891710</v>
          </cell>
        </row>
        <row r="249">
          <cell r="I249">
            <v>968802</v>
          </cell>
        </row>
        <row r="250">
          <cell r="I250">
            <v>1012256</v>
          </cell>
        </row>
        <row r="252">
          <cell r="I252">
            <v>1090312</v>
          </cell>
        </row>
        <row r="254">
          <cell r="I254">
            <v>1144149</v>
          </cell>
        </row>
        <row r="256">
          <cell r="I256">
            <v>1202907</v>
          </cell>
        </row>
        <row r="258">
          <cell r="G258">
            <v>2432</v>
          </cell>
        </row>
        <row r="271">
          <cell r="I271">
            <v>613982</v>
          </cell>
        </row>
        <row r="272">
          <cell r="I272">
            <v>637492</v>
          </cell>
        </row>
        <row r="273">
          <cell r="I273">
            <v>662546</v>
          </cell>
        </row>
        <row r="274">
          <cell r="I274">
            <v>693636</v>
          </cell>
        </row>
        <row r="275">
          <cell r="I275">
            <v>730927</v>
          </cell>
        </row>
        <row r="276">
          <cell r="I276">
            <v>766978</v>
          </cell>
        </row>
        <row r="277">
          <cell r="I277">
            <v>796405</v>
          </cell>
        </row>
        <row r="278">
          <cell r="I278">
            <v>821618</v>
          </cell>
        </row>
        <row r="279">
          <cell r="I279">
            <v>854691</v>
          </cell>
        </row>
        <row r="280">
          <cell r="I280">
            <v>896247</v>
          </cell>
        </row>
        <row r="281">
          <cell r="I281">
            <v>935159</v>
          </cell>
        </row>
        <row r="282">
          <cell r="I282">
            <v>973961</v>
          </cell>
        </row>
        <row r="283">
          <cell r="I283">
            <v>1015634</v>
          </cell>
        </row>
        <row r="284">
          <cell r="I284">
            <v>1052896</v>
          </cell>
        </row>
        <row r="285">
          <cell r="I285">
            <v>1094574</v>
          </cell>
        </row>
        <row r="286">
          <cell r="I286">
            <v>1125540</v>
          </cell>
        </row>
        <row r="287">
          <cell r="I287">
            <v>1146813</v>
          </cell>
        </row>
        <row r="288">
          <cell r="I288">
            <v>1171039</v>
          </cell>
        </row>
        <row r="289">
          <cell r="I289">
            <v>1207021</v>
          </cell>
        </row>
        <row r="290">
          <cell r="I290">
            <v>1230545</v>
          </cell>
        </row>
        <row r="291">
          <cell r="G291">
            <v>2470</v>
          </cell>
        </row>
        <row r="304">
          <cell r="I304">
            <v>618409</v>
          </cell>
        </row>
        <row r="305">
          <cell r="I305">
            <v>641971</v>
          </cell>
        </row>
        <row r="306">
          <cell r="I306">
            <v>667918</v>
          </cell>
        </row>
        <row r="307">
          <cell r="I307">
            <v>699717</v>
          </cell>
        </row>
        <row r="308">
          <cell r="I308">
            <v>736668</v>
          </cell>
        </row>
        <row r="309">
          <cell r="I309">
            <v>772808</v>
          </cell>
        </row>
        <row r="310">
          <cell r="I310">
            <v>801557</v>
          </cell>
        </row>
        <row r="311">
          <cell r="I311">
            <v>826811</v>
          </cell>
        </row>
        <row r="312">
          <cell r="I312">
            <v>861069</v>
          </cell>
        </row>
        <row r="313">
          <cell r="I313">
            <v>902052</v>
          </cell>
        </row>
        <row r="314">
          <cell r="I314">
            <v>940547</v>
          </cell>
        </row>
        <row r="315">
          <cell r="I315">
            <v>980414</v>
          </cell>
        </row>
        <row r="316">
          <cell r="I316">
            <v>1021951</v>
          </cell>
        </row>
        <row r="317">
          <cell r="I317">
            <v>1060749</v>
          </cell>
        </row>
        <row r="318">
          <cell r="I318">
            <v>1101500</v>
          </cell>
        </row>
        <row r="319">
          <cell r="I319">
            <v>1131532</v>
          </cell>
        </row>
        <row r="320">
          <cell r="I320">
            <v>1152706</v>
          </cell>
        </row>
        <row r="321">
          <cell r="I321">
            <v>1176538</v>
          </cell>
        </row>
        <row r="322">
          <cell r="I322">
            <v>1213580</v>
          </cell>
        </row>
        <row r="323">
          <cell r="I323">
            <v>1237638</v>
          </cell>
        </row>
        <row r="324">
          <cell r="G324">
            <v>2482</v>
          </cell>
        </row>
        <row r="337">
          <cell r="I337">
            <v>627487</v>
          </cell>
        </row>
        <row r="338">
          <cell r="I338">
            <v>651031</v>
          </cell>
        </row>
        <row r="339">
          <cell r="I339">
            <v>678975</v>
          </cell>
        </row>
        <row r="340">
          <cell r="I340">
            <v>710888</v>
          </cell>
        </row>
        <row r="341">
          <cell r="I341">
            <v>748604</v>
          </cell>
        </row>
        <row r="342">
          <cell r="I342">
            <v>784440</v>
          </cell>
        </row>
        <row r="343">
          <cell r="I343">
            <v>813951</v>
          </cell>
        </row>
        <row r="344">
          <cell r="I344">
            <v>840719</v>
          </cell>
        </row>
        <row r="345">
          <cell r="I345">
            <v>873991</v>
          </cell>
        </row>
        <row r="346">
          <cell r="I346">
            <v>915484</v>
          </cell>
        </row>
        <row r="347">
          <cell r="I347">
            <v>953362</v>
          </cell>
        </row>
        <row r="348">
          <cell r="I348">
            <v>994904</v>
          </cell>
        </row>
        <row r="349">
          <cell r="I349">
            <v>1036273</v>
          </cell>
        </row>
        <row r="350">
          <cell r="I350">
            <v>1074515</v>
          </cell>
        </row>
        <row r="351">
          <cell r="I351">
            <v>1116315</v>
          </cell>
        </row>
        <row r="352">
          <cell r="I352">
            <v>1145302</v>
          </cell>
        </row>
        <row r="353">
          <cell r="I353">
            <v>1166035</v>
          </cell>
        </row>
        <row r="354">
          <cell r="I354">
            <v>1191525</v>
          </cell>
        </row>
        <row r="355">
          <cell r="I355">
            <v>1220487</v>
          </cell>
        </row>
        <row r="356">
          <cell r="I356">
            <v>1252985</v>
          </cell>
        </row>
        <row r="357">
          <cell r="G357">
            <v>2443</v>
          </cell>
        </row>
        <row r="370">
          <cell r="I370">
            <v>636067</v>
          </cell>
        </row>
        <row r="371">
          <cell r="I371">
            <v>660404</v>
          </cell>
        </row>
        <row r="372">
          <cell r="I372">
            <v>688415</v>
          </cell>
        </row>
        <row r="373">
          <cell r="I373">
            <v>720963</v>
          </cell>
        </row>
        <row r="374">
          <cell r="I374">
            <v>758423</v>
          </cell>
        </row>
        <row r="375">
          <cell r="I375">
            <v>793777</v>
          </cell>
        </row>
        <row r="376">
          <cell r="I376">
            <v>822838</v>
          </cell>
        </row>
        <row r="377">
          <cell r="I377">
            <v>851505</v>
          </cell>
        </row>
        <row r="378">
          <cell r="I378">
            <v>885443</v>
          </cell>
        </row>
        <row r="379">
          <cell r="I379">
            <v>927083</v>
          </cell>
        </row>
        <row r="380">
          <cell r="I380">
            <v>966273</v>
          </cell>
        </row>
        <row r="381">
          <cell r="I381">
            <v>1007537</v>
          </cell>
        </row>
        <row r="382">
          <cell r="I382">
            <v>1046627</v>
          </cell>
        </row>
        <row r="383">
          <cell r="I383">
            <v>1086476</v>
          </cell>
        </row>
        <row r="384">
          <cell r="I384">
            <v>1126876</v>
          </cell>
        </row>
        <row r="385">
          <cell r="I385">
            <v>1155657</v>
          </cell>
        </row>
        <row r="386">
          <cell r="I386">
            <v>1177144</v>
          </cell>
        </row>
        <row r="387">
          <cell r="I387">
            <v>1202120</v>
          </cell>
        </row>
        <row r="388">
          <cell r="I388">
            <v>1240116</v>
          </cell>
        </row>
        <row r="389">
          <cell r="I389">
            <v>1264866</v>
          </cell>
        </row>
        <row r="390">
          <cell r="G390">
            <v>2395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PKTMP"/>
      <sheetName val="Jan(no)"/>
      <sheetName val="Winter"/>
      <sheetName val="Feb"/>
      <sheetName val="Mar"/>
      <sheetName val="Apr"/>
      <sheetName val="May"/>
      <sheetName val="Jun"/>
      <sheetName val="Jul"/>
      <sheetName val="Summer"/>
      <sheetName val="Aug(no)"/>
      <sheetName val="Sep"/>
      <sheetName val="Oct"/>
      <sheetName val="Nov"/>
      <sheetName val="Dec"/>
    </sheetNames>
    <sheetDataSet>
      <sheetData sheetId="0" refreshError="1"/>
      <sheetData sheetId="1" refreshError="1"/>
      <sheetData sheetId="2">
        <row r="4">
          <cell r="J4">
            <v>33.200000000000003</v>
          </cell>
          <cell r="K4">
            <v>37.9</v>
          </cell>
          <cell r="L4">
            <v>34.700000000000003</v>
          </cell>
        </row>
        <row r="5">
          <cell r="J5">
            <v>29.1</v>
          </cell>
          <cell r="K5">
            <v>37</v>
          </cell>
          <cell r="L5">
            <v>31.7</v>
          </cell>
        </row>
        <row r="6">
          <cell r="J6">
            <v>34.299999999999997</v>
          </cell>
          <cell r="K6">
            <v>40.9</v>
          </cell>
          <cell r="L6">
            <v>36.4</v>
          </cell>
        </row>
        <row r="7">
          <cell r="J7">
            <v>36.6</v>
          </cell>
          <cell r="K7">
            <v>37.9</v>
          </cell>
          <cell r="L7">
            <v>37</v>
          </cell>
        </row>
        <row r="8">
          <cell r="J8">
            <v>31.7</v>
          </cell>
          <cell r="K8">
            <v>35.6</v>
          </cell>
          <cell r="L8">
            <v>33</v>
          </cell>
        </row>
        <row r="9">
          <cell r="J9">
            <v>27.4</v>
          </cell>
          <cell r="K9">
            <v>32.1</v>
          </cell>
          <cell r="L9">
            <v>29</v>
          </cell>
        </row>
        <row r="10">
          <cell r="J10">
            <v>23.9</v>
          </cell>
          <cell r="K10">
            <v>31.5</v>
          </cell>
          <cell r="L10">
            <v>26.4</v>
          </cell>
        </row>
        <row r="11">
          <cell r="J11">
            <v>35.200000000000003</v>
          </cell>
          <cell r="K11">
            <v>43.6</v>
          </cell>
          <cell r="L11">
            <v>38</v>
          </cell>
        </row>
        <row r="12">
          <cell r="J12">
            <v>37.1</v>
          </cell>
          <cell r="K12">
            <v>34.6</v>
          </cell>
          <cell r="L12">
            <v>36.299999999999997</v>
          </cell>
        </row>
        <row r="13">
          <cell r="J13">
            <v>24.1</v>
          </cell>
          <cell r="K13">
            <v>28.7</v>
          </cell>
          <cell r="L13">
            <v>25.6</v>
          </cell>
        </row>
        <row r="14">
          <cell r="J14">
            <v>25.9</v>
          </cell>
          <cell r="K14">
            <v>39</v>
          </cell>
          <cell r="L14">
            <v>30.2</v>
          </cell>
        </row>
        <row r="15">
          <cell r="J15">
            <v>38</v>
          </cell>
          <cell r="K15">
            <v>46</v>
          </cell>
          <cell r="L15">
            <v>40.6</v>
          </cell>
        </row>
        <row r="16">
          <cell r="J16">
            <v>35.5</v>
          </cell>
          <cell r="K16">
            <v>43.3</v>
          </cell>
          <cell r="L16">
            <v>38.1</v>
          </cell>
        </row>
        <row r="17">
          <cell r="J17">
            <v>33.200000000000003</v>
          </cell>
          <cell r="K17">
            <v>40.299999999999997</v>
          </cell>
          <cell r="L17">
            <v>35.6</v>
          </cell>
        </row>
        <row r="18">
          <cell r="J18">
            <v>30.3</v>
          </cell>
          <cell r="K18">
            <v>38.5</v>
          </cell>
          <cell r="L18">
            <v>33</v>
          </cell>
        </row>
        <row r="19">
          <cell r="J19">
            <v>34.1</v>
          </cell>
          <cell r="K19">
            <v>47.7</v>
          </cell>
          <cell r="L19">
            <v>38.6</v>
          </cell>
        </row>
        <row r="20">
          <cell r="J20">
            <v>35</v>
          </cell>
          <cell r="K20">
            <v>43.8</v>
          </cell>
          <cell r="L20">
            <v>37.9</v>
          </cell>
        </row>
        <row r="21">
          <cell r="J21">
            <v>34.9</v>
          </cell>
          <cell r="K21">
            <v>41.7</v>
          </cell>
          <cell r="L21">
            <v>37.1</v>
          </cell>
        </row>
        <row r="22">
          <cell r="J22">
            <v>36.9</v>
          </cell>
          <cell r="K22">
            <v>45</v>
          </cell>
          <cell r="L22">
            <v>39.5</v>
          </cell>
        </row>
        <row r="23">
          <cell r="J23">
            <v>29.1</v>
          </cell>
          <cell r="K23">
            <v>40.5</v>
          </cell>
          <cell r="L23">
            <v>32.799999999999997</v>
          </cell>
        </row>
        <row r="24">
          <cell r="J24">
            <v>26.3</v>
          </cell>
          <cell r="K24">
            <v>35.6</v>
          </cell>
          <cell r="L24">
            <v>29.3</v>
          </cell>
        </row>
        <row r="25">
          <cell r="J25">
            <v>33</v>
          </cell>
          <cell r="K25">
            <v>38</v>
          </cell>
          <cell r="L25">
            <v>34.700000000000003</v>
          </cell>
        </row>
        <row r="26">
          <cell r="J26">
            <v>42</v>
          </cell>
          <cell r="K26">
            <v>45.9</v>
          </cell>
          <cell r="L26">
            <v>43.3</v>
          </cell>
        </row>
        <row r="27">
          <cell r="J27">
            <v>31.7</v>
          </cell>
          <cell r="K27">
            <v>37.299999999999997</v>
          </cell>
          <cell r="L27">
            <v>33.5</v>
          </cell>
        </row>
        <row r="28">
          <cell r="J28">
            <v>33.6</v>
          </cell>
          <cell r="K28">
            <v>40.5</v>
          </cell>
          <cell r="L28">
            <v>35.9</v>
          </cell>
        </row>
        <row r="29">
          <cell r="J29">
            <v>32.299999999999997</v>
          </cell>
          <cell r="K29">
            <v>40.200000000000003</v>
          </cell>
          <cell r="L29">
            <v>34.9</v>
          </cell>
        </row>
        <row r="30">
          <cell r="J30">
            <v>32.5</v>
          </cell>
          <cell r="K30">
            <v>41.4</v>
          </cell>
          <cell r="L30">
            <v>35.5</v>
          </cell>
        </row>
        <row r="31">
          <cell r="J31">
            <v>27.5</v>
          </cell>
          <cell r="K31">
            <v>43.5</v>
          </cell>
          <cell r="L31">
            <v>32.799999999999997</v>
          </cell>
        </row>
        <row r="32">
          <cell r="J32">
            <v>38.200000000000003</v>
          </cell>
          <cell r="K32">
            <v>47</v>
          </cell>
          <cell r="L32">
            <v>41.1</v>
          </cell>
        </row>
        <row r="33">
          <cell r="J33">
            <v>32.799999999999997</v>
          </cell>
          <cell r="K33">
            <v>42.8</v>
          </cell>
          <cell r="L33">
            <v>36.1</v>
          </cell>
        </row>
        <row r="34">
          <cell r="J34">
            <v>36</v>
          </cell>
          <cell r="K34">
            <v>43.7</v>
          </cell>
          <cell r="L34">
            <v>38.5</v>
          </cell>
        </row>
        <row r="35">
          <cell r="J35">
            <v>35.4</v>
          </cell>
          <cell r="K35">
            <v>44.7</v>
          </cell>
          <cell r="L35">
            <v>38.5</v>
          </cell>
        </row>
        <row r="36">
          <cell r="J36">
            <v>30</v>
          </cell>
          <cell r="K36">
            <v>38.9</v>
          </cell>
          <cell r="L36">
            <v>33</v>
          </cell>
        </row>
        <row r="37">
          <cell r="J37">
            <v>34.700000000000003</v>
          </cell>
          <cell r="K37">
            <v>40.5</v>
          </cell>
          <cell r="L37">
            <v>36.6</v>
          </cell>
        </row>
        <row r="38">
          <cell r="J38">
            <v>27.4</v>
          </cell>
          <cell r="K38">
            <v>34.700000000000003</v>
          </cell>
          <cell r="L38">
            <v>29.8</v>
          </cell>
        </row>
        <row r="39">
          <cell r="J39">
            <v>31</v>
          </cell>
          <cell r="K39">
            <v>40.799999999999997</v>
          </cell>
          <cell r="L39">
            <v>34.200000000000003</v>
          </cell>
        </row>
        <row r="40">
          <cell r="J40">
            <v>33.799999999999997</v>
          </cell>
          <cell r="K40">
            <v>39.9</v>
          </cell>
          <cell r="L40">
            <v>35.799999999999997</v>
          </cell>
        </row>
        <row r="41">
          <cell r="J41">
            <v>35.1</v>
          </cell>
          <cell r="K41">
            <v>43.7</v>
          </cell>
          <cell r="L41">
            <v>37.9</v>
          </cell>
        </row>
      </sheetData>
      <sheetData sheetId="3">
        <row r="4">
          <cell r="J4">
            <v>40.1</v>
          </cell>
          <cell r="K4">
            <v>48.2</v>
          </cell>
          <cell r="L4">
            <v>42.8</v>
          </cell>
        </row>
        <row r="5">
          <cell r="J5">
            <v>36.9</v>
          </cell>
          <cell r="K5">
            <v>39.6</v>
          </cell>
          <cell r="L5">
            <v>37.799999999999997</v>
          </cell>
        </row>
        <row r="6">
          <cell r="J6">
            <v>34.299999999999997</v>
          </cell>
          <cell r="K6">
            <v>40.9</v>
          </cell>
          <cell r="L6">
            <v>36.4</v>
          </cell>
        </row>
        <row r="7">
          <cell r="J7">
            <v>37.799999999999997</v>
          </cell>
          <cell r="K7">
            <v>42.2</v>
          </cell>
          <cell r="L7">
            <v>39.200000000000003</v>
          </cell>
        </row>
        <row r="8">
          <cell r="J8">
            <v>38.200000000000003</v>
          </cell>
          <cell r="K8">
            <v>40.6</v>
          </cell>
          <cell r="L8">
            <v>39</v>
          </cell>
        </row>
        <row r="9">
          <cell r="J9">
            <v>33.9</v>
          </cell>
          <cell r="K9">
            <v>39.799999999999997</v>
          </cell>
          <cell r="L9">
            <v>35.799999999999997</v>
          </cell>
        </row>
        <row r="10">
          <cell r="J10">
            <v>43.3</v>
          </cell>
          <cell r="K10">
            <v>55</v>
          </cell>
          <cell r="L10">
            <v>47.1</v>
          </cell>
        </row>
        <row r="11">
          <cell r="J11">
            <v>37.799999999999997</v>
          </cell>
          <cell r="K11">
            <v>46.5</v>
          </cell>
          <cell r="L11">
            <v>40.6</v>
          </cell>
        </row>
        <row r="12">
          <cell r="J12">
            <v>35.5</v>
          </cell>
          <cell r="K12">
            <v>42.9</v>
          </cell>
          <cell r="L12">
            <v>37.9</v>
          </cell>
        </row>
        <row r="13">
          <cell r="J13">
            <v>40.5</v>
          </cell>
          <cell r="K13">
            <v>47.7</v>
          </cell>
          <cell r="L13">
            <v>42.9</v>
          </cell>
        </row>
        <row r="14">
          <cell r="J14">
            <v>40.5</v>
          </cell>
          <cell r="K14">
            <v>45.1</v>
          </cell>
          <cell r="L14">
            <v>42</v>
          </cell>
        </row>
        <row r="15">
          <cell r="J15">
            <v>38</v>
          </cell>
          <cell r="K15">
            <v>46</v>
          </cell>
          <cell r="L15">
            <v>40.6</v>
          </cell>
        </row>
        <row r="16">
          <cell r="J16">
            <v>42.6</v>
          </cell>
          <cell r="K16">
            <v>43.1</v>
          </cell>
          <cell r="L16">
            <v>42.7</v>
          </cell>
        </row>
        <row r="17">
          <cell r="J17">
            <v>33.200000000000003</v>
          </cell>
          <cell r="K17">
            <v>40.299999999999997</v>
          </cell>
          <cell r="L17">
            <v>35.6</v>
          </cell>
        </row>
        <row r="18">
          <cell r="J18">
            <v>49.7</v>
          </cell>
          <cell r="K18">
            <v>54.8</v>
          </cell>
          <cell r="L18">
            <v>51.4</v>
          </cell>
        </row>
        <row r="19">
          <cell r="J19">
            <v>34.1</v>
          </cell>
          <cell r="K19">
            <v>47.7</v>
          </cell>
          <cell r="L19">
            <v>38.6</v>
          </cell>
        </row>
        <row r="20">
          <cell r="J20">
            <v>44.4</v>
          </cell>
          <cell r="K20">
            <v>50.7</v>
          </cell>
          <cell r="L20">
            <v>46.4</v>
          </cell>
        </row>
        <row r="21">
          <cell r="J21">
            <v>36.1</v>
          </cell>
          <cell r="K21">
            <v>51.2</v>
          </cell>
          <cell r="L21">
            <v>41</v>
          </cell>
        </row>
        <row r="22">
          <cell r="J22">
            <v>36.9</v>
          </cell>
          <cell r="K22">
            <v>45</v>
          </cell>
          <cell r="L22">
            <v>39.5</v>
          </cell>
        </row>
        <row r="23">
          <cell r="J23">
            <v>29.1</v>
          </cell>
          <cell r="K23">
            <v>40.5</v>
          </cell>
          <cell r="L23">
            <v>32.799999999999997</v>
          </cell>
        </row>
        <row r="24">
          <cell r="J24">
            <v>26.3</v>
          </cell>
          <cell r="K24">
            <v>35.6</v>
          </cell>
          <cell r="L24">
            <v>29.3</v>
          </cell>
        </row>
        <row r="25">
          <cell r="J25">
            <v>44.7</v>
          </cell>
          <cell r="K25">
            <v>52.1</v>
          </cell>
          <cell r="L25">
            <v>47.1</v>
          </cell>
        </row>
        <row r="26">
          <cell r="J26">
            <v>45.8</v>
          </cell>
          <cell r="K26">
            <v>51.8</v>
          </cell>
          <cell r="L26">
            <v>47.8</v>
          </cell>
        </row>
        <row r="27">
          <cell r="J27">
            <v>41.8</v>
          </cell>
          <cell r="K27">
            <v>46.4</v>
          </cell>
          <cell r="L27">
            <v>43.3</v>
          </cell>
        </row>
        <row r="28">
          <cell r="J28">
            <v>43.2</v>
          </cell>
          <cell r="K28">
            <v>45.8</v>
          </cell>
          <cell r="L28">
            <v>44</v>
          </cell>
        </row>
        <row r="29">
          <cell r="J29">
            <v>40.799999999999997</v>
          </cell>
          <cell r="K29">
            <v>52.2</v>
          </cell>
          <cell r="L29">
            <v>44.5</v>
          </cell>
        </row>
        <row r="30">
          <cell r="J30">
            <v>35</v>
          </cell>
          <cell r="K30">
            <v>44.3</v>
          </cell>
          <cell r="L30">
            <v>38.1</v>
          </cell>
        </row>
        <row r="31">
          <cell r="J31">
            <v>45.8</v>
          </cell>
          <cell r="K31">
            <v>55.3</v>
          </cell>
          <cell r="L31">
            <v>48.9</v>
          </cell>
        </row>
        <row r="32">
          <cell r="J32">
            <v>41.7</v>
          </cell>
          <cell r="K32">
            <v>49.3</v>
          </cell>
          <cell r="L32">
            <v>44.2</v>
          </cell>
        </row>
        <row r="33">
          <cell r="J33">
            <v>41.6</v>
          </cell>
          <cell r="K33">
            <v>57.1</v>
          </cell>
          <cell r="L33">
            <v>46.7</v>
          </cell>
        </row>
        <row r="34">
          <cell r="J34">
            <v>36</v>
          </cell>
          <cell r="K34">
            <v>43.7</v>
          </cell>
          <cell r="L34">
            <v>38.5</v>
          </cell>
        </row>
        <row r="35">
          <cell r="J35">
            <v>35.4</v>
          </cell>
          <cell r="K35">
            <v>44.7</v>
          </cell>
          <cell r="L35">
            <v>38.5</v>
          </cell>
        </row>
        <row r="36">
          <cell r="J36">
            <v>39.5</v>
          </cell>
          <cell r="K36">
            <v>48.5</v>
          </cell>
          <cell r="L36">
            <v>42.5</v>
          </cell>
        </row>
        <row r="37">
          <cell r="J37">
            <v>34.700000000000003</v>
          </cell>
          <cell r="K37">
            <v>40.5</v>
          </cell>
          <cell r="L37">
            <v>36.6</v>
          </cell>
        </row>
        <row r="38">
          <cell r="J38">
            <v>37.9</v>
          </cell>
          <cell r="K38">
            <v>46.3</v>
          </cell>
          <cell r="L38">
            <v>40.700000000000003</v>
          </cell>
        </row>
        <row r="39">
          <cell r="J39">
            <v>42.5</v>
          </cell>
          <cell r="K39">
            <v>52.6</v>
          </cell>
          <cell r="L39">
            <v>45.8</v>
          </cell>
        </row>
        <row r="40">
          <cell r="J40">
            <v>36</v>
          </cell>
          <cell r="K40">
            <v>42</v>
          </cell>
          <cell r="L40">
            <v>37.9</v>
          </cell>
        </row>
        <row r="41">
          <cell r="J41">
            <v>35.1</v>
          </cell>
          <cell r="K41">
            <v>43.7</v>
          </cell>
          <cell r="L41">
            <v>37.9</v>
          </cell>
        </row>
      </sheetData>
      <sheetData sheetId="4">
        <row r="4">
          <cell r="J4">
            <v>48.2</v>
          </cell>
          <cell r="K4">
            <v>53.3</v>
          </cell>
          <cell r="L4">
            <v>49.8</v>
          </cell>
          <cell r="M4">
            <v>46.6</v>
          </cell>
        </row>
        <row r="5">
          <cell r="J5">
            <v>40.5</v>
          </cell>
          <cell r="K5">
            <v>51.5</v>
          </cell>
          <cell r="L5">
            <v>44.1</v>
          </cell>
          <cell r="M5">
            <v>40.200000000000003</v>
          </cell>
        </row>
        <row r="6">
          <cell r="J6">
            <v>42.2</v>
          </cell>
          <cell r="K6">
            <v>48.7</v>
          </cell>
          <cell r="L6">
            <v>44.3</v>
          </cell>
          <cell r="M6">
            <v>40.799999999999997</v>
          </cell>
        </row>
        <row r="7">
          <cell r="J7">
            <v>49.8</v>
          </cell>
          <cell r="K7">
            <v>52.7</v>
          </cell>
          <cell r="L7">
            <v>50.7</v>
          </cell>
          <cell r="M7">
            <v>47.5</v>
          </cell>
        </row>
        <row r="8">
          <cell r="J8">
            <v>31.7</v>
          </cell>
          <cell r="K8">
            <v>35.6</v>
          </cell>
          <cell r="L8">
            <v>33</v>
          </cell>
          <cell r="M8">
            <v>29.2</v>
          </cell>
        </row>
        <row r="9">
          <cell r="J9">
            <v>48.6</v>
          </cell>
          <cell r="K9">
            <v>54.6</v>
          </cell>
          <cell r="L9">
            <v>50.6</v>
          </cell>
          <cell r="M9">
            <v>48.8</v>
          </cell>
        </row>
        <row r="10">
          <cell r="J10">
            <v>41</v>
          </cell>
          <cell r="K10">
            <v>54.9</v>
          </cell>
          <cell r="L10">
            <v>45.6</v>
          </cell>
          <cell r="M10">
            <v>41.5</v>
          </cell>
        </row>
        <row r="11">
          <cell r="J11">
            <v>45.2</v>
          </cell>
          <cell r="K11">
            <v>53.1</v>
          </cell>
          <cell r="L11">
            <v>47.8</v>
          </cell>
          <cell r="M11">
            <v>44.5</v>
          </cell>
        </row>
        <row r="12">
          <cell r="J12">
            <v>36.799999999999997</v>
          </cell>
          <cell r="K12">
            <v>44.9</v>
          </cell>
          <cell r="L12">
            <v>39.5</v>
          </cell>
          <cell r="M12">
            <v>37.4</v>
          </cell>
        </row>
        <row r="13">
          <cell r="J13">
            <v>44.3</v>
          </cell>
          <cell r="K13">
            <v>52.6</v>
          </cell>
          <cell r="L13">
            <v>47</v>
          </cell>
          <cell r="M13">
            <v>43</v>
          </cell>
        </row>
        <row r="14">
          <cell r="J14">
            <v>43.6</v>
          </cell>
          <cell r="K14">
            <v>44.1</v>
          </cell>
          <cell r="L14">
            <v>43.7</v>
          </cell>
          <cell r="M14">
            <v>39.799999999999997</v>
          </cell>
        </row>
        <row r="15">
          <cell r="J15">
            <v>51.3</v>
          </cell>
          <cell r="K15">
            <v>57.7</v>
          </cell>
          <cell r="L15">
            <v>53.4</v>
          </cell>
          <cell r="M15">
            <v>53.6</v>
          </cell>
        </row>
        <row r="16">
          <cell r="J16">
            <v>42.3</v>
          </cell>
          <cell r="K16">
            <v>47.6</v>
          </cell>
          <cell r="L16">
            <v>44</v>
          </cell>
          <cell r="M16">
            <v>41.6</v>
          </cell>
        </row>
        <row r="17">
          <cell r="J17">
            <v>46.3</v>
          </cell>
          <cell r="K17">
            <v>46.7</v>
          </cell>
          <cell r="L17">
            <v>46.4</v>
          </cell>
          <cell r="M17">
            <v>48.9</v>
          </cell>
        </row>
        <row r="18">
          <cell r="J18">
            <v>83.9</v>
          </cell>
          <cell r="K18">
            <v>76.2</v>
          </cell>
          <cell r="L18">
            <v>81.3</v>
          </cell>
          <cell r="M18">
            <v>84.2</v>
          </cell>
        </row>
        <row r="19">
          <cell r="J19">
            <v>45.3</v>
          </cell>
          <cell r="K19">
            <v>52.5</v>
          </cell>
          <cell r="L19">
            <v>47.6</v>
          </cell>
          <cell r="M19">
            <v>43.7</v>
          </cell>
        </row>
        <row r="20">
          <cell r="J20">
            <v>47.8</v>
          </cell>
          <cell r="K20">
            <v>50.9</v>
          </cell>
          <cell r="L20">
            <v>48.8</v>
          </cell>
          <cell r="M20">
            <v>47</v>
          </cell>
        </row>
        <row r="21">
          <cell r="J21">
            <v>34.9</v>
          </cell>
          <cell r="K21">
            <v>41.7</v>
          </cell>
          <cell r="L21">
            <v>37.1</v>
          </cell>
          <cell r="M21">
            <v>35.299999999999997</v>
          </cell>
        </row>
        <row r="22">
          <cell r="J22">
            <v>83.4</v>
          </cell>
          <cell r="K22">
            <v>79.8</v>
          </cell>
          <cell r="L22">
            <v>82.2</v>
          </cell>
          <cell r="M22">
            <v>85.2</v>
          </cell>
        </row>
        <row r="23">
          <cell r="J23">
            <v>47.7</v>
          </cell>
          <cell r="K23">
            <v>53.2</v>
          </cell>
          <cell r="L23">
            <v>49.5</v>
          </cell>
          <cell r="M23">
            <v>47.2</v>
          </cell>
        </row>
        <row r="24">
          <cell r="J24">
            <v>36</v>
          </cell>
          <cell r="K24">
            <v>44.1</v>
          </cell>
          <cell r="L24">
            <v>38.700000000000003</v>
          </cell>
          <cell r="M24">
            <v>34.299999999999997</v>
          </cell>
        </row>
        <row r="25">
          <cell r="J25">
            <v>83.3</v>
          </cell>
          <cell r="K25">
            <v>74.599999999999994</v>
          </cell>
          <cell r="L25">
            <v>80.400000000000006</v>
          </cell>
          <cell r="M25">
            <v>83.5</v>
          </cell>
        </row>
        <row r="26">
          <cell r="J26">
            <v>42</v>
          </cell>
          <cell r="K26">
            <v>45.9</v>
          </cell>
          <cell r="L26">
            <v>43.3</v>
          </cell>
          <cell r="M26">
            <v>40.5</v>
          </cell>
        </row>
        <row r="27">
          <cell r="J27">
            <v>46.8</v>
          </cell>
          <cell r="K27">
            <v>52.6</v>
          </cell>
          <cell r="L27">
            <v>48.7</v>
          </cell>
          <cell r="M27">
            <v>44.4</v>
          </cell>
        </row>
        <row r="28">
          <cell r="J28">
            <v>82.3</v>
          </cell>
          <cell r="K28">
            <v>77</v>
          </cell>
          <cell r="L28">
            <v>80.5</v>
          </cell>
          <cell r="M28">
            <v>82.8</v>
          </cell>
        </row>
        <row r="29">
          <cell r="J29">
            <v>47.5</v>
          </cell>
          <cell r="K29">
            <v>54.2</v>
          </cell>
          <cell r="L29">
            <v>49.7</v>
          </cell>
          <cell r="M29">
            <v>46.4</v>
          </cell>
        </row>
        <row r="30">
          <cell r="J30">
            <v>37.5</v>
          </cell>
          <cell r="K30">
            <v>44.9</v>
          </cell>
          <cell r="L30">
            <v>40</v>
          </cell>
          <cell r="M30">
            <v>37.9</v>
          </cell>
        </row>
        <row r="31">
          <cell r="J31">
            <v>86.5</v>
          </cell>
          <cell r="K31">
            <v>78.900000000000006</v>
          </cell>
          <cell r="L31">
            <v>84</v>
          </cell>
          <cell r="M31">
            <v>85.7</v>
          </cell>
        </row>
        <row r="32">
          <cell r="J32">
            <v>47.5</v>
          </cell>
          <cell r="K32">
            <v>54</v>
          </cell>
          <cell r="L32">
            <v>49.7</v>
          </cell>
          <cell r="M32">
            <v>46.2</v>
          </cell>
        </row>
        <row r="33">
          <cell r="J33">
            <v>48</v>
          </cell>
          <cell r="K33">
            <v>50</v>
          </cell>
          <cell r="L33">
            <v>48.6</v>
          </cell>
          <cell r="M33">
            <v>48.9</v>
          </cell>
        </row>
        <row r="34">
          <cell r="J34">
            <v>78.3</v>
          </cell>
          <cell r="K34">
            <v>74.900000000000006</v>
          </cell>
          <cell r="L34">
            <v>77.2</v>
          </cell>
          <cell r="M34">
            <v>80.8</v>
          </cell>
        </row>
        <row r="35">
          <cell r="J35">
            <v>43.1</v>
          </cell>
          <cell r="K35">
            <v>53.6</v>
          </cell>
          <cell r="L35">
            <v>46.6</v>
          </cell>
          <cell r="M35">
            <v>44.2</v>
          </cell>
        </row>
        <row r="36">
          <cell r="J36">
            <v>82</v>
          </cell>
          <cell r="K36">
            <v>76</v>
          </cell>
          <cell r="L36">
            <v>80</v>
          </cell>
          <cell r="M36">
            <v>80.099999999999994</v>
          </cell>
        </row>
        <row r="37">
          <cell r="J37">
            <v>39.4</v>
          </cell>
          <cell r="K37">
            <v>48.9</v>
          </cell>
          <cell r="L37">
            <v>42.5</v>
          </cell>
          <cell r="M37">
            <v>41.3</v>
          </cell>
        </row>
        <row r="38">
          <cell r="J38">
            <v>40</v>
          </cell>
          <cell r="K38">
            <v>46.7</v>
          </cell>
          <cell r="L38">
            <v>42.2</v>
          </cell>
          <cell r="M38">
            <v>40</v>
          </cell>
        </row>
        <row r="39">
          <cell r="J39">
            <v>86.9</v>
          </cell>
          <cell r="K39">
            <v>75.5</v>
          </cell>
          <cell r="L39">
            <v>83.1</v>
          </cell>
          <cell r="M39">
            <v>85.2</v>
          </cell>
        </row>
        <row r="40">
          <cell r="J40">
            <v>82.8</v>
          </cell>
          <cell r="K40">
            <v>74.599999999999994</v>
          </cell>
          <cell r="L40">
            <v>80.099999999999994</v>
          </cell>
          <cell r="M40">
            <v>81.2</v>
          </cell>
        </row>
        <row r="41">
          <cell r="J41">
            <v>36.4</v>
          </cell>
          <cell r="K41">
            <v>44.4</v>
          </cell>
          <cell r="L41">
            <v>39.1</v>
          </cell>
          <cell r="M41">
            <v>35.799999999999997</v>
          </cell>
        </row>
      </sheetData>
      <sheetData sheetId="5">
        <row r="4">
          <cell r="J4">
            <v>77.8</v>
          </cell>
          <cell r="M4">
            <v>81.7</v>
          </cell>
        </row>
        <row r="5">
          <cell r="J5">
            <v>80.599999999999994</v>
          </cell>
          <cell r="M5">
            <v>83.6</v>
          </cell>
        </row>
        <row r="6">
          <cell r="J6">
            <v>79.400000000000006</v>
          </cell>
          <cell r="M6">
            <v>83.3</v>
          </cell>
        </row>
        <row r="7">
          <cell r="J7">
            <v>78.099999999999994</v>
          </cell>
          <cell r="M7">
            <v>80.900000000000006</v>
          </cell>
        </row>
        <row r="8">
          <cell r="J8">
            <v>79.3</v>
          </cell>
          <cell r="M8">
            <v>82.1</v>
          </cell>
        </row>
        <row r="9">
          <cell r="J9">
            <v>85.8</v>
          </cell>
          <cell r="M9">
            <v>86.1</v>
          </cell>
        </row>
        <row r="10">
          <cell r="J10">
            <v>86.8</v>
          </cell>
          <cell r="M10">
            <v>88.1</v>
          </cell>
        </row>
        <row r="11">
          <cell r="J11">
            <v>80.099999999999994</v>
          </cell>
          <cell r="M11">
            <v>83</v>
          </cell>
        </row>
        <row r="12">
          <cell r="J12">
            <v>85.4</v>
          </cell>
          <cell r="M12">
            <v>85.5</v>
          </cell>
        </row>
        <row r="13">
          <cell r="J13">
            <v>84.2</v>
          </cell>
          <cell r="M13">
            <v>86.3</v>
          </cell>
        </row>
        <row r="14">
          <cell r="J14">
            <v>87.3</v>
          </cell>
          <cell r="M14">
            <v>88.3</v>
          </cell>
        </row>
        <row r="15">
          <cell r="J15">
            <v>45</v>
          </cell>
          <cell r="M15">
            <v>43.4</v>
          </cell>
        </row>
        <row r="16">
          <cell r="J16">
            <v>84.5</v>
          </cell>
          <cell r="M16">
            <v>84.5</v>
          </cell>
        </row>
        <row r="17">
          <cell r="J17">
            <v>87.2</v>
          </cell>
          <cell r="M17">
            <v>87.4</v>
          </cell>
        </row>
        <row r="18">
          <cell r="J18">
            <v>84.9</v>
          </cell>
          <cell r="M18">
            <v>87.2</v>
          </cell>
        </row>
        <row r="19">
          <cell r="J19">
            <v>89.1</v>
          </cell>
          <cell r="M19">
            <v>89</v>
          </cell>
        </row>
        <row r="20">
          <cell r="J20">
            <v>85.7</v>
          </cell>
          <cell r="M20">
            <v>84.3</v>
          </cell>
        </row>
        <row r="21">
          <cell r="J21">
            <v>50</v>
          </cell>
          <cell r="M21">
            <v>48.4</v>
          </cell>
        </row>
        <row r="22">
          <cell r="J22">
            <v>88.3</v>
          </cell>
          <cell r="M22">
            <v>87.7</v>
          </cell>
        </row>
        <row r="23">
          <cell r="J23">
            <v>87.4</v>
          </cell>
          <cell r="M23">
            <v>87.1</v>
          </cell>
        </row>
        <row r="24">
          <cell r="J24">
            <v>88.1</v>
          </cell>
          <cell r="M24">
            <v>87.9</v>
          </cell>
        </row>
        <row r="25">
          <cell r="J25">
            <v>85.1</v>
          </cell>
          <cell r="M25">
            <v>85.3</v>
          </cell>
        </row>
        <row r="26">
          <cell r="J26">
            <v>83.7</v>
          </cell>
          <cell r="M26">
            <v>84</v>
          </cell>
        </row>
        <row r="27">
          <cell r="J27">
            <v>84</v>
          </cell>
          <cell r="M27">
            <v>86.1</v>
          </cell>
        </row>
        <row r="28">
          <cell r="J28">
            <v>81.2</v>
          </cell>
          <cell r="M28">
            <v>81.7</v>
          </cell>
        </row>
        <row r="29">
          <cell r="J29">
            <v>87.3</v>
          </cell>
          <cell r="M29">
            <v>87</v>
          </cell>
        </row>
        <row r="30">
          <cell r="J30">
            <v>87.9</v>
          </cell>
          <cell r="M30">
            <v>87.3</v>
          </cell>
        </row>
        <row r="31">
          <cell r="J31">
            <v>85</v>
          </cell>
          <cell r="M31">
            <v>85.3</v>
          </cell>
        </row>
        <row r="32">
          <cell r="J32">
            <v>83.8</v>
          </cell>
          <cell r="M32">
            <v>83.3</v>
          </cell>
        </row>
        <row r="33">
          <cell r="J33">
            <v>81.900000000000006</v>
          </cell>
          <cell r="M33">
            <v>81.400000000000006</v>
          </cell>
        </row>
        <row r="34">
          <cell r="J34">
            <v>89.8</v>
          </cell>
          <cell r="M34">
            <v>88.4</v>
          </cell>
        </row>
        <row r="35">
          <cell r="J35">
            <v>87.3</v>
          </cell>
          <cell r="M35">
            <v>86.3</v>
          </cell>
        </row>
        <row r="36">
          <cell r="J36">
            <v>83.8</v>
          </cell>
          <cell r="M36">
            <v>83</v>
          </cell>
        </row>
        <row r="37">
          <cell r="J37">
            <v>84.8</v>
          </cell>
          <cell r="M37">
            <v>84.3</v>
          </cell>
        </row>
        <row r="38">
          <cell r="J38">
            <v>84.4</v>
          </cell>
          <cell r="M38">
            <v>83.3</v>
          </cell>
        </row>
        <row r="39">
          <cell r="J39">
            <v>90.1</v>
          </cell>
          <cell r="M39">
            <v>89.5</v>
          </cell>
        </row>
        <row r="40">
          <cell r="J40">
            <v>87.7</v>
          </cell>
          <cell r="M40">
            <v>86.1</v>
          </cell>
        </row>
        <row r="41">
          <cell r="J41">
            <v>87.4</v>
          </cell>
          <cell r="M41">
            <v>85.5</v>
          </cell>
        </row>
      </sheetData>
      <sheetData sheetId="6">
        <row r="4">
          <cell r="I4">
            <v>86.65</v>
          </cell>
          <cell r="M4">
            <v>87.6</v>
          </cell>
        </row>
        <row r="5">
          <cell r="I5">
            <v>80.349999999999994</v>
          </cell>
          <cell r="M5">
            <v>84.2</v>
          </cell>
        </row>
        <row r="6">
          <cell r="I6">
            <v>89.45</v>
          </cell>
          <cell r="M6">
            <v>90.4</v>
          </cell>
        </row>
        <row r="7">
          <cell r="I7">
            <v>85.4</v>
          </cell>
          <cell r="M7">
            <v>87.6</v>
          </cell>
        </row>
        <row r="8">
          <cell r="I8">
            <v>85.95</v>
          </cell>
          <cell r="M8">
            <v>88</v>
          </cell>
        </row>
        <row r="9">
          <cell r="I9">
            <v>89.2</v>
          </cell>
          <cell r="M9">
            <v>90.9</v>
          </cell>
        </row>
        <row r="10">
          <cell r="I10">
            <v>88.7</v>
          </cell>
          <cell r="M10">
            <v>89.3</v>
          </cell>
        </row>
        <row r="11">
          <cell r="I11">
            <v>89.55</v>
          </cell>
          <cell r="M11">
            <v>88.7</v>
          </cell>
        </row>
        <row r="12">
          <cell r="I12">
            <v>89.1</v>
          </cell>
          <cell r="M12">
            <v>90.9</v>
          </cell>
        </row>
        <row r="13">
          <cell r="I13">
            <v>93.5</v>
          </cell>
          <cell r="M13">
            <v>92.8</v>
          </cell>
        </row>
        <row r="14">
          <cell r="I14">
            <v>90.55</v>
          </cell>
          <cell r="M14">
            <v>92</v>
          </cell>
        </row>
        <row r="15">
          <cell r="I15">
            <v>86.8</v>
          </cell>
          <cell r="M15">
            <v>85.8</v>
          </cell>
        </row>
        <row r="16">
          <cell r="I16">
            <v>88.2</v>
          </cell>
          <cell r="M16">
            <v>89.2</v>
          </cell>
        </row>
        <row r="17">
          <cell r="I17">
            <v>94.85</v>
          </cell>
          <cell r="M17">
            <v>92.9</v>
          </cell>
        </row>
        <row r="18">
          <cell r="I18">
            <v>90.95</v>
          </cell>
          <cell r="M18">
            <v>91.2</v>
          </cell>
        </row>
        <row r="19">
          <cell r="I19">
            <v>90.7</v>
          </cell>
          <cell r="M19">
            <v>90.1</v>
          </cell>
        </row>
        <row r="20">
          <cell r="I20">
            <v>89.4</v>
          </cell>
          <cell r="M20">
            <v>90</v>
          </cell>
        </row>
        <row r="21">
          <cell r="I21">
            <v>83.2</v>
          </cell>
          <cell r="M21">
            <v>86.3</v>
          </cell>
        </row>
        <row r="22">
          <cell r="I22">
            <v>90.05</v>
          </cell>
          <cell r="M22">
            <v>88.7</v>
          </cell>
        </row>
        <row r="23">
          <cell r="I23">
            <v>91.85</v>
          </cell>
          <cell r="M23">
            <v>92.2</v>
          </cell>
        </row>
        <row r="24">
          <cell r="I24">
            <v>89.7</v>
          </cell>
          <cell r="M24">
            <v>90.4</v>
          </cell>
        </row>
        <row r="25">
          <cell r="I25">
            <v>88.95</v>
          </cell>
          <cell r="M25">
            <v>89.8</v>
          </cell>
        </row>
        <row r="26">
          <cell r="I26">
            <v>90.85</v>
          </cell>
          <cell r="M26">
            <v>90.7</v>
          </cell>
        </row>
        <row r="27">
          <cell r="I27">
            <v>87.5</v>
          </cell>
          <cell r="M27">
            <v>88.4</v>
          </cell>
        </row>
        <row r="28">
          <cell r="I28">
            <v>93.25</v>
          </cell>
          <cell r="M28">
            <v>92.9</v>
          </cell>
        </row>
        <row r="29">
          <cell r="I29">
            <v>89</v>
          </cell>
          <cell r="M29">
            <v>89.3</v>
          </cell>
        </row>
        <row r="30">
          <cell r="I30">
            <v>91.15</v>
          </cell>
          <cell r="M30">
            <v>91.3</v>
          </cell>
        </row>
        <row r="31">
          <cell r="I31">
            <v>88.6</v>
          </cell>
          <cell r="M31">
            <v>88.8</v>
          </cell>
        </row>
        <row r="32">
          <cell r="I32">
            <v>92.15</v>
          </cell>
          <cell r="M32">
            <v>90.5</v>
          </cell>
        </row>
        <row r="33">
          <cell r="I33">
            <v>91.3</v>
          </cell>
          <cell r="M33">
            <v>89.6</v>
          </cell>
        </row>
        <row r="34">
          <cell r="I34">
            <v>90.75</v>
          </cell>
          <cell r="M34">
            <v>89.5</v>
          </cell>
        </row>
        <row r="35">
          <cell r="I35">
            <v>89.35</v>
          </cell>
          <cell r="M35">
            <v>88.3</v>
          </cell>
        </row>
        <row r="36">
          <cell r="I36">
            <v>92</v>
          </cell>
          <cell r="M36">
            <v>89.6</v>
          </cell>
        </row>
        <row r="37">
          <cell r="I37">
            <v>91.6</v>
          </cell>
          <cell r="M37">
            <v>90.5</v>
          </cell>
        </row>
        <row r="38">
          <cell r="I38">
            <v>88.5</v>
          </cell>
          <cell r="M38">
            <v>86.9</v>
          </cell>
        </row>
        <row r="39">
          <cell r="I39">
            <v>92.55</v>
          </cell>
          <cell r="M39">
            <v>89.9</v>
          </cell>
        </row>
        <row r="40">
          <cell r="I40">
            <v>94.1</v>
          </cell>
          <cell r="M40">
            <v>91.8</v>
          </cell>
        </row>
        <row r="41">
          <cell r="I41">
            <v>91.38</v>
          </cell>
          <cell r="M41">
            <v>90.9</v>
          </cell>
        </row>
      </sheetData>
      <sheetData sheetId="7">
        <row r="4">
          <cell r="I4">
            <v>87.05</v>
          </cell>
          <cell r="M4">
            <v>87.5</v>
          </cell>
        </row>
        <row r="5">
          <cell r="I5">
            <v>92.85</v>
          </cell>
          <cell r="M5">
            <v>92.9</v>
          </cell>
        </row>
        <row r="6">
          <cell r="I6">
            <v>92.1</v>
          </cell>
          <cell r="M6">
            <v>91.8</v>
          </cell>
        </row>
        <row r="7">
          <cell r="I7">
            <v>89.35</v>
          </cell>
          <cell r="M7">
            <v>90.1</v>
          </cell>
        </row>
        <row r="8">
          <cell r="I8">
            <v>89.75</v>
          </cell>
          <cell r="M8">
            <v>91.2</v>
          </cell>
        </row>
        <row r="9">
          <cell r="I9">
            <v>91.95</v>
          </cell>
          <cell r="M9">
            <v>94.1</v>
          </cell>
        </row>
        <row r="10">
          <cell r="I10">
            <v>90.8</v>
          </cell>
          <cell r="M10">
            <v>89.9</v>
          </cell>
        </row>
        <row r="11">
          <cell r="I11">
            <v>88.85</v>
          </cell>
          <cell r="M11">
            <v>88.4</v>
          </cell>
        </row>
        <row r="12">
          <cell r="I12">
            <v>89.4</v>
          </cell>
          <cell r="M12">
            <v>90.7</v>
          </cell>
        </row>
        <row r="13">
          <cell r="I13">
            <v>94.65</v>
          </cell>
          <cell r="M13">
            <v>94.5</v>
          </cell>
        </row>
        <row r="14">
          <cell r="I14">
            <v>90.7</v>
          </cell>
          <cell r="M14">
            <v>90.5</v>
          </cell>
        </row>
        <row r="15">
          <cell r="I15">
            <v>91.7</v>
          </cell>
          <cell r="M15">
            <v>91.9</v>
          </cell>
        </row>
        <row r="16">
          <cell r="I16">
            <v>87.65</v>
          </cell>
          <cell r="M16">
            <v>88.6</v>
          </cell>
        </row>
        <row r="17">
          <cell r="I17">
            <v>91.3</v>
          </cell>
          <cell r="M17">
            <v>91.6</v>
          </cell>
        </row>
        <row r="18">
          <cell r="I18">
            <v>89.55</v>
          </cell>
          <cell r="M18">
            <v>91.5</v>
          </cell>
        </row>
        <row r="19">
          <cell r="I19">
            <v>91.55</v>
          </cell>
          <cell r="M19">
            <v>91.2</v>
          </cell>
        </row>
        <row r="20">
          <cell r="I20">
            <v>89.05</v>
          </cell>
          <cell r="M20">
            <v>90.3</v>
          </cell>
        </row>
        <row r="21">
          <cell r="I21">
            <v>93.65</v>
          </cell>
          <cell r="M21">
            <v>93.2</v>
          </cell>
        </row>
        <row r="22">
          <cell r="I22">
            <v>91.9</v>
          </cell>
          <cell r="M22">
            <v>92.5</v>
          </cell>
        </row>
        <row r="23">
          <cell r="I23">
            <v>87.2</v>
          </cell>
          <cell r="M23">
            <v>91.2</v>
          </cell>
        </row>
        <row r="24">
          <cell r="I24">
            <v>88.65</v>
          </cell>
          <cell r="M24">
            <v>91.1</v>
          </cell>
        </row>
        <row r="25">
          <cell r="I25">
            <v>91.15</v>
          </cell>
          <cell r="M25">
            <v>90.8</v>
          </cell>
        </row>
        <row r="26">
          <cell r="I26">
            <v>95.3</v>
          </cell>
          <cell r="M26">
            <v>94</v>
          </cell>
        </row>
        <row r="27">
          <cell r="I27">
            <v>87.2</v>
          </cell>
          <cell r="M27">
            <v>89.2</v>
          </cell>
        </row>
        <row r="28">
          <cell r="I28">
            <v>91.2</v>
          </cell>
          <cell r="M28">
            <v>92.1</v>
          </cell>
        </row>
        <row r="29">
          <cell r="I29">
            <v>89.7</v>
          </cell>
          <cell r="M29">
            <v>91.5</v>
          </cell>
        </row>
        <row r="30">
          <cell r="I30">
            <v>87.9</v>
          </cell>
          <cell r="M30">
            <v>88.8</v>
          </cell>
        </row>
        <row r="31">
          <cell r="I31">
            <v>88.25</v>
          </cell>
          <cell r="M31">
            <v>89.4</v>
          </cell>
        </row>
        <row r="32">
          <cell r="I32">
            <v>92.9</v>
          </cell>
          <cell r="M32">
            <v>90.8</v>
          </cell>
        </row>
        <row r="33">
          <cell r="I33">
            <v>90.25</v>
          </cell>
          <cell r="M33">
            <v>89.1</v>
          </cell>
        </row>
        <row r="34">
          <cell r="I34">
            <v>90.8</v>
          </cell>
          <cell r="M34">
            <v>89</v>
          </cell>
        </row>
        <row r="35">
          <cell r="I35">
            <v>91.55</v>
          </cell>
          <cell r="M35">
            <v>89</v>
          </cell>
        </row>
        <row r="36">
          <cell r="I36">
            <v>93.9</v>
          </cell>
          <cell r="M36">
            <v>91.7</v>
          </cell>
        </row>
        <row r="37">
          <cell r="I37">
            <v>95.35</v>
          </cell>
          <cell r="M37">
            <v>95.2</v>
          </cell>
        </row>
        <row r="38">
          <cell r="I38">
            <v>94.6</v>
          </cell>
          <cell r="M38">
            <v>92.8</v>
          </cell>
        </row>
        <row r="39">
          <cell r="I39">
            <v>95.55</v>
          </cell>
          <cell r="M39">
            <v>93.5</v>
          </cell>
        </row>
        <row r="40">
          <cell r="I40">
            <v>90.05</v>
          </cell>
          <cell r="M40">
            <v>88.8</v>
          </cell>
        </row>
        <row r="41">
          <cell r="I41">
            <v>90.94</v>
          </cell>
          <cell r="M41">
            <v>90.2</v>
          </cell>
        </row>
      </sheetData>
      <sheetData sheetId="8">
        <row r="4">
          <cell r="I4">
            <v>92.55</v>
          </cell>
          <cell r="M4">
            <v>92.2</v>
          </cell>
        </row>
        <row r="5">
          <cell r="I5">
            <v>90.85</v>
          </cell>
          <cell r="M5">
            <v>91.6</v>
          </cell>
        </row>
        <row r="6">
          <cell r="I6">
            <v>91.55</v>
          </cell>
          <cell r="M6">
            <v>91.4</v>
          </cell>
        </row>
        <row r="7">
          <cell r="I7">
            <v>89.8</v>
          </cell>
          <cell r="M7">
            <v>91.1</v>
          </cell>
        </row>
        <row r="8">
          <cell r="I8">
            <v>90.15</v>
          </cell>
          <cell r="M8">
            <v>92</v>
          </cell>
        </row>
        <row r="9">
          <cell r="I9">
            <v>93.4</v>
          </cell>
          <cell r="M9">
            <v>93.5</v>
          </cell>
        </row>
        <row r="10">
          <cell r="I10">
            <v>90.8</v>
          </cell>
          <cell r="M10">
            <v>91</v>
          </cell>
        </row>
        <row r="11">
          <cell r="I11">
            <v>94.15</v>
          </cell>
          <cell r="M11">
            <v>93.9</v>
          </cell>
        </row>
        <row r="12">
          <cell r="I12">
            <v>91.65</v>
          </cell>
          <cell r="M12">
            <v>90</v>
          </cell>
        </row>
        <row r="13">
          <cell r="I13">
            <v>89.8</v>
          </cell>
          <cell r="M13">
            <v>91</v>
          </cell>
        </row>
        <row r="14">
          <cell r="I14">
            <v>92.95</v>
          </cell>
          <cell r="M14">
            <v>92.5</v>
          </cell>
        </row>
        <row r="15">
          <cell r="I15">
            <v>93.15</v>
          </cell>
          <cell r="M15">
            <v>92.5</v>
          </cell>
        </row>
        <row r="16">
          <cell r="I16">
            <v>90.75</v>
          </cell>
          <cell r="M16">
            <v>92.3</v>
          </cell>
        </row>
        <row r="17">
          <cell r="I17">
            <v>92.05</v>
          </cell>
          <cell r="M17">
            <v>93</v>
          </cell>
        </row>
        <row r="18">
          <cell r="I18">
            <v>91.4</v>
          </cell>
          <cell r="M18">
            <v>92.2</v>
          </cell>
        </row>
        <row r="19">
          <cell r="I19">
            <v>91.05</v>
          </cell>
          <cell r="M19">
            <v>92.2</v>
          </cell>
        </row>
        <row r="20">
          <cell r="I20">
            <v>88.3</v>
          </cell>
          <cell r="M20">
            <v>91.7</v>
          </cell>
        </row>
        <row r="21">
          <cell r="I21">
            <v>91.35</v>
          </cell>
          <cell r="M21">
            <v>92.3</v>
          </cell>
        </row>
        <row r="22">
          <cell r="I22">
            <v>89.95</v>
          </cell>
          <cell r="M22">
            <v>90.4</v>
          </cell>
        </row>
        <row r="23">
          <cell r="I23">
            <v>93.5</v>
          </cell>
          <cell r="M23">
            <v>91.5</v>
          </cell>
        </row>
        <row r="24">
          <cell r="I24">
            <v>90.8</v>
          </cell>
          <cell r="M24">
            <v>91.5</v>
          </cell>
        </row>
        <row r="25">
          <cell r="I25">
            <v>94.75</v>
          </cell>
          <cell r="M25">
            <v>93.3</v>
          </cell>
        </row>
        <row r="26">
          <cell r="I26">
            <v>95.95</v>
          </cell>
          <cell r="M26">
            <v>94.9</v>
          </cell>
        </row>
        <row r="27">
          <cell r="I27">
            <v>92.6</v>
          </cell>
          <cell r="M27">
            <v>92.7</v>
          </cell>
        </row>
        <row r="28">
          <cell r="I28">
            <v>89.15</v>
          </cell>
          <cell r="M28">
            <v>91.1</v>
          </cell>
        </row>
        <row r="29">
          <cell r="I29">
            <v>91.55</v>
          </cell>
          <cell r="M29">
            <v>90.9</v>
          </cell>
        </row>
        <row r="30">
          <cell r="I30">
            <v>95.25</v>
          </cell>
          <cell r="M30">
            <v>93.9</v>
          </cell>
        </row>
        <row r="31">
          <cell r="I31">
            <v>91.65</v>
          </cell>
          <cell r="M31">
            <v>90</v>
          </cell>
        </row>
        <row r="32">
          <cell r="I32">
            <v>91.25</v>
          </cell>
          <cell r="M32">
            <v>90.5</v>
          </cell>
        </row>
        <row r="33">
          <cell r="I33">
            <v>92.8</v>
          </cell>
          <cell r="M33">
            <v>92.2</v>
          </cell>
        </row>
        <row r="34">
          <cell r="I34">
            <v>91.7</v>
          </cell>
          <cell r="M34">
            <v>89.4</v>
          </cell>
        </row>
        <row r="35">
          <cell r="I35">
            <v>92.4</v>
          </cell>
          <cell r="M35">
            <v>90.3</v>
          </cell>
        </row>
        <row r="36">
          <cell r="I36">
            <v>92.75</v>
          </cell>
          <cell r="M36">
            <v>89.6</v>
          </cell>
        </row>
        <row r="37">
          <cell r="I37">
            <v>90.95</v>
          </cell>
          <cell r="M37">
            <v>89.8</v>
          </cell>
        </row>
        <row r="38">
          <cell r="I38">
            <v>93.8</v>
          </cell>
          <cell r="M38">
            <v>93.7</v>
          </cell>
        </row>
        <row r="39">
          <cell r="I39">
            <v>93.3</v>
          </cell>
          <cell r="M39">
            <v>91.1</v>
          </cell>
        </row>
        <row r="40">
          <cell r="I40">
            <v>91.25</v>
          </cell>
          <cell r="M40">
            <v>90.2</v>
          </cell>
        </row>
      </sheetData>
      <sheetData sheetId="9">
        <row r="4">
          <cell r="M4">
            <v>92.2</v>
          </cell>
        </row>
        <row r="5">
          <cell r="M5">
            <v>92.9</v>
          </cell>
        </row>
        <row r="6">
          <cell r="M6">
            <v>91.2</v>
          </cell>
        </row>
        <row r="7">
          <cell r="M7">
            <v>91.1</v>
          </cell>
        </row>
        <row r="8">
          <cell r="M8">
            <v>87.4</v>
          </cell>
        </row>
        <row r="9">
          <cell r="M9">
            <v>94.1</v>
          </cell>
        </row>
        <row r="10">
          <cell r="M10">
            <v>90.4</v>
          </cell>
        </row>
        <row r="11">
          <cell r="M11">
            <v>92.1</v>
          </cell>
        </row>
        <row r="12">
          <cell r="M12">
            <v>92</v>
          </cell>
        </row>
        <row r="13">
          <cell r="M13">
            <v>94.5</v>
          </cell>
        </row>
        <row r="14">
          <cell r="M14">
            <v>93</v>
          </cell>
        </row>
        <row r="15">
          <cell r="M15">
            <v>92.5</v>
          </cell>
        </row>
        <row r="16">
          <cell r="M16">
            <v>92.3</v>
          </cell>
        </row>
        <row r="17">
          <cell r="M17">
            <v>92.7</v>
          </cell>
        </row>
        <row r="18">
          <cell r="M18">
            <v>91.5</v>
          </cell>
        </row>
        <row r="19">
          <cell r="M19">
            <v>91.8</v>
          </cell>
        </row>
        <row r="20">
          <cell r="M20">
            <v>91.7</v>
          </cell>
        </row>
        <row r="21">
          <cell r="M21">
            <v>93</v>
          </cell>
        </row>
        <row r="22">
          <cell r="M22">
            <v>92.5</v>
          </cell>
        </row>
        <row r="23">
          <cell r="M23">
            <v>94.3</v>
          </cell>
        </row>
        <row r="24">
          <cell r="M24">
            <v>91.5</v>
          </cell>
        </row>
        <row r="25">
          <cell r="M25">
            <v>93.3</v>
          </cell>
        </row>
        <row r="26">
          <cell r="M26">
            <v>94.9</v>
          </cell>
        </row>
        <row r="27">
          <cell r="M27">
            <v>91.3</v>
          </cell>
        </row>
        <row r="28">
          <cell r="M28">
            <v>91.7</v>
          </cell>
        </row>
        <row r="29">
          <cell r="M29">
            <v>90</v>
          </cell>
        </row>
        <row r="30">
          <cell r="M30">
            <v>93.9</v>
          </cell>
        </row>
        <row r="31">
          <cell r="M31">
            <v>90</v>
          </cell>
        </row>
        <row r="32">
          <cell r="M32">
            <v>90.8</v>
          </cell>
        </row>
        <row r="33">
          <cell r="M33">
            <v>92.1</v>
          </cell>
        </row>
        <row r="34">
          <cell r="M34">
            <v>90</v>
          </cell>
        </row>
        <row r="35">
          <cell r="M35">
            <v>93.1</v>
          </cell>
        </row>
        <row r="36">
          <cell r="M36">
            <v>90.7</v>
          </cell>
        </row>
        <row r="37">
          <cell r="M37">
            <v>95.2</v>
          </cell>
        </row>
        <row r="38">
          <cell r="M38">
            <v>93.7</v>
          </cell>
        </row>
        <row r="39">
          <cell r="M39">
            <v>93.5</v>
          </cell>
        </row>
        <row r="40">
          <cell r="M40">
            <v>89.1</v>
          </cell>
        </row>
      </sheetData>
      <sheetData sheetId="10" refreshError="1"/>
      <sheetData sheetId="11">
        <row r="4">
          <cell r="J4">
            <v>85.9</v>
          </cell>
          <cell r="M4">
            <v>88.2</v>
          </cell>
        </row>
        <row r="5">
          <cell r="J5">
            <v>90.5</v>
          </cell>
          <cell r="M5">
            <v>89.9</v>
          </cell>
        </row>
        <row r="6">
          <cell r="J6">
            <v>90.6</v>
          </cell>
          <cell r="M6">
            <v>91</v>
          </cell>
        </row>
        <row r="7">
          <cell r="J7">
            <v>89.9</v>
          </cell>
          <cell r="M7">
            <v>89.8</v>
          </cell>
        </row>
        <row r="8">
          <cell r="J8">
            <v>87.6</v>
          </cell>
          <cell r="M8">
            <v>88.9</v>
          </cell>
        </row>
        <row r="9">
          <cell r="J9">
            <v>87.5</v>
          </cell>
          <cell r="M9">
            <v>88.8</v>
          </cell>
        </row>
        <row r="10">
          <cell r="J10">
            <v>90.3</v>
          </cell>
          <cell r="M10">
            <v>90.4</v>
          </cell>
        </row>
        <row r="11">
          <cell r="J11">
            <v>91.5</v>
          </cell>
          <cell r="M11">
            <v>91.6</v>
          </cell>
        </row>
        <row r="12">
          <cell r="J12">
            <v>90.4</v>
          </cell>
          <cell r="M12">
            <v>90.3</v>
          </cell>
        </row>
        <row r="13">
          <cell r="J13">
            <v>88.8</v>
          </cell>
          <cell r="M13">
            <v>89.7</v>
          </cell>
        </row>
        <row r="14">
          <cell r="J14">
            <v>88.5</v>
          </cell>
          <cell r="M14">
            <v>90</v>
          </cell>
        </row>
        <row r="15">
          <cell r="J15">
            <v>90.4</v>
          </cell>
          <cell r="M15">
            <v>91.3</v>
          </cell>
        </row>
        <row r="16">
          <cell r="J16">
            <v>89.6</v>
          </cell>
          <cell r="M16">
            <v>90.5</v>
          </cell>
        </row>
        <row r="17">
          <cell r="J17">
            <v>89.5</v>
          </cell>
          <cell r="M17">
            <v>89.5</v>
          </cell>
        </row>
        <row r="18">
          <cell r="J18">
            <v>91.7</v>
          </cell>
          <cell r="M18">
            <v>92.4</v>
          </cell>
        </row>
        <row r="19">
          <cell r="J19">
            <v>92</v>
          </cell>
          <cell r="M19">
            <v>91.2</v>
          </cell>
        </row>
        <row r="20">
          <cell r="J20">
            <v>89.9</v>
          </cell>
          <cell r="M20">
            <v>90.2</v>
          </cell>
        </row>
        <row r="21">
          <cell r="J21">
            <v>90.4</v>
          </cell>
          <cell r="M21">
            <v>91.1</v>
          </cell>
        </row>
        <row r="22">
          <cell r="J22">
            <v>91.3</v>
          </cell>
          <cell r="M22">
            <v>90.5</v>
          </cell>
        </row>
        <row r="23">
          <cell r="J23">
            <v>90</v>
          </cell>
          <cell r="M23">
            <v>90.5</v>
          </cell>
        </row>
        <row r="24">
          <cell r="J24">
            <v>91.7</v>
          </cell>
          <cell r="M24">
            <v>90.7</v>
          </cell>
        </row>
        <row r="25">
          <cell r="J25">
            <v>89.3</v>
          </cell>
          <cell r="M25">
            <v>89.1</v>
          </cell>
        </row>
        <row r="26">
          <cell r="J26">
            <v>91.4</v>
          </cell>
          <cell r="M26">
            <v>90.7</v>
          </cell>
        </row>
        <row r="27">
          <cell r="J27">
            <v>92.5</v>
          </cell>
          <cell r="M27">
            <v>92.5</v>
          </cell>
        </row>
        <row r="28">
          <cell r="J28">
            <v>86.4</v>
          </cell>
          <cell r="M28">
            <v>88.7</v>
          </cell>
        </row>
        <row r="29">
          <cell r="J29">
            <v>89.4</v>
          </cell>
          <cell r="M29">
            <v>88.8</v>
          </cell>
        </row>
        <row r="30">
          <cell r="J30">
            <v>88</v>
          </cell>
          <cell r="M30">
            <v>89.2</v>
          </cell>
        </row>
        <row r="31">
          <cell r="J31">
            <v>89.4</v>
          </cell>
          <cell r="M31">
            <v>89</v>
          </cell>
        </row>
        <row r="32">
          <cell r="J32">
            <v>91</v>
          </cell>
          <cell r="M32">
            <v>90</v>
          </cell>
        </row>
        <row r="33">
          <cell r="J33">
            <v>91.8</v>
          </cell>
          <cell r="M33">
            <v>91.5</v>
          </cell>
        </row>
        <row r="34">
          <cell r="J34">
            <v>89.3</v>
          </cell>
          <cell r="M34">
            <v>87.9</v>
          </cell>
        </row>
        <row r="35">
          <cell r="J35">
            <v>89.7</v>
          </cell>
          <cell r="M35">
            <v>88.8</v>
          </cell>
        </row>
        <row r="36">
          <cell r="J36">
            <v>90.9</v>
          </cell>
          <cell r="M36">
            <v>90.2</v>
          </cell>
        </row>
        <row r="37">
          <cell r="J37">
            <v>87.7</v>
          </cell>
          <cell r="M37">
            <v>86.4</v>
          </cell>
        </row>
        <row r="38">
          <cell r="J38">
            <v>91.5</v>
          </cell>
          <cell r="M38">
            <v>89.9</v>
          </cell>
        </row>
        <row r="39">
          <cell r="J39">
            <v>91.1</v>
          </cell>
          <cell r="M39">
            <v>89.6</v>
          </cell>
        </row>
        <row r="40">
          <cell r="J40">
            <v>88.6</v>
          </cell>
          <cell r="M40">
            <v>88.3</v>
          </cell>
        </row>
      </sheetData>
      <sheetData sheetId="12">
        <row r="4">
          <cell r="J4">
            <v>82.9</v>
          </cell>
          <cell r="M4">
            <v>84.9</v>
          </cell>
        </row>
        <row r="5">
          <cell r="J5">
            <v>89.2</v>
          </cell>
          <cell r="M5">
            <v>89.6</v>
          </cell>
        </row>
        <row r="6">
          <cell r="J6">
            <v>89.4</v>
          </cell>
          <cell r="M6">
            <v>88.9</v>
          </cell>
        </row>
        <row r="7">
          <cell r="J7">
            <v>85.4</v>
          </cell>
          <cell r="M7">
            <v>86.5</v>
          </cell>
        </row>
        <row r="8">
          <cell r="J8">
            <v>82.7</v>
          </cell>
          <cell r="M8">
            <v>84.3</v>
          </cell>
        </row>
        <row r="9">
          <cell r="J9">
            <v>85.2</v>
          </cell>
          <cell r="M9">
            <v>85.6</v>
          </cell>
        </row>
        <row r="10">
          <cell r="J10">
            <v>84.6</v>
          </cell>
          <cell r="M10">
            <v>84.7</v>
          </cell>
        </row>
        <row r="11">
          <cell r="J11">
            <v>85.9</v>
          </cell>
          <cell r="M11">
            <v>86.9</v>
          </cell>
        </row>
        <row r="12">
          <cell r="J12">
            <v>79.099999999999994</v>
          </cell>
          <cell r="M12">
            <v>82.5</v>
          </cell>
        </row>
        <row r="13">
          <cell r="J13">
            <v>89.3</v>
          </cell>
          <cell r="M13">
            <v>88.8</v>
          </cell>
        </row>
        <row r="14">
          <cell r="J14">
            <v>87.9</v>
          </cell>
          <cell r="M14">
            <v>90</v>
          </cell>
        </row>
        <row r="15">
          <cell r="J15">
            <v>83.1</v>
          </cell>
          <cell r="M15">
            <v>84.2</v>
          </cell>
        </row>
        <row r="16">
          <cell r="J16">
            <v>86.3</v>
          </cell>
          <cell r="M16">
            <v>87.5</v>
          </cell>
        </row>
        <row r="17">
          <cell r="J17">
            <v>81.599999999999994</v>
          </cell>
          <cell r="M17">
            <v>85.1</v>
          </cell>
        </row>
        <row r="18">
          <cell r="J18">
            <v>86.4</v>
          </cell>
          <cell r="M18">
            <v>88.2</v>
          </cell>
        </row>
        <row r="19">
          <cell r="J19">
            <v>88.1</v>
          </cell>
          <cell r="M19">
            <v>86.5</v>
          </cell>
        </row>
        <row r="20">
          <cell r="J20">
            <v>84.7</v>
          </cell>
          <cell r="M20">
            <v>85.7</v>
          </cell>
        </row>
        <row r="21">
          <cell r="J21">
            <v>88.4</v>
          </cell>
          <cell r="M21">
            <v>87.9</v>
          </cell>
        </row>
        <row r="22">
          <cell r="J22">
            <v>86.2</v>
          </cell>
          <cell r="M22">
            <v>85.7</v>
          </cell>
        </row>
        <row r="23">
          <cell r="J23">
            <v>87.8</v>
          </cell>
          <cell r="M23">
            <v>87.7</v>
          </cell>
        </row>
        <row r="24">
          <cell r="J24">
            <v>83.3</v>
          </cell>
          <cell r="M24">
            <v>83.2</v>
          </cell>
        </row>
        <row r="25">
          <cell r="J25">
            <v>88.6</v>
          </cell>
          <cell r="M25">
            <v>88.2</v>
          </cell>
        </row>
        <row r="26">
          <cell r="J26">
            <v>89.4</v>
          </cell>
          <cell r="M26">
            <v>88.7</v>
          </cell>
        </row>
        <row r="27">
          <cell r="J27">
            <v>84.8</v>
          </cell>
          <cell r="M27">
            <v>85.7</v>
          </cell>
        </row>
        <row r="28">
          <cell r="J28">
            <v>86.9</v>
          </cell>
          <cell r="M28">
            <v>87.8</v>
          </cell>
        </row>
        <row r="29">
          <cell r="J29">
            <v>86.1</v>
          </cell>
          <cell r="M29">
            <v>85.7</v>
          </cell>
        </row>
        <row r="30">
          <cell r="J30">
            <v>89.8</v>
          </cell>
          <cell r="M30">
            <v>88.4</v>
          </cell>
        </row>
        <row r="31">
          <cell r="J31">
            <v>86.1</v>
          </cell>
          <cell r="M31">
            <v>86.4</v>
          </cell>
        </row>
        <row r="32">
          <cell r="J32">
            <v>86.2</v>
          </cell>
          <cell r="M32">
            <v>84.8</v>
          </cell>
        </row>
        <row r="33">
          <cell r="J33">
            <v>87.5</v>
          </cell>
          <cell r="M33">
            <v>86.9</v>
          </cell>
        </row>
        <row r="34">
          <cell r="J34">
            <v>88.3</v>
          </cell>
          <cell r="M34">
            <v>87</v>
          </cell>
        </row>
        <row r="35">
          <cell r="J35">
            <v>88.7</v>
          </cell>
          <cell r="M35">
            <v>86.7</v>
          </cell>
        </row>
        <row r="36">
          <cell r="J36">
            <v>87.7</v>
          </cell>
          <cell r="M36">
            <v>85.5</v>
          </cell>
        </row>
        <row r="37">
          <cell r="J37">
            <v>90.5</v>
          </cell>
          <cell r="M37">
            <v>89.5</v>
          </cell>
        </row>
        <row r="38">
          <cell r="J38">
            <v>88</v>
          </cell>
          <cell r="M38">
            <v>87</v>
          </cell>
        </row>
        <row r="39">
          <cell r="J39">
            <v>84.8</v>
          </cell>
          <cell r="M39">
            <v>83.6</v>
          </cell>
        </row>
        <row r="40">
          <cell r="J40">
            <v>89.1</v>
          </cell>
          <cell r="M40">
            <v>87.4</v>
          </cell>
        </row>
      </sheetData>
      <sheetData sheetId="13">
        <row r="4">
          <cell r="J4">
            <v>40.6</v>
          </cell>
          <cell r="K4">
            <v>48.7</v>
          </cell>
          <cell r="L4">
            <v>43.3</v>
          </cell>
          <cell r="M4">
            <v>41.9</v>
          </cell>
        </row>
        <row r="5">
          <cell r="J5">
            <v>48.3</v>
          </cell>
          <cell r="K5">
            <v>56.2</v>
          </cell>
          <cell r="L5">
            <v>50.9</v>
          </cell>
          <cell r="M5">
            <v>47.4</v>
          </cell>
        </row>
        <row r="6">
          <cell r="J6">
            <v>76.8</v>
          </cell>
          <cell r="K6">
            <v>74.900000000000006</v>
          </cell>
          <cell r="L6">
            <v>76.2</v>
          </cell>
          <cell r="M6">
            <v>80.900000000000006</v>
          </cell>
        </row>
        <row r="7">
          <cell r="J7">
            <v>40.6</v>
          </cell>
          <cell r="K7">
            <v>49.1</v>
          </cell>
          <cell r="L7">
            <v>43.4</v>
          </cell>
          <cell r="M7">
            <v>39.299999999999997</v>
          </cell>
        </row>
        <row r="8">
          <cell r="J8">
            <v>48.6</v>
          </cell>
          <cell r="K8">
            <v>48.7</v>
          </cell>
          <cell r="L8">
            <v>48.6</v>
          </cell>
          <cell r="M8">
            <v>46.4</v>
          </cell>
        </row>
        <row r="9">
          <cell r="J9">
            <v>40.299999999999997</v>
          </cell>
          <cell r="K9">
            <v>49.9</v>
          </cell>
          <cell r="L9">
            <v>43.5</v>
          </cell>
          <cell r="M9">
            <v>39.700000000000003</v>
          </cell>
        </row>
        <row r="10">
          <cell r="J10">
            <v>76.400000000000006</v>
          </cell>
          <cell r="K10">
            <v>74.900000000000006</v>
          </cell>
          <cell r="L10">
            <v>75.900000000000006</v>
          </cell>
          <cell r="M10">
            <v>78.900000000000006</v>
          </cell>
        </row>
        <row r="11">
          <cell r="J11">
            <v>43.1</v>
          </cell>
          <cell r="K11">
            <v>50.8</v>
          </cell>
          <cell r="L11">
            <v>45.6</v>
          </cell>
          <cell r="M11">
            <v>42.4</v>
          </cell>
        </row>
        <row r="12">
          <cell r="J12">
            <v>45.1</v>
          </cell>
          <cell r="K12">
            <v>52.7</v>
          </cell>
          <cell r="L12">
            <v>47.6</v>
          </cell>
          <cell r="M12">
            <v>44.1</v>
          </cell>
        </row>
        <row r="13">
          <cell r="J13">
            <v>77.599999999999994</v>
          </cell>
          <cell r="K13">
            <v>74.7</v>
          </cell>
          <cell r="L13">
            <v>76.599999999999994</v>
          </cell>
          <cell r="M13">
            <v>80.8</v>
          </cell>
        </row>
        <row r="14">
          <cell r="J14">
            <v>78.5</v>
          </cell>
          <cell r="K14">
            <v>76.7</v>
          </cell>
          <cell r="L14">
            <v>77.900000000000006</v>
          </cell>
          <cell r="M14">
            <v>81.400000000000006</v>
          </cell>
        </row>
        <row r="15">
          <cell r="J15">
            <v>50.3</v>
          </cell>
          <cell r="K15">
            <v>55.1</v>
          </cell>
          <cell r="L15">
            <v>51.9</v>
          </cell>
          <cell r="M15">
            <v>49.1</v>
          </cell>
        </row>
        <row r="16">
          <cell r="J16">
            <v>77</v>
          </cell>
          <cell r="K16">
            <v>74.5</v>
          </cell>
          <cell r="L16">
            <v>76.2</v>
          </cell>
          <cell r="M16">
            <v>81</v>
          </cell>
        </row>
        <row r="17">
          <cell r="J17">
            <v>76.400000000000006</v>
          </cell>
          <cell r="K17">
            <v>73.900000000000006</v>
          </cell>
          <cell r="L17">
            <v>75.5</v>
          </cell>
          <cell r="M17">
            <v>81.099999999999994</v>
          </cell>
        </row>
        <row r="18">
          <cell r="J18">
            <v>77.400000000000006</v>
          </cell>
          <cell r="K18">
            <v>76.3</v>
          </cell>
          <cell r="L18">
            <v>77</v>
          </cell>
          <cell r="M18">
            <v>80.3</v>
          </cell>
        </row>
        <row r="19">
          <cell r="J19">
            <v>43.4</v>
          </cell>
          <cell r="K19">
            <v>48.7</v>
          </cell>
          <cell r="L19">
            <v>45.1</v>
          </cell>
          <cell r="M19">
            <v>42.8</v>
          </cell>
        </row>
        <row r="20">
          <cell r="J20">
            <v>42.6</v>
          </cell>
          <cell r="K20">
            <v>49.5</v>
          </cell>
          <cell r="L20">
            <v>44.9</v>
          </cell>
          <cell r="M20">
            <v>42.5</v>
          </cell>
        </row>
        <row r="21">
          <cell r="J21">
            <v>39.299999999999997</v>
          </cell>
          <cell r="K21">
            <v>49.6</v>
          </cell>
          <cell r="L21">
            <v>42.7</v>
          </cell>
          <cell r="M21">
            <v>39</v>
          </cell>
        </row>
        <row r="22">
          <cell r="J22">
            <v>77.8</v>
          </cell>
          <cell r="K22">
            <v>75.2</v>
          </cell>
          <cell r="L22">
            <v>76.900000000000006</v>
          </cell>
          <cell r="M22">
            <v>81.599999999999994</v>
          </cell>
        </row>
        <row r="23">
          <cell r="J23">
            <v>45.4</v>
          </cell>
          <cell r="K23">
            <v>49.6</v>
          </cell>
          <cell r="L23">
            <v>46.8</v>
          </cell>
          <cell r="M23">
            <v>44.5</v>
          </cell>
        </row>
        <row r="24">
          <cell r="J24">
            <v>83.9</v>
          </cell>
          <cell r="K24">
            <v>74.8</v>
          </cell>
          <cell r="L24">
            <v>80.900000000000006</v>
          </cell>
          <cell r="M24">
            <v>83.1</v>
          </cell>
        </row>
        <row r="25">
          <cell r="J25">
            <v>43.7</v>
          </cell>
          <cell r="K25">
            <v>55.6</v>
          </cell>
          <cell r="L25">
            <v>47.6</v>
          </cell>
          <cell r="M25">
            <v>44.4</v>
          </cell>
        </row>
        <row r="26">
          <cell r="J26">
            <v>76.3</v>
          </cell>
          <cell r="K26">
            <v>75</v>
          </cell>
          <cell r="L26">
            <v>75.900000000000006</v>
          </cell>
          <cell r="M26">
            <v>80.2</v>
          </cell>
        </row>
        <row r="27">
          <cell r="J27">
            <v>75.099999999999994</v>
          </cell>
          <cell r="K27">
            <v>75.400000000000006</v>
          </cell>
          <cell r="L27">
            <v>75.2</v>
          </cell>
          <cell r="M27">
            <v>76.900000000000006</v>
          </cell>
        </row>
        <row r="28">
          <cell r="J28">
            <v>40.6</v>
          </cell>
          <cell r="K28">
            <v>49.6</v>
          </cell>
          <cell r="L28">
            <v>43.6</v>
          </cell>
          <cell r="M28">
            <v>40.6</v>
          </cell>
        </row>
        <row r="29">
          <cell r="J29">
            <v>76.2</v>
          </cell>
          <cell r="K29">
            <v>73.5</v>
          </cell>
          <cell r="L29">
            <v>75.3</v>
          </cell>
          <cell r="M29">
            <v>79</v>
          </cell>
        </row>
        <row r="30">
          <cell r="J30">
            <v>85</v>
          </cell>
          <cell r="K30">
            <v>76.2</v>
          </cell>
          <cell r="L30">
            <v>82</v>
          </cell>
          <cell r="M30">
            <v>84</v>
          </cell>
        </row>
        <row r="31">
          <cell r="J31">
            <v>83.6</v>
          </cell>
          <cell r="K31">
            <v>78.2</v>
          </cell>
          <cell r="L31">
            <v>81.8</v>
          </cell>
          <cell r="M31">
            <v>82.5</v>
          </cell>
        </row>
        <row r="32">
          <cell r="J32">
            <v>86.1</v>
          </cell>
          <cell r="K32">
            <v>77.3</v>
          </cell>
          <cell r="L32">
            <v>83.1</v>
          </cell>
          <cell r="M32">
            <v>84.6</v>
          </cell>
        </row>
        <row r="33">
          <cell r="J33">
            <v>82.9</v>
          </cell>
          <cell r="K33">
            <v>74.3</v>
          </cell>
          <cell r="L33">
            <v>80</v>
          </cell>
          <cell r="M33">
            <v>81.7</v>
          </cell>
        </row>
        <row r="34">
          <cell r="J34">
            <v>78.099999999999994</v>
          </cell>
          <cell r="K34">
            <v>75.099999999999994</v>
          </cell>
          <cell r="L34">
            <v>77.099999999999994</v>
          </cell>
          <cell r="M34">
            <v>81</v>
          </cell>
        </row>
        <row r="35">
          <cell r="J35">
            <v>81.7</v>
          </cell>
          <cell r="K35">
            <v>76.5</v>
          </cell>
          <cell r="L35">
            <v>79.900000000000006</v>
          </cell>
          <cell r="M35">
            <v>80.900000000000006</v>
          </cell>
        </row>
        <row r="36">
          <cell r="J36">
            <v>42.4</v>
          </cell>
          <cell r="K36">
            <v>50.1</v>
          </cell>
          <cell r="L36">
            <v>45</v>
          </cell>
          <cell r="M36">
            <v>42.9</v>
          </cell>
        </row>
        <row r="37">
          <cell r="J37">
            <v>81.7</v>
          </cell>
          <cell r="K37">
            <v>77.400000000000006</v>
          </cell>
          <cell r="L37">
            <v>80.3</v>
          </cell>
          <cell r="M37">
            <v>79.900000000000006</v>
          </cell>
        </row>
        <row r="38">
          <cell r="J38">
            <v>82.9</v>
          </cell>
          <cell r="K38">
            <v>73.3</v>
          </cell>
          <cell r="L38">
            <v>79.7</v>
          </cell>
          <cell r="M38">
            <v>82.5</v>
          </cell>
        </row>
        <row r="39">
          <cell r="J39">
            <v>82.9</v>
          </cell>
          <cell r="K39">
            <v>76.3</v>
          </cell>
          <cell r="L39">
            <v>80.7</v>
          </cell>
          <cell r="M39">
            <v>81.5</v>
          </cell>
        </row>
        <row r="40">
          <cell r="J40">
            <v>48.3</v>
          </cell>
          <cell r="K40">
            <v>56.4</v>
          </cell>
          <cell r="L40">
            <v>50.9</v>
          </cell>
          <cell r="M40">
            <v>47.8</v>
          </cell>
        </row>
      </sheetData>
      <sheetData sheetId="14">
        <row r="4">
          <cell r="J4">
            <v>38.1</v>
          </cell>
          <cell r="K4">
            <v>40.4</v>
          </cell>
          <cell r="L4">
            <v>38.799999999999997</v>
          </cell>
        </row>
        <row r="5">
          <cell r="J5">
            <v>36.799999999999997</v>
          </cell>
          <cell r="K5">
            <v>41.3</v>
          </cell>
          <cell r="L5">
            <v>38.299999999999997</v>
          </cell>
        </row>
        <row r="6">
          <cell r="J6">
            <v>47.7</v>
          </cell>
          <cell r="K6">
            <v>51.9</v>
          </cell>
          <cell r="L6">
            <v>49</v>
          </cell>
        </row>
        <row r="7">
          <cell r="J7">
            <v>43</v>
          </cell>
          <cell r="K7">
            <v>44.3</v>
          </cell>
          <cell r="L7">
            <v>43.4</v>
          </cell>
        </row>
        <row r="8">
          <cell r="J8">
            <v>39.6</v>
          </cell>
          <cell r="K8">
            <v>44.9</v>
          </cell>
          <cell r="L8">
            <v>41.4</v>
          </cell>
        </row>
        <row r="9">
          <cell r="J9">
            <v>32.200000000000003</v>
          </cell>
          <cell r="K9">
            <v>34.299999999999997</v>
          </cell>
          <cell r="L9">
            <v>32.9</v>
          </cell>
        </row>
        <row r="10">
          <cell r="J10">
            <v>41</v>
          </cell>
          <cell r="K10">
            <v>45.9</v>
          </cell>
          <cell r="L10">
            <v>42.6</v>
          </cell>
        </row>
        <row r="11">
          <cell r="J11">
            <v>37.1</v>
          </cell>
          <cell r="K11">
            <v>34.6</v>
          </cell>
          <cell r="L11">
            <v>36.299999999999997</v>
          </cell>
        </row>
        <row r="12">
          <cell r="J12">
            <v>40.9</v>
          </cell>
          <cell r="K12">
            <v>42.5</v>
          </cell>
          <cell r="L12">
            <v>41.4</v>
          </cell>
        </row>
        <row r="13">
          <cell r="J13">
            <v>28.7</v>
          </cell>
          <cell r="K13">
            <v>41.2</v>
          </cell>
          <cell r="L13">
            <v>32.799999999999997</v>
          </cell>
        </row>
        <row r="14">
          <cell r="J14">
            <v>76.7</v>
          </cell>
          <cell r="K14">
            <v>73.8</v>
          </cell>
          <cell r="L14">
            <v>75.7</v>
          </cell>
        </row>
        <row r="15">
          <cell r="J15">
            <v>41.4</v>
          </cell>
          <cell r="K15">
            <v>46.2</v>
          </cell>
          <cell r="L15">
            <v>43</v>
          </cell>
        </row>
        <row r="16">
          <cell r="J16">
            <v>35.200000000000003</v>
          </cell>
          <cell r="K16">
            <v>41.7</v>
          </cell>
          <cell r="L16">
            <v>37.299999999999997</v>
          </cell>
        </row>
        <row r="17">
          <cell r="J17">
            <v>30.3</v>
          </cell>
          <cell r="K17">
            <v>38.5</v>
          </cell>
          <cell r="L17">
            <v>33</v>
          </cell>
        </row>
        <row r="18">
          <cell r="J18">
            <v>43.8</v>
          </cell>
          <cell r="K18">
            <v>53.7</v>
          </cell>
          <cell r="L18">
            <v>47</v>
          </cell>
        </row>
        <row r="19">
          <cell r="J19">
            <v>40.6</v>
          </cell>
          <cell r="K19">
            <v>47.8</v>
          </cell>
          <cell r="L19">
            <v>43</v>
          </cell>
        </row>
        <row r="20">
          <cell r="J20">
            <v>44.6</v>
          </cell>
          <cell r="K20">
            <v>55.8</v>
          </cell>
          <cell r="L20">
            <v>48.3</v>
          </cell>
        </row>
        <row r="21">
          <cell r="J21">
            <v>37.6</v>
          </cell>
          <cell r="K21">
            <v>45.2</v>
          </cell>
          <cell r="L21">
            <v>40.1</v>
          </cell>
        </row>
        <row r="22">
          <cell r="J22">
            <v>72.900000000000006</v>
          </cell>
          <cell r="K22">
            <v>73</v>
          </cell>
          <cell r="L22">
            <v>72.900000000000006</v>
          </cell>
        </row>
        <row r="23">
          <cell r="J23">
            <v>37</v>
          </cell>
          <cell r="K23">
            <v>40.1</v>
          </cell>
          <cell r="L23">
            <v>38</v>
          </cell>
        </row>
        <row r="24">
          <cell r="J24">
            <v>41.5</v>
          </cell>
          <cell r="K24">
            <v>38.1</v>
          </cell>
          <cell r="L24">
            <v>40.4</v>
          </cell>
        </row>
        <row r="25">
          <cell r="J25">
            <v>49.3</v>
          </cell>
          <cell r="K25">
            <v>49.6</v>
          </cell>
          <cell r="L25">
            <v>49.4</v>
          </cell>
        </row>
        <row r="26">
          <cell r="J26">
            <v>43.4</v>
          </cell>
          <cell r="K26">
            <v>55.4</v>
          </cell>
          <cell r="L26">
            <v>47.3</v>
          </cell>
        </row>
        <row r="27">
          <cell r="J27">
            <v>40.4</v>
          </cell>
          <cell r="K27">
            <v>49.5</v>
          </cell>
          <cell r="L27">
            <v>43.4</v>
          </cell>
        </row>
        <row r="28">
          <cell r="J28">
            <v>29.4</v>
          </cell>
          <cell r="K28">
            <v>39.799999999999997</v>
          </cell>
          <cell r="L28">
            <v>32.9</v>
          </cell>
        </row>
        <row r="29">
          <cell r="J29">
            <v>44.2</v>
          </cell>
          <cell r="K29">
            <v>47.4</v>
          </cell>
          <cell r="L29">
            <v>45.2</v>
          </cell>
        </row>
        <row r="30">
          <cell r="J30">
            <v>43</v>
          </cell>
          <cell r="K30">
            <v>46.5</v>
          </cell>
          <cell r="L30">
            <v>44.2</v>
          </cell>
        </row>
        <row r="31">
          <cell r="J31">
            <v>42.4</v>
          </cell>
          <cell r="K31">
            <v>44.4</v>
          </cell>
          <cell r="L31">
            <v>43.1</v>
          </cell>
        </row>
        <row r="32">
          <cell r="J32">
            <v>36</v>
          </cell>
          <cell r="K32">
            <v>46.4</v>
          </cell>
          <cell r="L32">
            <v>39.4</v>
          </cell>
        </row>
        <row r="33">
          <cell r="J33">
            <v>40.700000000000003</v>
          </cell>
          <cell r="K33">
            <v>48.9</v>
          </cell>
          <cell r="L33">
            <v>43.4</v>
          </cell>
        </row>
        <row r="34">
          <cell r="J34">
            <v>49.6</v>
          </cell>
          <cell r="K34">
            <v>54.3</v>
          </cell>
          <cell r="L34">
            <v>51.1</v>
          </cell>
        </row>
        <row r="35">
          <cell r="J35">
            <v>43.4</v>
          </cell>
          <cell r="K35">
            <v>46.9</v>
          </cell>
          <cell r="L35">
            <v>44.5</v>
          </cell>
        </row>
        <row r="36">
          <cell r="J36">
            <v>40.5</v>
          </cell>
          <cell r="K36">
            <v>49.1</v>
          </cell>
          <cell r="L36">
            <v>43.4</v>
          </cell>
        </row>
        <row r="37">
          <cell r="J37">
            <v>38.9</v>
          </cell>
          <cell r="K37">
            <v>50.8</v>
          </cell>
          <cell r="L37">
            <v>42.8</v>
          </cell>
        </row>
        <row r="38">
          <cell r="J38">
            <v>31</v>
          </cell>
          <cell r="K38">
            <v>40.799999999999997</v>
          </cell>
          <cell r="L38">
            <v>34.200000000000003</v>
          </cell>
        </row>
        <row r="39">
          <cell r="J39">
            <v>75.3</v>
          </cell>
          <cell r="K39">
            <v>71.2</v>
          </cell>
          <cell r="L39">
            <v>73.900000000000006</v>
          </cell>
        </row>
        <row r="40">
          <cell r="J40">
            <v>39.700000000000003</v>
          </cell>
          <cell r="K40">
            <v>48.1</v>
          </cell>
          <cell r="L40">
            <v>42.5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Hist"/>
    </sheetNames>
    <sheetDataSet>
      <sheetData sheetId="0">
        <row r="6">
          <cell r="G6">
            <v>4391</v>
          </cell>
          <cell r="H6">
            <v>3720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U6">
            <v>0</v>
          </cell>
          <cell r="V6">
            <v>0</v>
          </cell>
        </row>
        <row r="7">
          <cell r="G7">
            <v>4419</v>
          </cell>
          <cell r="H7">
            <v>3631</v>
          </cell>
          <cell r="K7">
            <v>788</v>
          </cell>
          <cell r="L7">
            <v>290</v>
          </cell>
          <cell r="M7">
            <v>0</v>
          </cell>
          <cell r="N7">
            <v>0</v>
          </cell>
          <cell r="O7">
            <v>0</v>
          </cell>
          <cell r="P7">
            <v>141</v>
          </cell>
          <cell r="U7">
            <v>0</v>
          </cell>
          <cell r="V7">
            <v>0</v>
          </cell>
        </row>
        <row r="8">
          <cell r="G8">
            <v>2701</v>
          </cell>
          <cell r="H8">
            <v>2267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U8">
            <v>0</v>
          </cell>
          <cell r="V8">
            <v>0</v>
          </cell>
        </row>
        <row r="9">
          <cell r="G9">
            <v>3377</v>
          </cell>
          <cell r="H9">
            <v>2761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U9">
            <v>0</v>
          </cell>
          <cell r="V9">
            <v>0</v>
          </cell>
        </row>
        <row r="10">
          <cell r="G10">
            <v>3632</v>
          </cell>
          <cell r="H10">
            <v>3008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U10">
            <v>0</v>
          </cell>
          <cell r="V10">
            <v>0</v>
          </cell>
        </row>
        <row r="11">
          <cell r="G11">
            <v>3952</v>
          </cell>
          <cell r="H11">
            <v>3203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U11">
            <v>0</v>
          </cell>
          <cell r="V11">
            <v>0</v>
          </cell>
        </row>
        <row r="12">
          <cell r="G12">
            <v>3995</v>
          </cell>
          <cell r="H12">
            <v>2903</v>
          </cell>
          <cell r="L12">
            <v>40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U12">
            <v>0</v>
          </cell>
          <cell r="V12">
            <v>0</v>
          </cell>
          <cell r="AA12">
            <v>258</v>
          </cell>
        </row>
        <row r="13">
          <cell r="G13">
            <v>3716</v>
          </cell>
          <cell r="H13">
            <v>3074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U13">
            <v>0</v>
          </cell>
          <cell r="V13">
            <v>0</v>
          </cell>
        </row>
        <row r="14">
          <cell r="G14">
            <v>3033</v>
          </cell>
          <cell r="H14">
            <v>2578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U14">
            <v>0</v>
          </cell>
          <cell r="V14">
            <v>0</v>
          </cell>
        </row>
        <row r="15">
          <cell r="G15">
            <v>3084</v>
          </cell>
          <cell r="H15">
            <v>2631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U15">
            <v>0</v>
          </cell>
          <cell r="V15">
            <v>0</v>
          </cell>
        </row>
        <row r="16">
          <cell r="G16">
            <v>3804</v>
          </cell>
          <cell r="H16">
            <v>3136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U16">
            <v>0</v>
          </cell>
          <cell r="V16">
            <v>0</v>
          </cell>
        </row>
        <row r="17">
          <cell r="G17">
            <v>5088</v>
          </cell>
          <cell r="K17">
            <v>951</v>
          </cell>
        </row>
        <row r="18">
          <cell r="G18">
            <v>4610</v>
          </cell>
          <cell r="H18">
            <v>3743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0</v>
          </cell>
          <cell r="V18">
            <v>11</v>
          </cell>
        </row>
        <row r="19">
          <cell r="G19">
            <v>3157</v>
          </cell>
          <cell r="H19">
            <v>2560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U19">
            <v>0</v>
          </cell>
          <cell r="V19">
            <v>11</v>
          </cell>
        </row>
        <row r="20">
          <cell r="G20">
            <v>2863</v>
          </cell>
          <cell r="H20">
            <v>2324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U20">
            <v>0</v>
          </cell>
          <cell r="V20">
            <v>11</v>
          </cell>
        </row>
        <row r="21">
          <cell r="G21">
            <v>3265</v>
          </cell>
          <cell r="H21">
            <v>2638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U21">
            <v>0</v>
          </cell>
          <cell r="V21">
            <v>11</v>
          </cell>
        </row>
        <row r="22">
          <cell r="G22">
            <v>4355</v>
          </cell>
          <cell r="H22">
            <v>3535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U22">
            <v>0</v>
          </cell>
          <cell r="V22">
            <v>11</v>
          </cell>
          <cell r="AA22">
            <v>208</v>
          </cell>
        </row>
        <row r="23">
          <cell r="G23">
            <v>4219</v>
          </cell>
          <cell r="H23">
            <v>3473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U23">
            <v>0</v>
          </cell>
          <cell r="V23">
            <v>11</v>
          </cell>
        </row>
        <row r="25">
          <cell r="G25">
            <v>3854</v>
          </cell>
          <cell r="H25">
            <v>3142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U25">
            <v>0</v>
          </cell>
          <cell r="V25">
            <v>11</v>
          </cell>
        </row>
        <row r="26">
          <cell r="G26">
            <v>3325</v>
          </cell>
          <cell r="H26">
            <v>2751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U26">
            <v>0</v>
          </cell>
          <cell r="V26">
            <v>11</v>
          </cell>
        </row>
        <row r="27">
          <cell r="G27">
            <v>3842</v>
          </cell>
          <cell r="H27">
            <v>3140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U27">
            <v>0</v>
          </cell>
          <cell r="V27">
            <v>11</v>
          </cell>
        </row>
        <row r="28">
          <cell r="G28">
            <v>4515</v>
          </cell>
          <cell r="H28">
            <v>3642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U28">
            <v>0</v>
          </cell>
          <cell r="V28">
            <v>11</v>
          </cell>
        </row>
        <row r="29">
          <cell r="G29">
            <v>5347</v>
          </cell>
          <cell r="K29">
            <v>870</v>
          </cell>
        </row>
        <row r="30">
          <cell r="G30">
            <v>3374</v>
          </cell>
          <cell r="H30">
            <v>2758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U30">
            <v>11</v>
          </cell>
          <cell r="V30">
            <v>12</v>
          </cell>
        </row>
        <row r="31">
          <cell r="G31">
            <v>3491</v>
          </cell>
          <cell r="H31">
            <v>2858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U31">
            <v>12</v>
          </cell>
          <cell r="V31">
            <v>12</v>
          </cell>
        </row>
        <row r="32">
          <cell r="G32">
            <v>3261</v>
          </cell>
          <cell r="H32">
            <v>2731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U32">
            <v>9</v>
          </cell>
          <cell r="V32">
            <v>12</v>
          </cell>
        </row>
        <row r="33">
          <cell r="G33">
            <v>3401</v>
          </cell>
          <cell r="H33">
            <v>2827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U33">
            <v>10</v>
          </cell>
          <cell r="V33">
            <v>12</v>
          </cell>
        </row>
        <row r="34">
          <cell r="G34">
            <v>4017</v>
          </cell>
          <cell r="H34">
            <v>3341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U34">
            <v>11</v>
          </cell>
          <cell r="V34">
            <v>12</v>
          </cell>
        </row>
        <row r="35">
          <cell r="G35">
            <v>3834</v>
          </cell>
          <cell r="H35">
            <v>3180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U35">
            <v>12</v>
          </cell>
          <cell r="V35">
            <v>12</v>
          </cell>
        </row>
        <row r="37">
          <cell r="G37">
            <v>4086</v>
          </cell>
          <cell r="H37">
            <v>3379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U37">
            <v>13</v>
          </cell>
          <cell r="V37">
            <v>12</v>
          </cell>
          <cell r="AA37">
            <v>173</v>
          </cell>
        </row>
        <row r="38">
          <cell r="G38">
            <v>3452</v>
          </cell>
          <cell r="H38">
            <v>2848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U38">
            <v>14</v>
          </cell>
          <cell r="V38">
            <v>12</v>
          </cell>
        </row>
        <row r="39">
          <cell r="G39">
            <v>3031</v>
          </cell>
          <cell r="H39">
            <v>2491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U39">
            <v>20</v>
          </cell>
          <cell r="V39">
            <v>12</v>
          </cell>
        </row>
        <row r="40">
          <cell r="G40">
            <v>3849</v>
          </cell>
          <cell r="H40">
            <v>3161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U40">
            <v>21</v>
          </cell>
          <cell r="V40">
            <v>12</v>
          </cell>
        </row>
        <row r="41">
          <cell r="G41">
            <v>4701</v>
          </cell>
          <cell r="K41">
            <v>824</v>
          </cell>
        </row>
        <row r="42">
          <cell r="G42">
            <v>4554</v>
          </cell>
          <cell r="H42">
            <v>3747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U42">
            <v>23</v>
          </cell>
          <cell r="V42">
            <v>36</v>
          </cell>
        </row>
        <row r="43">
          <cell r="G43">
            <v>3942</v>
          </cell>
          <cell r="H43">
            <v>3299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U43">
            <v>25</v>
          </cell>
          <cell r="V43">
            <v>36</v>
          </cell>
        </row>
        <row r="44">
          <cell r="G44">
            <v>2982</v>
          </cell>
          <cell r="H44">
            <v>2437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U44">
            <v>20</v>
          </cell>
          <cell r="V44">
            <v>36</v>
          </cell>
        </row>
        <row r="45">
          <cell r="G45">
            <v>3622</v>
          </cell>
          <cell r="H45">
            <v>2997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U45">
            <v>21</v>
          </cell>
          <cell r="V45">
            <v>36</v>
          </cell>
        </row>
        <row r="46">
          <cell r="G46">
            <v>3764</v>
          </cell>
          <cell r="H46">
            <v>3132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U46">
            <v>23</v>
          </cell>
          <cell r="V46">
            <v>36</v>
          </cell>
        </row>
        <row r="47">
          <cell r="G47">
            <v>4520</v>
          </cell>
          <cell r="H47">
            <v>3719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U47">
            <v>24</v>
          </cell>
          <cell r="V47">
            <v>36</v>
          </cell>
        </row>
        <row r="48">
          <cell r="G48">
            <v>4610</v>
          </cell>
          <cell r="H48">
            <v>3797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U48">
            <v>28</v>
          </cell>
          <cell r="V48">
            <v>36</v>
          </cell>
          <cell r="AA48">
            <v>163</v>
          </cell>
        </row>
        <row r="49">
          <cell r="G49">
            <v>4379</v>
          </cell>
          <cell r="H49">
            <v>3595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U49">
            <v>26</v>
          </cell>
          <cell r="V49">
            <v>36</v>
          </cell>
        </row>
        <row r="50">
          <cell r="G50">
            <v>3557</v>
          </cell>
          <cell r="H50">
            <v>2984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>
            <v>28</v>
          </cell>
          <cell r="V50">
            <v>36</v>
          </cell>
        </row>
        <row r="51">
          <cell r="G51">
            <v>3645</v>
          </cell>
          <cell r="H51">
            <v>2968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U51">
            <v>38</v>
          </cell>
          <cell r="V51">
            <v>36</v>
          </cell>
        </row>
        <row r="52">
          <cell r="G52">
            <v>4913</v>
          </cell>
          <cell r="H52">
            <v>4056</v>
          </cell>
          <cell r="K52">
            <v>857</v>
          </cell>
          <cell r="L52">
            <v>50</v>
          </cell>
          <cell r="M52">
            <v>93</v>
          </cell>
          <cell r="N52">
            <v>0</v>
          </cell>
          <cell r="O52">
            <v>63</v>
          </cell>
          <cell r="P52">
            <v>0</v>
          </cell>
          <cell r="U52">
            <v>39</v>
          </cell>
          <cell r="V52">
            <v>36</v>
          </cell>
          <cell r="AA52">
            <v>168</v>
          </cell>
        </row>
        <row r="54">
          <cell r="G54">
            <v>4711</v>
          </cell>
          <cell r="H54">
            <v>4086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U54">
            <v>43</v>
          </cell>
          <cell r="V54">
            <v>36</v>
          </cell>
        </row>
        <row r="55">
          <cell r="G55">
            <v>4493</v>
          </cell>
          <cell r="H55">
            <v>3954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U55">
            <v>44</v>
          </cell>
          <cell r="V55">
            <v>36</v>
          </cell>
        </row>
        <row r="56">
          <cell r="G56">
            <v>2941</v>
          </cell>
          <cell r="H56">
            <v>2673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U56">
            <v>36</v>
          </cell>
          <cell r="V56">
            <v>36</v>
          </cell>
        </row>
        <row r="57">
          <cell r="G57">
            <v>3708</v>
          </cell>
          <cell r="H57">
            <v>3332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U57">
            <v>37</v>
          </cell>
          <cell r="V57">
            <v>36</v>
          </cell>
        </row>
        <row r="58">
          <cell r="G58">
            <v>3908</v>
          </cell>
          <cell r="H58">
            <v>3509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U58">
            <v>38</v>
          </cell>
          <cell r="V58">
            <v>36</v>
          </cell>
        </row>
        <row r="59">
          <cell r="G59">
            <v>3983</v>
          </cell>
          <cell r="H59">
            <v>3569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U59">
            <v>39</v>
          </cell>
          <cell r="V59">
            <v>36</v>
          </cell>
        </row>
        <row r="60">
          <cell r="G60">
            <v>4163</v>
          </cell>
          <cell r="H60">
            <v>3664</v>
          </cell>
          <cell r="L60">
            <v>0</v>
          </cell>
          <cell r="M60">
            <v>72</v>
          </cell>
          <cell r="N60">
            <v>0</v>
          </cell>
          <cell r="O60">
            <v>0</v>
          </cell>
          <cell r="P60">
            <v>0</v>
          </cell>
          <cell r="U60">
            <v>40</v>
          </cell>
          <cell r="V60">
            <v>36</v>
          </cell>
          <cell r="AA60">
            <v>201</v>
          </cell>
        </row>
        <row r="61">
          <cell r="G61">
            <v>4091</v>
          </cell>
          <cell r="H61">
            <v>3650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U61">
            <v>42</v>
          </cell>
          <cell r="V61">
            <v>36</v>
          </cell>
        </row>
        <row r="62">
          <cell r="G62">
            <v>3329</v>
          </cell>
          <cell r="H62">
            <v>3016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U62">
            <v>43</v>
          </cell>
          <cell r="V62">
            <v>36</v>
          </cell>
        </row>
        <row r="63">
          <cell r="G63">
            <v>3561</v>
          </cell>
          <cell r="H63">
            <v>3117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U63">
            <v>57</v>
          </cell>
          <cell r="V63">
            <v>36</v>
          </cell>
          <cell r="AA63">
            <v>121</v>
          </cell>
        </row>
        <row r="64">
          <cell r="G64">
            <v>4254</v>
          </cell>
          <cell r="H64">
            <v>3670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U64">
            <v>59</v>
          </cell>
          <cell r="V64">
            <v>36</v>
          </cell>
          <cell r="AA64">
            <v>148</v>
          </cell>
        </row>
        <row r="65">
          <cell r="G65">
            <v>5813</v>
          </cell>
          <cell r="K65">
            <v>711</v>
          </cell>
        </row>
        <row r="66">
          <cell r="G66">
            <v>4516</v>
          </cell>
          <cell r="H66">
            <v>4110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U66">
            <v>61</v>
          </cell>
          <cell r="V66">
            <v>42</v>
          </cell>
          <cell r="AA66">
            <v>186</v>
          </cell>
        </row>
        <row r="67">
          <cell r="G67">
            <v>3399</v>
          </cell>
          <cell r="H67">
            <v>3092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U67">
            <v>63</v>
          </cell>
          <cell r="V67">
            <v>42</v>
          </cell>
          <cell r="AA67">
            <v>148</v>
          </cell>
        </row>
        <row r="68">
          <cell r="G68">
            <v>3059</v>
          </cell>
          <cell r="H68">
            <v>2796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U68">
            <v>50</v>
          </cell>
          <cell r="V68">
            <v>42</v>
          </cell>
          <cell r="AA68">
            <v>186</v>
          </cell>
        </row>
        <row r="69">
          <cell r="G69">
            <v>3914</v>
          </cell>
          <cell r="H69">
            <v>3621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U69">
            <v>51</v>
          </cell>
          <cell r="V69">
            <v>42</v>
          </cell>
          <cell r="AA69">
            <v>171</v>
          </cell>
        </row>
        <row r="70">
          <cell r="G70">
            <v>4548</v>
          </cell>
          <cell r="H70">
            <v>4136</v>
          </cell>
          <cell r="L70">
            <v>30</v>
          </cell>
          <cell r="M70">
            <v>97</v>
          </cell>
          <cell r="N70">
            <v>0</v>
          </cell>
          <cell r="O70">
            <v>0</v>
          </cell>
          <cell r="P70">
            <v>0</v>
          </cell>
          <cell r="U70">
            <v>53</v>
          </cell>
          <cell r="V70">
            <v>42</v>
          </cell>
          <cell r="AA70">
            <v>194</v>
          </cell>
        </row>
        <row r="71">
          <cell r="G71">
            <v>4273</v>
          </cell>
          <cell r="H71">
            <v>3950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U71">
            <v>54</v>
          </cell>
          <cell r="V71">
            <v>42</v>
          </cell>
          <cell r="AA71">
            <v>157</v>
          </cell>
        </row>
        <row r="73">
          <cell r="G73">
            <v>4257</v>
          </cell>
          <cell r="H73">
            <v>3935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U73">
            <v>56</v>
          </cell>
          <cell r="V73">
            <v>42</v>
          </cell>
          <cell r="AA73">
            <v>99</v>
          </cell>
        </row>
        <row r="74">
          <cell r="G74">
            <v>4037</v>
          </cell>
          <cell r="H74">
            <v>3729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U74">
            <v>57</v>
          </cell>
          <cell r="V74">
            <v>42</v>
          </cell>
          <cell r="AA74">
            <v>130</v>
          </cell>
        </row>
        <row r="75">
          <cell r="G75">
            <v>3154</v>
          </cell>
          <cell r="H75">
            <v>2917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U75">
            <v>72</v>
          </cell>
          <cell r="V75">
            <v>42</v>
          </cell>
          <cell r="AA75">
            <v>170</v>
          </cell>
        </row>
        <row r="76">
          <cell r="G76">
            <v>5206</v>
          </cell>
          <cell r="H76">
            <v>4670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U76">
            <v>74</v>
          </cell>
          <cell r="V76">
            <v>42</v>
          </cell>
          <cell r="AA76">
            <v>88</v>
          </cell>
        </row>
        <row r="77">
          <cell r="G77">
            <v>5977</v>
          </cell>
          <cell r="K77">
            <v>776</v>
          </cell>
        </row>
        <row r="78">
          <cell r="G78">
            <v>4651</v>
          </cell>
          <cell r="H78">
            <v>4136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U78">
            <v>76</v>
          </cell>
          <cell r="V78">
            <v>51</v>
          </cell>
          <cell r="AA78">
            <v>182</v>
          </cell>
        </row>
        <row r="79">
          <cell r="G79">
            <v>4268</v>
          </cell>
          <cell r="H79">
            <v>3851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U79">
            <v>76</v>
          </cell>
          <cell r="V79">
            <v>51</v>
          </cell>
          <cell r="AA79">
            <v>177</v>
          </cell>
        </row>
        <row r="80">
          <cell r="G80">
            <v>3232</v>
          </cell>
          <cell r="H80">
            <v>2927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U80">
            <v>62</v>
          </cell>
          <cell r="V80">
            <v>51</v>
          </cell>
          <cell r="AA80">
            <v>230</v>
          </cell>
        </row>
        <row r="81">
          <cell r="G81">
            <v>4020</v>
          </cell>
          <cell r="H81">
            <v>3798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U81">
            <v>62</v>
          </cell>
          <cell r="V81">
            <v>51</v>
          </cell>
          <cell r="AA81">
            <v>190</v>
          </cell>
        </row>
        <row r="82">
          <cell r="G82">
            <v>4084</v>
          </cell>
          <cell r="H82">
            <v>3836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U82">
            <v>63</v>
          </cell>
          <cell r="V82">
            <v>51</v>
          </cell>
          <cell r="AA82">
            <v>198</v>
          </cell>
        </row>
        <row r="83">
          <cell r="G83">
            <v>4565</v>
          </cell>
          <cell r="H83">
            <v>4219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U83">
            <v>64</v>
          </cell>
          <cell r="V83">
            <v>51</v>
          </cell>
          <cell r="AA83">
            <v>173</v>
          </cell>
        </row>
        <row r="84">
          <cell r="G84">
            <v>4644</v>
          </cell>
          <cell r="H84">
            <v>4307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U84">
            <v>64</v>
          </cell>
          <cell r="V84">
            <v>51</v>
          </cell>
          <cell r="AA84">
            <v>133</v>
          </cell>
        </row>
        <row r="85">
          <cell r="G85">
            <v>4428</v>
          </cell>
          <cell r="H85">
            <v>4162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U85">
            <v>65</v>
          </cell>
          <cell r="V85">
            <v>51</v>
          </cell>
          <cell r="AA85">
            <v>193</v>
          </cell>
        </row>
        <row r="86">
          <cell r="G86">
            <v>4432</v>
          </cell>
          <cell r="H86">
            <v>4196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U86">
            <v>66</v>
          </cell>
          <cell r="V86">
            <v>51</v>
          </cell>
          <cell r="AA86">
            <v>193</v>
          </cell>
        </row>
        <row r="87">
          <cell r="G87">
            <v>3521</v>
          </cell>
          <cell r="H87">
            <v>3348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83</v>
          </cell>
          <cell r="V87">
            <v>51</v>
          </cell>
          <cell r="AA87">
            <v>252</v>
          </cell>
        </row>
        <row r="88">
          <cell r="G88">
            <v>3203</v>
          </cell>
          <cell r="H88">
            <v>3008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83</v>
          </cell>
          <cell r="V88">
            <v>51</v>
          </cell>
          <cell r="AA88">
            <v>275</v>
          </cell>
        </row>
        <row r="90">
          <cell r="G90">
            <v>5087</v>
          </cell>
          <cell r="H90">
            <v>4565</v>
          </cell>
          <cell r="K90">
            <v>522</v>
          </cell>
          <cell r="L90">
            <v>0</v>
          </cell>
          <cell r="M90">
            <v>200</v>
          </cell>
          <cell r="N90">
            <v>0</v>
          </cell>
          <cell r="O90">
            <v>0</v>
          </cell>
          <cell r="P90">
            <v>0</v>
          </cell>
          <cell r="U90">
            <v>85</v>
          </cell>
          <cell r="V90">
            <v>58</v>
          </cell>
          <cell r="AA90">
            <v>167</v>
          </cell>
        </row>
        <row r="91">
          <cell r="G91">
            <v>3671</v>
          </cell>
          <cell r="H91">
            <v>3474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U91">
            <v>85</v>
          </cell>
          <cell r="V91">
            <v>58</v>
          </cell>
          <cell r="AA91">
            <v>287</v>
          </cell>
        </row>
        <row r="92">
          <cell r="G92">
            <v>4174</v>
          </cell>
          <cell r="H92">
            <v>3908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U92">
            <v>69</v>
          </cell>
          <cell r="V92">
            <v>58</v>
          </cell>
          <cell r="AA92">
            <v>288</v>
          </cell>
        </row>
        <row r="93">
          <cell r="G93">
            <v>3865</v>
          </cell>
          <cell r="H93">
            <v>3646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U93">
            <v>69</v>
          </cell>
          <cell r="V93">
            <v>58</v>
          </cell>
          <cell r="AA93">
            <v>211</v>
          </cell>
        </row>
        <row r="94">
          <cell r="G94">
            <v>4701</v>
          </cell>
          <cell r="H94">
            <v>4356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U94">
            <v>70</v>
          </cell>
          <cell r="V94">
            <v>58</v>
          </cell>
          <cell r="AA94">
            <v>233</v>
          </cell>
        </row>
        <row r="95">
          <cell r="G95">
            <v>4897</v>
          </cell>
          <cell r="H95">
            <v>4491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U95">
            <v>70</v>
          </cell>
          <cell r="V95">
            <v>58</v>
          </cell>
          <cell r="AA95">
            <v>247</v>
          </cell>
        </row>
        <row r="96">
          <cell r="G96">
            <v>5196</v>
          </cell>
          <cell r="H96">
            <v>4732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U96">
            <v>70</v>
          </cell>
          <cell r="V96">
            <v>58</v>
          </cell>
          <cell r="AA96">
            <v>225</v>
          </cell>
        </row>
        <row r="97">
          <cell r="G97">
            <v>5016</v>
          </cell>
          <cell r="H97">
            <v>4643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U97">
            <v>71</v>
          </cell>
          <cell r="V97">
            <v>58</v>
          </cell>
          <cell r="AA97">
            <v>265</v>
          </cell>
        </row>
        <row r="98">
          <cell r="G98">
            <v>3561</v>
          </cell>
          <cell r="H98">
            <v>3372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U98">
            <v>72</v>
          </cell>
          <cell r="V98">
            <v>58</v>
          </cell>
          <cell r="AA98">
            <v>219</v>
          </cell>
        </row>
        <row r="99">
          <cell r="G99">
            <v>3496</v>
          </cell>
          <cell r="H99">
            <v>3289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U99">
            <v>89</v>
          </cell>
          <cell r="V99">
            <v>58</v>
          </cell>
          <cell r="AA99">
            <v>218</v>
          </cell>
        </row>
        <row r="100">
          <cell r="G100">
            <v>4938</v>
          </cell>
          <cell r="H100">
            <v>4465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U100">
            <v>90</v>
          </cell>
          <cell r="V100">
            <v>58</v>
          </cell>
          <cell r="AA100">
            <v>235</v>
          </cell>
        </row>
        <row r="101">
          <cell r="G101">
            <v>6188</v>
          </cell>
          <cell r="K101">
            <v>936</v>
          </cell>
        </row>
        <row r="102">
          <cell r="G102">
            <v>5385</v>
          </cell>
          <cell r="H102">
            <v>4583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U102">
            <v>90</v>
          </cell>
          <cell r="V102">
            <v>61</v>
          </cell>
          <cell r="AA102">
            <v>242</v>
          </cell>
        </row>
        <row r="103">
          <cell r="G103">
            <v>5000</v>
          </cell>
          <cell r="H103">
            <v>4338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U103">
            <v>91</v>
          </cell>
          <cell r="V103">
            <v>61</v>
          </cell>
          <cell r="AA103">
            <v>218</v>
          </cell>
        </row>
        <row r="104">
          <cell r="G104">
            <v>3876</v>
          </cell>
          <cell r="H104">
            <v>3420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U104">
            <v>74</v>
          </cell>
          <cell r="V104">
            <v>61</v>
          </cell>
          <cell r="AA104">
            <v>269</v>
          </cell>
        </row>
        <row r="105">
          <cell r="G105">
            <v>4418</v>
          </cell>
          <cell r="H105">
            <v>3883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U105">
            <v>75</v>
          </cell>
          <cell r="V105">
            <v>61</v>
          </cell>
          <cell r="AA105">
            <v>296</v>
          </cell>
        </row>
        <row r="106">
          <cell r="G106">
            <v>4945</v>
          </cell>
          <cell r="H106">
            <v>4312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U106">
            <v>75</v>
          </cell>
          <cell r="V106">
            <v>61</v>
          </cell>
          <cell r="AA106">
            <v>256</v>
          </cell>
        </row>
        <row r="107">
          <cell r="G107">
            <v>5309</v>
          </cell>
          <cell r="H107">
            <v>4588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U107">
            <v>75</v>
          </cell>
          <cell r="V107">
            <v>61</v>
          </cell>
          <cell r="AA107">
            <v>199</v>
          </cell>
        </row>
        <row r="109">
          <cell r="G109">
            <v>5224</v>
          </cell>
          <cell r="H109">
            <v>4530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U109">
            <v>76</v>
          </cell>
          <cell r="V109">
            <v>61</v>
          </cell>
          <cell r="AA109">
            <v>250</v>
          </cell>
        </row>
        <row r="110">
          <cell r="G110">
            <v>4398</v>
          </cell>
          <cell r="H110">
            <v>3804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U110">
            <v>76</v>
          </cell>
          <cell r="V110">
            <v>61</v>
          </cell>
          <cell r="AA110">
            <v>262</v>
          </cell>
        </row>
        <row r="111">
          <cell r="G111">
            <v>3685</v>
          </cell>
          <cell r="H111">
            <v>3266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U111">
            <v>94</v>
          </cell>
          <cell r="V111">
            <v>61</v>
          </cell>
          <cell r="AA111">
            <v>278</v>
          </cell>
        </row>
        <row r="112">
          <cell r="G112">
            <v>5614</v>
          </cell>
          <cell r="H112">
            <v>4712</v>
          </cell>
          <cell r="L112">
            <v>0</v>
          </cell>
          <cell r="M112">
            <v>195</v>
          </cell>
          <cell r="N112">
            <v>0</v>
          </cell>
          <cell r="O112">
            <v>0</v>
          </cell>
          <cell r="P112">
            <v>0</v>
          </cell>
          <cell r="U112">
            <v>95</v>
          </cell>
          <cell r="V112">
            <v>61</v>
          </cell>
          <cell r="AA112">
            <v>229</v>
          </cell>
        </row>
        <row r="114">
          <cell r="G114">
            <v>6137</v>
          </cell>
          <cell r="H114">
            <v>5554</v>
          </cell>
          <cell r="K114">
            <v>583</v>
          </cell>
          <cell r="L114">
            <v>0</v>
          </cell>
          <cell r="M114">
            <v>493</v>
          </cell>
          <cell r="N114">
            <v>0</v>
          </cell>
          <cell r="O114">
            <v>0</v>
          </cell>
          <cell r="P114">
            <v>0</v>
          </cell>
          <cell r="U114">
            <v>96</v>
          </cell>
          <cell r="V114">
            <v>66</v>
          </cell>
          <cell r="AA114">
            <v>202</v>
          </cell>
        </row>
        <row r="115">
          <cell r="G115">
            <v>5009</v>
          </cell>
          <cell r="H115">
            <v>4624</v>
          </cell>
          <cell r="L115">
            <v>0</v>
          </cell>
          <cell r="M115">
            <v>50</v>
          </cell>
          <cell r="N115">
            <v>0</v>
          </cell>
          <cell r="O115">
            <v>0</v>
          </cell>
          <cell r="P115">
            <v>0</v>
          </cell>
          <cell r="U115">
            <v>96</v>
          </cell>
          <cell r="V115">
            <v>66</v>
          </cell>
          <cell r="AA115">
            <v>251</v>
          </cell>
        </row>
        <row r="116">
          <cell r="G116">
            <v>4089</v>
          </cell>
          <cell r="H116">
            <v>3946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U116">
            <v>79</v>
          </cell>
          <cell r="V116">
            <v>66</v>
          </cell>
          <cell r="AA116">
            <v>291</v>
          </cell>
        </row>
        <row r="117">
          <cell r="G117">
            <v>5112</v>
          </cell>
          <cell r="H117">
            <v>4802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U117">
            <v>79</v>
          </cell>
          <cell r="V117">
            <v>66</v>
          </cell>
          <cell r="AA117">
            <v>273</v>
          </cell>
        </row>
        <row r="118">
          <cell r="G118">
            <v>5525</v>
          </cell>
          <cell r="H118">
            <v>5058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U118">
            <v>79</v>
          </cell>
          <cell r="V118">
            <v>66</v>
          </cell>
          <cell r="AA118">
            <v>213</v>
          </cell>
        </row>
        <row r="119">
          <cell r="G119">
            <v>5592</v>
          </cell>
          <cell r="H119">
            <v>5070</v>
          </cell>
          <cell r="L119">
            <v>0</v>
          </cell>
          <cell r="M119">
            <v>61</v>
          </cell>
          <cell r="N119">
            <v>0</v>
          </cell>
          <cell r="O119">
            <v>0</v>
          </cell>
          <cell r="P119">
            <v>0</v>
          </cell>
          <cell r="U119">
            <v>80</v>
          </cell>
          <cell r="V119">
            <v>66</v>
          </cell>
          <cell r="AA119">
            <v>262</v>
          </cell>
        </row>
        <row r="120">
          <cell r="G120">
            <v>5832</v>
          </cell>
          <cell r="H120">
            <v>5310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U120">
            <v>80</v>
          </cell>
          <cell r="V120">
            <v>66</v>
          </cell>
          <cell r="AA120">
            <v>240</v>
          </cell>
        </row>
        <row r="121">
          <cell r="G121">
            <v>5483</v>
          </cell>
          <cell r="H121">
            <v>5034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80</v>
          </cell>
          <cell r="V121">
            <v>66</v>
          </cell>
          <cell r="AA121">
            <v>232</v>
          </cell>
        </row>
        <row r="122">
          <cell r="G122">
            <v>4964</v>
          </cell>
          <cell r="H122">
            <v>4682</v>
          </cell>
          <cell r="L122">
            <v>0</v>
          </cell>
          <cell r="M122">
            <v>-200</v>
          </cell>
          <cell r="N122">
            <v>0</v>
          </cell>
          <cell r="O122">
            <v>0</v>
          </cell>
          <cell r="P122">
            <v>0</v>
          </cell>
          <cell r="U122">
            <v>81</v>
          </cell>
          <cell r="V122">
            <v>66</v>
          </cell>
          <cell r="AA122">
            <v>258</v>
          </cell>
        </row>
        <row r="123">
          <cell r="G123">
            <v>3886</v>
          </cell>
          <cell r="H123">
            <v>3759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99</v>
          </cell>
          <cell r="V123">
            <v>66</v>
          </cell>
          <cell r="AA123">
            <v>302</v>
          </cell>
        </row>
        <row r="124">
          <cell r="G124">
            <v>6817</v>
          </cell>
          <cell r="H124">
            <v>5942</v>
          </cell>
          <cell r="K124">
            <v>875</v>
          </cell>
          <cell r="L124">
            <v>230</v>
          </cell>
          <cell r="M124">
            <v>260</v>
          </cell>
          <cell r="N124">
            <v>0</v>
          </cell>
          <cell r="O124">
            <v>84</v>
          </cell>
          <cell r="P124">
            <v>0</v>
          </cell>
          <cell r="U124">
            <v>99</v>
          </cell>
          <cell r="V124">
            <v>66</v>
          </cell>
          <cell r="AA124">
            <v>230</v>
          </cell>
        </row>
        <row r="127"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U127">
            <v>101</v>
          </cell>
          <cell r="V127">
            <v>66</v>
          </cell>
          <cell r="AA127">
            <v>317</v>
          </cell>
        </row>
        <row r="128">
          <cell r="L128">
            <v>0</v>
          </cell>
          <cell r="M128">
            <v>-36</v>
          </cell>
          <cell r="N128">
            <v>0</v>
          </cell>
          <cell r="O128">
            <v>0</v>
          </cell>
          <cell r="P128">
            <v>0</v>
          </cell>
          <cell r="U128">
            <v>83</v>
          </cell>
          <cell r="V128">
            <v>66</v>
          </cell>
          <cell r="AA128">
            <v>249</v>
          </cell>
        </row>
        <row r="129"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83</v>
          </cell>
          <cell r="V129">
            <v>66</v>
          </cell>
          <cell r="AA129">
            <v>279</v>
          </cell>
        </row>
        <row r="130">
          <cell r="L130">
            <v>0</v>
          </cell>
          <cell r="M130">
            <v>-52</v>
          </cell>
          <cell r="N130">
            <v>0</v>
          </cell>
          <cell r="O130">
            <v>0</v>
          </cell>
          <cell r="P130">
            <v>0</v>
          </cell>
          <cell r="U130">
            <v>84</v>
          </cell>
          <cell r="V130">
            <v>66</v>
          </cell>
          <cell r="AA130">
            <v>198</v>
          </cell>
          <cell r="AE130">
            <v>4652</v>
          </cell>
        </row>
        <row r="131"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84</v>
          </cell>
          <cell r="V131">
            <v>66</v>
          </cell>
          <cell r="AA131">
            <v>249</v>
          </cell>
        </row>
        <row r="133">
          <cell r="L133">
            <v>0</v>
          </cell>
          <cell r="M133">
            <v>60</v>
          </cell>
          <cell r="N133">
            <v>0</v>
          </cell>
          <cell r="O133">
            <v>0</v>
          </cell>
          <cell r="P133">
            <v>0</v>
          </cell>
          <cell r="U133">
            <v>85</v>
          </cell>
          <cell r="V133">
            <v>66</v>
          </cell>
          <cell r="AA133">
            <v>196</v>
          </cell>
        </row>
        <row r="134"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U134">
            <v>85</v>
          </cell>
          <cell r="V134">
            <v>66</v>
          </cell>
          <cell r="AA134">
            <v>196</v>
          </cell>
        </row>
        <row r="135"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U135">
            <v>104</v>
          </cell>
          <cell r="V135">
            <v>66</v>
          </cell>
          <cell r="AA135">
            <v>248</v>
          </cell>
        </row>
        <row r="136"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U136">
            <v>104</v>
          </cell>
          <cell r="V136">
            <v>66</v>
          </cell>
          <cell r="AA136">
            <v>174</v>
          </cell>
        </row>
        <row r="138"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U138">
            <v>103</v>
          </cell>
          <cell r="V138">
            <v>65.5</v>
          </cell>
          <cell r="AA138">
            <v>163</v>
          </cell>
        </row>
        <row r="139"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U139">
            <v>104</v>
          </cell>
          <cell r="V139">
            <v>65.5</v>
          </cell>
          <cell r="AA139">
            <v>202</v>
          </cell>
        </row>
        <row r="140">
          <cell r="L140">
            <v>0</v>
          </cell>
          <cell r="M140">
            <v>18</v>
          </cell>
          <cell r="N140">
            <v>0</v>
          </cell>
          <cell r="O140">
            <v>0</v>
          </cell>
          <cell r="P140">
            <v>0</v>
          </cell>
          <cell r="U140">
            <v>86</v>
          </cell>
          <cell r="V140">
            <v>65.5</v>
          </cell>
          <cell r="AA140">
            <v>195</v>
          </cell>
        </row>
        <row r="141">
          <cell r="L141">
            <v>0</v>
          </cell>
          <cell r="M141">
            <v>113</v>
          </cell>
          <cell r="N141">
            <v>0</v>
          </cell>
          <cell r="O141">
            <v>0</v>
          </cell>
          <cell r="P141">
            <v>0</v>
          </cell>
          <cell r="U141">
            <v>87</v>
          </cell>
          <cell r="V141">
            <v>65.5</v>
          </cell>
          <cell r="AA141">
            <v>228</v>
          </cell>
        </row>
        <row r="142"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U142">
            <v>87</v>
          </cell>
          <cell r="V142">
            <v>65.5</v>
          </cell>
          <cell r="AA142">
            <v>211</v>
          </cell>
        </row>
        <row r="143"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U143">
            <v>88</v>
          </cell>
          <cell r="V143">
            <v>65.5</v>
          </cell>
          <cell r="AA143">
            <v>177</v>
          </cell>
        </row>
        <row r="144"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U144">
            <v>89</v>
          </cell>
          <cell r="V144">
            <v>65.5</v>
          </cell>
          <cell r="AA144">
            <v>192</v>
          </cell>
          <cell r="AE144">
            <v>4676</v>
          </cell>
        </row>
        <row r="145">
          <cell r="L145">
            <v>0</v>
          </cell>
          <cell r="M145">
            <v>44</v>
          </cell>
          <cell r="N145">
            <v>0</v>
          </cell>
          <cell r="O145">
            <v>0</v>
          </cell>
          <cell r="P145">
            <v>0</v>
          </cell>
          <cell r="U145">
            <v>89</v>
          </cell>
          <cell r="V145">
            <v>65.5</v>
          </cell>
          <cell r="AA145">
            <v>241</v>
          </cell>
        </row>
        <row r="146"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U146">
            <v>88</v>
          </cell>
          <cell r="V146">
            <v>65.5</v>
          </cell>
          <cell r="AA146">
            <v>221</v>
          </cell>
        </row>
        <row r="147">
          <cell r="L147">
            <v>0</v>
          </cell>
          <cell r="M147">
            <v>333</v>
          </cell>
          <cell r="N147">
            <v>0</v>
          </cell>
          <cell r="O147">
            <v>0</v>
          </cell>
          <cell r="P147">
            <v>0</v>
          </cell>
          <cell r="U147">
            <v>106</v>
          </cell>
          <cell r="V147">
            <v>65.5</v>
          </cell>
          <cell r="AA147">
            <v>58</v>
          </cell>
        </row>
        <row r="148">
          <cell r="L148">
            <v>0</v>
          </cell>
          <cell r="M148">
            <v>312</v>
          </cell>
          <cell r="N148">
            <v>0</v>
          </cell>
          <cell r="O148">
            <v>0</v>
          </cell>
          <cell r="P148">
            <v>0</v>
          </cell>
          <cell r="U148">
            <v>111</v>
          </cell>
          <cell r="V148">
            <v>65.5</v>
          </cell>
          <cell r="AA148">
            <v>193</v>
          </cell>
        </row>
        <row r="150"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U150">
            <v>114</v>
          </cell>
          <cell r="V150">
            <v>65.5</v>
          </cell>
          <cell r="AA150">
            <v>165</v>
          </cell>
        </row>
        <row r="151">
          <cell r="L151">
            <v>0</v>
          </cell>
          <cell r="M151">
            <v>176</v>
          </cell>
          <cell r="N151">
            <v>0</v>
          </cell>
          <cell r="O151">
            <v>0</v>
          </cell>
          <cell r="P151">
            <v>0</v>
          </cell>
          <cell r="U151">
            <v>112</v>
          </cell>
          <cell r="V151">
            <v>65.5</v>
          </cell>
          <cell r="AA151">
            <v>209</v>
          </cell>
        </row>
        <row r="152"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U152">
            <v>90</v>
          </cell>
          <cell r="V152">
            <v>65.5</v>
          </cell>
          <cell r="AA152">
            <v>241</v>
          </cell>
        </row>
        <row r="153"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U153">
            <v>94</v>
          </cell>
          <cell r="V153">
            <v>65.5</v>
          </cell>
          <cell r="AA153">
            <v>163</v>
          </cell>
        </row>
        <row r="154">
          <cell r="L154">
            <v>0</v>
          </cell>
          <cell r="M154">
            <v>-2</v>
          </cell>
          <cell r="N154">
            <v>0</v>
          </cell>
          <cell r="O154">
            <v>0</v>
          </cell>
          <cell r="P154">
            <v>0</v>
          </cell>
          <cell r="U154">
            <v>95</v>
          </cell>
          <cell r="V154">
            <v>65.5</v>
          </cell>
          <cell r="AA154">
            <v>171</v>
          </cell>
        </row>
        <row r="155"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U155">
            <v>97</v>
          </cell>
          <cell r="V155">
            <v>65.5</v>
          </cell>
          <cell r="AA155">
            <v>150</v>
          </cell>
          <cell r="AE155">
            <v>5032</v>
          </cell>
        </row>
        <row r="157"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U157">
            <v>99</v>
          </cell>
          <cell r="V157">
            <v>65.5</v>
          </cell>
          <cell r="AA157">
            <v>212</v>
          </cell>
        </row>
        <row r="158">
          <cell r="L158">
            <v>0</v>
          </cell>
          <cell r="M158">
            <v>98</v>
          </cell>
          <cell r="N158">
            <v>0</v>
          </cell>
          <cell r="O158">
            <v>0</v>
          </cell>
          <cell r="P158">
            <v>0</v>
          </cell>
          <cell r="U158">
            <v>95</v>
          </cell>
          <cell r="V158">
            <v>65.5</v>
          </cell>
          <cell r="AA158">
            <v>200</v>
          </cell>
        </row>
        <row r="159"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U159">
            <v>112</v>
          </cell>
          <cell r="V159">
            <v>65.5</v>
          </cell>
          <cell r="AA159">
            <v>212</v>
          </cell>
        </row>
        <row r="160"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U160">
            <v>122</v>
          </cell>
          <cell r="V160">
            <v>65.5</v>
          </cell>
          <cell r="AA160">
            <v>182</v>
          </cell>
        </row>
        <row r="162">
          <cell r="L162">
            <v>0</v>
          </cell>
          <cell r="M162">
            <v>0</v>
          </cell>
          <cell r="N162">
            <v>11</v>
          </cell>
          <cell r="O162">
            <v>0</v>
          </cell>
          <cell r="P162">
            <v>0</v>
          </cell>
          <cell r="U162">
            <v>130</v>
          </cell>
          <cell r="V162">
            <v>65.5</v>
          </cell>
          <cell r="AA162">
            <v>230</v>
          </cell>
        </row>
        <row r="163">
          <cell r="L163">
            <v>0</v>
          </cell>
          <cell r="M163">
            <v>96</v>
          </cell>
          <cell r="N163">
            <v>11</v>
          </cell>
          <cell r="O163">
            <v>0</v>
          </cell>
          <cell r="P163">
            <v>675</v>
          </cell>
          <cell r="U163">
            <v>124</v>
          </cell>
          <cell r="V163">
            <v>65.5</v>
          </cell>
          <cell r="AA163">
            <v>155</v>
          </cell>
        </row>
        <row r="164"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U164">
            <v>99</v>
          </cell>
          <cell r="V164">
            <v>65.5</v>
          </cell>
          <cell r="AA164">
            <v>252</v>
          </cell>
        </row>
        <row r="165"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U165">
            <v>107</v>
          </cell>
          <cell r="V165">
            <v>65.5</v>
          </cell>
          <cell r="AA165">
            <v>229</v>
          </cell>
        </row>
        <row r="166"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U166">
            <v>111</v>
          </cell>
          <cell r="V166">
            <v>65.5</v>
          </cell>
          <cell r="AA166">
            <v>244</v>
          </cell>
        </row>
        <row r="167"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U167">
            <v>115</v>
          </cell>
          <cell r="V167">
            <v>65.5</v>
          </cell>
          <cell r="AA167">
            <v>269</v>
          </cell>
        </row>
        <row r="168"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U168">
            <v>118</v>
          </cell>
          <cell r="V168">
            <v>65.5</v>
          </cell>
          <cell r="AA168">
            <v>272</v>
          </cell>
          <cell r="AE168">
            <v>5033</v>
          </cell>
        </row>
        <row r="169"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U169">
            <v>119</v>
          </cell>
          <cell r="V169">
            <v>65.5</v>
          </cell>
          <cell r="AA169">
            <v>209</v>
          </cell>
        </row>
        <row r="170"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U170">
            <v>111</v>
          </cell>
          <cell r="V170">
            <v>65.5</v>
          </cell>
          <cell r="AA170">
            <v>216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U171">
            <v>126</v>
          </cell>
          <cell r="V171">
            <v>65.5</v>
          </cell>
          <cell r="AA171">
            <v>188</v>
          </cell>
        </row>
        <row r="172"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U172">
            <v>146</v>
          </cell>
          <cell r="V172">
            <v>65.5</v>
          </cell>
          <cell r="AA172">
            <v>189</v>
          </cell>
        </row>
        <row r="174">
          <cell r="L174">
            <v>0</v>
          </cell>
          <cell r="M174">
            <v>0</v>
          </cell>
          <cell r="N174">
            <v>7</v>
          </cell>
          <cell r="O174">
            <v>0</v>
          </cell>
          <cell r="P174">
            <v>0</v>
          </cell>
          <cell r="U174">
            <v>157</v>
          </cell>
          <cell r="V174">
            <v>65.5</v>
          </cell>
          <cell r="AA174">
            <v>199</v>
          </cell>
        </row>
        <row r="175"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U175">
            <v>144</v>
          </cell>
          <cell r="V175">
            <v>65.5</v>
          </cell>
          <cell r="AA175">
            <v>271</v>
          </cell>
        </row>
        <row r="176"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U176">
            <v>114</v>
          </cell>
          <cell r="V176">
            <v>65.5</v>
          </cell>
          <cell r="AA176">
            <v>267</v>
          </cell>
        </row>
        <row r="177"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U177">
            <v>127</v>
          </cell>
          <cell r="V177">
            <v>65.5</v>
          </cell>
          <cell r="AA177">
            <v>251</v>
          </cell>
        </row>
        <row r="178"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U178">
            <v>133</v>
          </cell>
          <cell r="V178">
            <v>65.5</v>
          </cell>
          <cell r="AA178">
            <v>262</v>
          </cell>
          <cell r="AE178">
            <v>5017</v>
          </cell>
        </row>
        <row r="179"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U179">
            <v>136</v>
          </cell>
          <cell r="V179">
            <v>65.5</v>
          </cell>
          <cell r="AA179">
            <v>254</v>
          </cell>
        </row>
        <row r="181"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U181">
            <v>139</v>
          </cell>
          <cell r="V181">
            <v>65.5</v>
          </cell>
          <cell r="AA181">
            <v>255</v>
          </cell>
        </row>
        <row r="182"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U182">
            <v>127</v>
          </cell>
          <cell r="V182">
            <v>65.5</v>
          </cell>
          <cell r="AA182">
            <v>194</v>
          </cell>
        </row>
        <row r="183"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U183">
            <v>140</v>
          </cell>
          <cell r="V183">
            <v>65.5</v>
          </cell>
          <cell r="AA183">
            <v>274</v>
          </cell>
        </row>
        <row r="184"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U184">
            <v>164</v>
          </cell>
          <cell r="V184">
            <v>65.5</v>
          </cell>
          <cell r="AA184">
            <v>277</v>
          </cell>
        </row>
        <row r="186">
          <cell r="L186">
            <v>58</v>
          </cell>
          <cell r="M186">
            <v>997</v>
          </cell>
          <cell r="N186">
            <v>13</v>
          </cell>
          <cell r="O186">
            <v>52</v>
          </cell>
          <cell r="P186">
            <v>0</v>
          </cell>
          <cell r="U186">
            <v>176</v>
          </cell>
          <cell r="V186">
            <v>65.5</v>
          </cell>
          <cell r="AA186">
            <v>281</v>
          </cell>
        </row>
        <row r="187"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U187">
            <v>161</v>
          </cell>
          <cell r="V187">
            <v>65.5</v>
          </cell>
          <cell r="AA187">
            <v>300</v>
          </cell>
        </row>
        <row r="188"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U188">
            <v>130</v>
          </cell>
          <cell r="V188">
            <v>65.5</v>
          </cell>
          <cell r="AA188">
            <v>257</v>
          </cell>
        </row>
        <row r="189"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U189">
            <v>147</v>
          </cell>
          <cell r="V189">
            <v>65.5</v>
          </cell>
          <cell r="AA189">
            <v>308</v>
          </cell>
        </row>
        <row r="190"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U190">
            <v>157</v>
          </cell>
          <cell r="V190">
            <v>65.5</v>
          </cell>
          <cell r="AA190">
            <v>247</v>
          </cell>
        </row>
        <row r="191"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U191">
            <v>161</v>
          </cell>
          <cell r="V191">
            <v>65.5</v>
          </cell>
          <cell r="AA191">
            <v>239</v>
          </cell>
        </row>
        <row r="192">
          <cell r="L192">
            <v>0</v>
          </cell>
          <cell r="M192">
            <v>87</v>
          </cell>
          <cell r="N192">
            <v>0</v>
          </cell>
          <cell r="O192">
            <v>73</v>
          </cell>
          <cell r="P192">
            <v>0</v>
          </cell>
          <cell r="U192">
            <v>170</v>
          </cell>
          <cell r="V192">
            <v>65.5</v>
          </cell>
          <cell r="AA192">
            <v>269</v>
          </cell>
          <cell r="AE192">
            <v>5463</v>
          </cell>
        </row>
        <row r="193"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U193">
            <v>167</v>
          </cell>
          <cell r="V193">
            <v>65.5</v>
          </cell>
          <cell r="AA193">
            <v>252</v>
          </cell>
        </row>
        <row r="194"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U194">
            <v>151</v>
          </cell>
          <cell r="V194">
            <v>65.5</v>
          </cell>
          <cell r="AA194">
            <v>293</v>
          </cell>
        </row>
        <row r="195"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U195">
            <v>160</v>
          </cell>
          <cell r="V195">
            <v>65.5</v>
          </cell>
          <cell r="AA195">
            <v>323</v>
          </cell>
        </row>
        <row r="196"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U196">
            <v>187</v>
          </cell>
          <cell r="V196">
            <v>65.5</v>
          </cell>
          <cell r="AA196">
            <v>209</v>
          </cell>
        </row>
        <row r="198">
          <cell r="L198">
            <v>210</v>
          </cell>
          <cell r="M198">
            <v>1156</v>
          </cell>
          <cell r="N198">
            <v>0</v>
          </cell>
          <cell r="O198">
            <v>116</v>
          </cell>
          <cell r="P198">
            <v>0</v>
          </cell>
          <cell r="U198">
            <v>201</v>
          </cell>
          <cell r="V198">
            <v>71.5</v>
          </cell>
          <cell r="AA198">
            <v>255</v>
          </cell>
        </row>
        <row r="199"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U199">
            <v>184</v>
          </cell>
          <cell r="V199">
            <v>71.5</v>
          </cell>
          <cell r="AA199">
            <v>325</v>
          </cell>
        </row>
        <row r="200"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U200">
            <v>153</v>
          </cell>
          <cell r="V200">
            <v>71.5</v>
          </cell>
          <cell r="AA200">
            <v>307</v>
          </cell>
        </row>
        <row r="201"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U201">
            <v>173</v>
          </cell>
          <cell r="V201">
            <v>71.5</v>
          </cell>
          <cell r="AA201">
            <v>326</v>
          </cell>
        </row>
        <row r="202"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U202">
            <v>185</v>
          </cell>
          <cell r="V202">
            <v>71.5</v>
          </cell>
          <cell r="AA202">
            <v>306</v>
          </cell>
        </row>
        <row r="203">
          <cell r="L203">
            <v>0</v>
          </cell>
          <cell r="M203">
            <v>45</v>
          </cell>
          <cell r="N203">
            <v>0</v>
          </cell>
          <cell r="O203">
            <v>0</v>
          </cell>
          <cell r="P203">
            <v>0</v>
          </cell>
          <cell r="U203">
            <v>189</v>
          </cell>
          <cell r="V203">
            <v>71.5</v>
          </cell>
          <cell r="AA203">
            <v>309</v>
          </cell>
          <cell r="AE203">
            <v>5416</v>
          </cell>
        </row>
        <row r="205"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U205">
            <v>193</v>
          </cell>
          <cell r="V205">
            <v>71.5</v>
          </cell>
          <cell r="AA205">
            <v>341</v>
          </cell>
        </row>
        <row r="206"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U206">
            <v>173</v>
          </cell>
          <cell r="V206">
            <v>71.5</v>
          </cell>
          <cell r="AA206">
            <v>299</v>
          </cell>
        </row>
        <row r="207"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U207">
            <v>183</v>
          </cell>
          <cell r="V207">
            <v>71.5</v>
          </cell>
          <cell r="AA207">
            <v>394</v>
          </cell>
        </row>
        <row r="208"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U208">
            <v>215</v>
          </cell>
          <cell r="V208">
            <v>71.5</v>
          </cell>
          <cell r="AA208">
            <v>299</v>
          </cell>
        </row>
        <row r="210">
          <cell r="L210">
            <v>0</v>
          </cell>
          <cell r="M210">
            <v>497</v>
          </cell>
          <cell r="N210">
            <v>0</v>
          </cell>
          <cell r="O210">
            <v>0</v>
          </cell>
          <cell r="P210">
            <v>0</v>
          </cell>
          <cell r="U210">
            <v>229.5</v>
          </cell>
          <cell r="V210">
            <v>71.5</v>
          </cell>
          <cell r="AA210">
            <v>346.4</v>
          </cell>
        </row>
        <row r="211"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U211">
            <v>207.5</v>
          </cell>
          <cell r="V211">
            <v>71.5</v>
          </cell>
          <cell r="AA211">
            <v>343.8</v>
          </cell>
        </row>
        <row r="212"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U212">
            <v>170.5</v>
          </cell>
          <cell r="V212">
            <v>71.5</v>
          </cell>
          <cell r="AA212">
            <v>303.60000000000002</v>
          </cell>
        </row>
        <row r="213"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U213">
            <v>192.5</v>
          </cell>
          <cell r="V213">
            <v>71.5</v>
          </cell>
          <cell r="AA213">
            <v>340.3</v>
          </cell>
        </row>
        <row r="214"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U214">
            <v>204.5</v>
          </cell>
          <cell r="V214">
            <v>71.5</v>
          </cell>
          <cell r="AA214">
            <v>322</v>
          </cell>
        </row>
        <row r="215">
          <cell r="L215">
            <v>0</v>
          </cell>
          <cell r="M215">
            <v>44</v>
          </cell>
          <cell r="N215">
            <v>0</v>
          </cell>
          <cell r="O215">
            <v>0</v>
          </cell>
          <cell r="P215">
            <v>0</v>
          </cell>
          <cell r="U215">
            <v>208.5</v>
          </cell>
          <cell r="V215">
            <v>71.5</v>
          </cell>
          <cell r="AA215">
            <v>273</v>
          </cell>
          <cell r="AE215">
            <v>5693</v>
          </cell>
        </row>
        <row r="217"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U217">
            <v>210.5</v>
          </cell>
          <cell r="V217">
            <v>71.5</v>
          </cell>
          <cell r="AA217">
            <v>336.4</v>
          </cell>
        </row>
        <row r="218"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U218">
            <v>188.5</v>
          </cell>
          <cell r="V218">
            <v>71.5</v>
          </cell>
          <cell r="AA218">
            <v>341.2</v>
          </cell>
        </row>
        <row r="219"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U219">
            <v>198.5</v>
          </cell>
          <cell r="V219">
            <v>71.5</v>
          </cell>
          <cell r="AA219">
            <v>331</v>
          </cell>
        </row>
        <row r="220"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U220">
            <v>233.5</v>
          </cell>
          <cell r="V220">
            <v>71.5</v>
          </cell>
          <cell r="AA220">
            <v>248.6</v>
          </cell>
        </row>
        <row r="222">
          <cell r="L222">
            <v>0</v>
          </cell>
          <cell r="M222">
            <v>503</v>
          </cell>
          <cell r="N222">
            <v>1</v>
          </cell>
          <cell r="O222">
            <v>0</v>
          </cell>
          <cell r="P222">
            <v>0</v>
          </cell>
          <cell r="U222">
            <v>272</v>
          </cell>
          <cell r="V222">
            <v>75</v>
          </cell>
        </row>
        <row r="223">
          <cell r="L223">
            <v>0</v>
          </cell>
          <cell r="M223">
            <v>214</v>
          </cell>
          <cell r="N223">
            <v>2</v>
          </cell>
          <cell r="O223">
            <v>0</v>
          </cell>
          <cell r="P223">
            <v>0</v>
          </cell>
          <cell r="U223">
            <v>251</v>
          </cell>
          <cell r="V223">
            <v>75</v>
          </cell>
        </row>
        <row r="224"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U224">
            <v>199</v>
          </cell>
          <cell r="V224">
            <v>75</v>
          </cell>
        </row>
        <row r="225">
          <cell r="L225">
            <v>0</v>
          </cell>
          <cell r="M225">
            <v>146</v>
          </cell>
          <cell r="N225">
            <v>0</v>
          </cell>
          <cell r="O225">
            <v>0</v>
          </cell>
          <cell r="P225">
            <v>0</v>
          </cell>
          <cell r="U225">
            <v>223</v>
          </cell>
          <cell r="V225">
            <v>75</v>
          </cell>
        </row>
        <row r="226">
          <cell r="L226">
            <v>0</v>
          </cell>
          <cell r="M226">
            <v>37</v>
          </cell>
          <cell r="N226">
            <v>0</v>
          </cell>
          <cell r="O226">
            <v>0</v>
          </cell>
          <cell r="P226">
            <v>0</v>
          </cell>
          <cell r="U226">
            <v>235</v>
          </cell>
          <cell r="V226">
            <v>75</v>
          </cell>
        </row>
        <row r="227">
          <cell r="L227">
            <v>0</v>
          </cell>
          <cell r="M227">
            <v>1</v>
          </cell>
          <cell r="N227">
            <v>0</v>
          </cell>
          <cell r="O227">
            <v>48</v>
          </cell>
          <cell r="P227">
            <v>0</v>
          </cell>
          <cell r="U227">
            <v>242</v>
          </cell>
          <cell r="V227">
            <v>75</v>
          </cell>
          <cell r="AE227">
            <v>6282</v>
          </cell>
        </row>
        <row r="229"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U229">
            <v>242</v>
          </cell>
          <cell r="V229">
            <v>75</v>
          </cell>
        </row>
        <row r="230"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U230">
            <v>219</v>
          </cell>
          <cell r="V230">
            <v>75</v>
          </cell>
        </row>
        <row r="231"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U231">
            <v>250</v>
          </cell>
          <cell r="V231">
            <v>75</v>
          </cell>
        </row>
        <row r="232"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U232">
            <v>291</v>
          </cell>
          <cell r="V232">
            <v>75</v>
          </cell>
        </row>
        <row r="233">
          <cell r="L233">
            <v>279</v>
          </cell>
          <cell r="M233">
            <v>870</v>
          </cell>
          <cell r="N233">
            <v>0</v>
          </cell>
          <cell r="O233">
            <v>0</v>
          </cell>
          <cell r="P233">
            <v>0</v>
          </cell>
          <cell r="U233">
            <v>317</v>
          </cell>
        </row>
        <row r="234"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U234">
            <v>307</v>
          </cell>
          <cell r="V234">
            <v>75</v>
          </cell>
        </row>
        <row r="235"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U235">
            <v>281</v>
          </cell>
          <cell r="V235">
            <v>75</v>
          </cell>
        </row>
        <row r="236">
          <cell r="L236">
            <v>55</v>
          </cell>
          <cell r="M236">
            <v>42</v>
          </cell>
          <cell r="N236">
            <v>0</v>
          </cell>
          <cell r="O236">
            <v>0</v>
          </cell>
          <cell r="P236">
            <v>0</v>
          </cell>
          <cell r="U236">
            <v>214</v>
          </cell>
          <cell r="V236">
            <v>75</v>
          </cell>
        </row>
        <row r="237"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U237">
            <v>240</v>
          </cell>
          <cell r="V237">
            <v>75</v>
          </cell>
        </row>
        <row r="238"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U238">
            <v>253</v>
          </cell>
          <cell r="V238">
            <v>75</v>
          </cell>
        </row>
        <row r="239"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U239">
            <v>259</v>
          </cell>
          <cell r="V239">
            <v>75</v>
          </cell>
        </row>
        <row r="240">
          <cell r="L240">
            <v>0</v>
          </cell>
          <cell r="M240">
            <v>156</v>
          </cell>
          <cell r="N240">
            <v>0</v>
          </cell>
          <cell r="O240">
            <v>0</v>
          </cell>
          <cell r="P240">
            <v>0</v>
          </cell>
          <cell r="U240">
            <v>268</v>
          </cell>
          <cell r="V240">
            <v>75</v>
          </cell>
          <cell r="AE240">
            <v>6405</v>
          </cell>
        </row>
        <row r="241"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U241">
            <v>259</v>
          </cell>
          <cell r="V241">
            <v>75</v>
          </cell>
        </row>
        <row r="242"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U242">
            <v>234</v>
          </cell>
          <cell r="V242">
            <v>75</v>
          </cell>
        </row>
        <row r="243"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U243">
            <v>278</v>
          </cell>
          <cell r="V243">
            <v>75</v>
          </cell>
        </row>
        <row r="244"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U244">
            <v>325</v>
          </cell>
          <cell r="V244">
            <v>75</v>
          </cell>
        </row>
        <row r="245">
          <cell r="L245">
            <v>81</v>
          </cell>
          <cell r="M245">
            <v>314</v>
          </cell>
          <cell r="N245">
            <v>0</v>
          </cell>
          <cell r="O245">
            <v>0</v>
          </cell>
          <cell r="P245">
            <v>0</v>
          </cell>
          <cell r="U245">
            <v>352</v>
          </cell>
        </row>
        <row r="246"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U246">
            <v>340</v>
          </cell>
          <cell r="V246">
            <v>75</v>
          </cell>
        </row>
        <row r="247"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U247">
            <v>309</v>
          </cell>
          <cell r="V247">
            <v>75</v>
          </cell>
        </row>
        <row r="248"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U248">
            <v>227</v>
          </cell>
          <cell r="V248">
            <v>75</v>
          </cell>
        </row>
        <row r="249">
          <cell r="L249">
            <v>0</v>
          </cell>
          <cell r="M249">
            <v>38</v>
          </cell>
          <cell r="N249">
            <v>0</v>
          </cell>
          <cell r="O249">
            <v>0</v>
          </cell>
          <cell r="P249">
            <v>0</v>
          </cell>
          <cell r="U249">
            <v>255</v>
          </cell>
          <cell r="V249">
            <v>75</v>
          </cell>
        </row>
        <row r="250"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U250">
            <v>268</v>
          </cell>
          <cell r="V250">
            <v>75</v>
          </cell>
        </row>
        <row r="251">
          <cell r="L251">
            <v>0</v>
          </cell>
          <cell r="M251">
            <v>171</v>
          </cell>
          <cell r="N251">
            <v>0</v>
          </cell>
          <cell r="O251">
            <v>0</v>
          </cell>
          <cell r="P251">
            <v>0</v>
          </cell>
          <cell r="U251">
            <v>275</v>
          </cell>
          <cell r="V251">
            <v>75</v>
          </cell>
        </row>
        <row r="252">
          <cell r="L252">
            <v>0</v>
          </cell>
          <cell r="M252">
            <v>54</v>
          </cell>
          <cell r="N252">
            <v>0</v>
          </cell>
          <cell r="O252">
            <v>0</v>
          </cell>
          <cell r="P252">
            <v>0</v>
          </cell>
          <cell r="U252">
            <v>284</v>
          </cell>
          <cell r="V252">
            <v>75</v>
          </cell>
          <cell r="AE252">
            <v>6536</v>
          </cell>
        </row>
        <row r="253"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U253">
            <v>274</v>
          </cell>
          <cell r="V253">
            <v>75</v>
          </cell>
        </row>
        <row r="254"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U254">
            <v>247</v>
          </cell>
          <cell r="V254">
            <v>75</v>
          </cell>
        </row>
        <row r="255"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U255">
            <v>300</v>
          </cell>
          <cell r="V255">
            <v>75</v>
          </cell>
        </row>
        <row r="256">
          <cell r="L256">
            <v>0</v>
          </cell>
          <cell r="M256">
            <v>71</v>
          </cell>
          <cell r="N256">
            <v>0</v>
          </cell>
          <cell r="O256">
            <v>0</v>
          </cell>
          <cell r="P256">
            <v>0</v>
          </cell>
          <cell r="U256">
            <v>351</v>
          </cell>
          <cell r="V256">
            <v>75</v>
          </cell>
        </row>
        <row r="257">
          <cell r="L257">
            <v>187</v>
          </cell>
          <cell r="M257">
            <v>900</v>
          </cell>
          <cell r="N257">
            <v>0</v>
          </cell>
          <cell r="O257">
            <v>75</v>
          </cell>
          <cell r="P257">
            <v>0</v>
          </cell>
          <cell r="U257">
            <v>379</v>
          </cell>
          <cell r="AA257">
            <v>249.08604151753758</v>
          </cell>
        </row>
        <row r="258"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U258">
            <v>365</v>
          </cell>
          <cell r="V258">
            <v>75</v>
          </cell>
        </row>
        <row r="259"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U259">
            <v>331</v>
          </cell>
          <cell r="V259">
            <v>75</v>
          </cell>
        </row>
        <row r="260"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U260">
            <v>239</v>
          </cell>
          <cell r="V260">
            <v>75</v>
          </cell>
        </row>
        <row r="261"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U261">
            <v>268</v>
          </cell>
          <cell r="V261">
            <v>75</v>
          </cell>
        </row>
        <row r="262"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U262">
            <v>282</v>
          </cell>
          <cell r="V262">
            <v>75</v>
          </cell>
        </row>
        <row r="263"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U263">
            <v>289</v>
          </cell>
          <cell r="V263">
            <v>75</v>
          </cell>
        </row>
        <row r="264"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U264">
            <v>298</v>
          </cell>
          <cell r="V264">
            <v>75</v>
          </cell>
          <cell r="AA264">
            <v>275.35899376214337</v>
          </cell>
          <cell r="AE264">
            <v>6666</v>
          </cell>
        </row>
        <row r="265"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U265">
            <v>288</v>
          </cell>
          <cell r="V265">
            <v>75</v>
          </cell>
        </row>
        <row r="266"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U266">
            <v>260</v>
          </cell>
          <cell r="V266">
            <v>75</v>
          </cell>
        </row>
        <row r="267"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U267">
            <v>320</v>
          </cell>
          <cell r="V267">
            <v>75</v>
          </cell>
        </row>
        <row r="268"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U268">
            <v>376</v>
          </cell>
          <cell r="V268">
            <v>75</v>
          </cell>
        </row>
        <row r="269">
          <cell r="L269">
            <v>35</v>
          </cell>
          <cell r="M269">
            <v>257</v>
          </cell>
          <cell r="N269">
            <v>0</v>
          </cell>
          <cell r="O269">
            <v>119</v>
          </cell>
          <cell r="P269">
            <v>105</v>
          </cell>
          <cell r="U269">
            <v>404</v>
          </cell>
          <cell r="AA269">
            <v>307.7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U270">
            <v>390</v>
          </cell>
          <cell r="V270">
            <v>75</v>
          </cell>
        </row>
        <row r="271"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U271">
            <v>353</v>
          </cell>
          <cell r="V271">
            <v>75</v>
          </cell>
        </row>
        <row r="272"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U272">
            <v>252</v>
          </cell>
          <cell r="V272">
            <v>75</v>
          </cell>
        </row>
        <row r="273"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U273">
            <v>282</v>
          </cell>
          <cell r="V273">
            <v>75</v>
          </cell>
        </row>
        <row r="274"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U274">
            <v>297</v>
          </cell>
          <cell r="V274">
            <v>75</v>
          </cell>
        </row>
        <row r="275"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U275">
            <v>304</v>
          </cell>
          <cell r="V275">
            <v>75</v>
          </cell>
          <cell r="AA275">
            <v>291.59999999999997</v>
          </cell>
          <cell r="AE275">
            <v>7175</v>
          </cell>
        </row>
        <row r="277"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U277">
            <v>304</v>
          </cell>
          <cell r="V277">
            <v>75</v>
          </cell>
        </row>
        <row r="278"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U278">
            <v>274</v>
          </cell>
          <cell r="V278">
            <v>75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U279">
            <v>342</v>
          </cell>
          <cell r="V279">
            <v>75</v>
          </cell>
        </row>
        <row r="280"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U280">
            <v>403</v>
          </cell>
          <cell r="V280">
            <v>75</v>
          </cell>
        </row>
        <row r="281"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U281">
            <v>432</v>
          </cell>
          <cell r="AA281">
            <v>249.90818125897067</v>
          </cell>
        </row>
        <row r="282"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U282">
            <v>417</v>
          </cell>
          <cell r="V282">
            <v>75</v>
          </cell>
        </row>
        <row r="283"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U283">
            <v>377</v>
          </cell>
          <cell r="V283">
            <v>75</v>
          </cell>
        </row>
        <row r="284"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U284">
            <v>266</v>
          </cell>
          <cell r="V284">
            <v>75</v>
          </cell>
        </row>
        <row r="285"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U285">
            <v>298</v>
          </cell>
          <cell r="V285">
            <v>75</v>
          </cell>
        </row>
        <row r="286"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U286">
            <v>314</v>
          </cell>
          <cell r="V286">
            <v>75</v>
          </cell>
        </row>
        <row r="287"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U287">
            <v>321</v>
          </cell>
          <cell r="V287">
            <v>75</v>
          </cell>
          <cell r="AA287">
            <v>247.20103547262659</v>
          </cell>
          <cell r="AE287">
            <v>6939</v>
          </cell>
        </row>
        <row r="289"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U289">
            <v>321</v>
          </cell>
          <cell r="V289">
            <v>75</v>
          </cell>
        </row>
        <row r="290"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U290">
            <v>290</v>
          </cell>
          <cell r="V290">
            <v>75</v>
          </cell>
        </row>
        <row r="291"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U291">
            <v>366</v>
          </cell>
          <cell r="V291">
            <v>75</v>
          </cell>
        </row>
        <row r="292"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U292">
            <v>432</v>
          </cell>
          <cell r="V292">
            <v>75</v>
          </cell>
        </row>
        <row r="293"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U293">
            <v>463</v>
          </cell>
          <cell r="AA293">
            <v>315.45165915608356</v>
          </cell>
        </row>
        <row r="294"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U294">
            <v>446</v>
          </cell>
          <cell r="V294">
            <v>110</v>
          </cell>
        </row>
        <row r="295"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U295">
            <v>402</v>
          </cell>
          <cell r="V295">
            <v>110</v>
          </cell>
        </row>
        <row r="296"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U296">
            <v>281</v>
          </cell>
          <cell r="V296">
            <v>110</v>
          </cell>
        </row>
        <row r="297"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U297">
            <v>314</v>
          </cell>
          <cell r="V297">
            <v>110</v>
          </cell>
        </row>
        <row r="298"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U298">
            <v>331</v>
          </cell>
          <cell r="V298">
            <v>110</v>
          </cell>
          <cell r="AA298">
            <v>256.09999999999997</v>
          </cell>
          <cell r="AE298">
            <v>7434</v>
          </cell>
        </row>
        <row r="299"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U299">
            <v>338</v>
          </cell>
          <cell r="V299">
            <v>110</v>
          </cell>
        </row>
        <row r="301"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U301">
            <v>338</v>
          </cell>
          <cell r="V301">
            <v>110</v>
          </cell>
        </row>
        <row r="302"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U302">
            <v>305</v>
          </cell>
          <cell r="V302">
            <v>110</v>
          </cell>
        </row>
        <row r="303"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U303">
            <v>389</v>
          </cell>
          <cell r="V303">
            <v>110</v>
          </cell>
        </row>
        <row r="304"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U304">
            <v>460</v>
          </cell>
          <cell r="V304">
            <v>110</v>
          </cell>
        </row>
        <row r="305"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U305">
            <v>492</v>
          </cell>
          <cell r="AA305">
            <v>306.88716714461287</v>
          </cell>
        </row>
        <row r="306"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U306">
            <v>475</v>
          </cell>
          <cell r="V306">
            <v>110</v>
          </cell>
        </row>
        <row r="307"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U307">
            <v>428</v>
          </cell>
          <cell r="V307">
            <v>110</v>
          </cell>
        </row>
        <row r="308"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U308">
            <v>296</v>
          </cell>
          <cell r="V308">
            <v>110</v>
          </cell>
        </row>
        <row r="309"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U309">
            <v>332</v>
          </cell>
          <cell r="V309">
            <v>110</v>
          </cell>
        </row>
        <row r="310"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U310">
            <v>350</v>
          </cell>
          <cell r="V310">
            <v>110</v>
          </cell>
        </row>
        <row r="311"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U311">
            <v>358</v>
          </cell>
          <cell r="V311">
            <v>110</v>
          </cell>
        </row>
        <row r="312"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U312">
            <v>371</v>
          </cell>
          <cell r="V312">
            <v>110</v>
          </cell>
          <cell r="AA312">
            <v>349.64466407210159</v>
          </cell>
          <cell r="AE312">
            <v>7817</v>
          </cell>
        </row>
        <row r="313"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U313">
            <v>359</v>
          </cell>
          <cell r="V313">
            <v>110</v>
          </cell>
        </row>
        <row r="314"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U314">
            <v>324</v>
          </cell>
          <cell r="V314">
            <v>110</v>
          </cell>
        </row>
        <row r="315"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U315">
            <v>420</v>
          </cell>
          <cell r="V315">
            <v>66</v>
          </cell>
        </row>
        <row r="316"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U316">
            <v>500</v>
          </cell>
          <cell r="V316">
            <v>66</v>
          </cell>
        </row>
        <row r="318">
          <cell r="L318">
            <v>0</v>
          </cell>
          <cell r="M318">
            <v>52</v>
          </cell>
          <cell r="N318">
            <v>0</v>
          </cell>
          <cell r="O318">
            <v>0</v>
          </cell>
          <cell r="P318">
            <v>0</v>
          </cell>
          <cell r="U318">
            <v>515</v>
          </cell>
          <cell r="V318">
            <v>66</v>
          </cell>
          <cell r="AA318">
            <v>279.76203618521924</v>
          </cell>
        </row>
        <row r="319"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U319">
            <v>463</v>
          </cell>
          <cell r="V319">
            <v>66</v>
          </cell>
        </row>
        <row r="320"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U320">
            <v>315</v>
          </cell>
          <cell r="V320">
            <v>66</v>
          </cell>
        </row>
        <row r="321"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U321">
            <v>353</v>
          </cell>
          <cell r="V321">
            <v>66</v>
          </cell>
        </row>
        <row r="322"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U322">
            <v>372</v>
          </cell>
          <cell r="V322">
            <v>66</v>
          </cell>
        </row>
        <row r="323"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U323">
            <v>381</v>
          </cell>
          <cell r="V323">
            <v>66</v>
          </cell>
        </row>
        <row r="324"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U324">
            <v>394</v>
          </cell>
          <cell r="V324">
            <v>66</v>
          </cell>
          <cell r="AA324">
            <v>314.28541347235</v>
          </cell>
          <cell r="AE324">
            <v>7837</v>
          </cell>
        </row>
        <row r="325"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U325">
            <v>381</v>
          </cell>
          <cell r="V325">
            <v>66</v>
          </cell>
        </row>
        <row r="326"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U326">
            <v>344</v>
          </cell>
          <cell r="V326">
            <v>110</v>
          </cell>
        </row>
        <row r="327"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U327">
            <v>453</v>
          </cell>
          <cell r="V327">
            <v>110</v>
          </cell>
        </row>
        <row r="328"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U328">
            <v>540</v>
          </cell>
          <cell r="V328">
            <v>110</v>
          </cell>
        </row>
        <row r="330">
          <cell r="L330">
            <v>55</v>
          </cell>
          <cell r="M330">
            <v>30</v>
          </cell>
          <cell r="N330">
            <v>0</v>
          </cell>
          <cell r="O330">
            <v>0</v>
          </cell>
          <cell r="P330">
            <v>0</v>
          </cell>
          <cell r="U330">
            <v>555</v>
          </cell>
          <cell r="V330">
            <v>110</v>
          </cell>
          <cell r="AA330">
            <v>284</v>
          </cell>
        </row>
        <row r="331"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U331">
            <v>498</v>
          </cell>
          <cell r="V331">
            <v>110</v>
          </cell>
        </row>
        <row r="332"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U332">
            <v>334</v>
          </cell>
          <cell r="V332">
            <v>110</v>
          </cell>
        </row>
        <row r="333"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U333">
            <v>374</v>
          </cell>
          <cell r="V333">
            <v>110</v>
          </cell>
        </row>
        <row r="334"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U334">
            <v>395</v>
          </cell>
          <cell r="V334">
            <v>110</v>
          </cell>
        </row>
        <row r="335"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U335">
            <v>404</v>
          </cell>
          <cell r="V335">
            <v>110</v>
          </cell>
        </row>
        <row r="336">
          <cell r="L336">
            <v>44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U336">
            <v>418</v>
          </cell>
          <cell r="V336">
            <v>110</v>
          </cell>
          <cell r="AA336">
            <v>325</v>
          </cell>
          <cell r="AE336">
            <v>8266</v>
          </cell>
        </row>
        <row r="337"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U337">
            <v>404</v>
          </cell>
          <cell r="V337">
            <v>110</v>
          </cell>
        </row>
        <row r="338"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U338">
            <v>365</v>
          </cell>
          <cell r="V338">
            <v>110</v>
          </cell>
        </row>
        <row r="339"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U339">
            <v>485</v>
          </cell>
          <cell r="V339">
            <v>110</v>
          </cell>
        </row>
        <row r="340"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U340">
            <v>579</v>
          </cell>
          <cell r="V340">
            <v>110</v>
          </cell>
        </row>
        <row r="341">
          <cell r="L341">
            <v>47</v>
          </cell>
          <cell r="M341">
            <v>25</v>
          </cell>
          <cell r="N341">
            <v>0</v>
          </cell>
          <cell r="O341">
            <v>0</v>
          </cell>
          <cell r="P341">
            <v>0</v>
          </cell>
          <cell r="U341">
            <v>616</v>
          </cell>
          <cell r="AA341">
            <v>286.08827584620104</v>
          </cell>
        </row>
        <row r="342"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U342">
            <v>594</v>
          </cell>
          <cell r="V342">
            <v>110</v>
          </cell>
        </row>
        <row r="343"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U343">
            <v>532</v>
          </cell>
          <cell r="V343">
            <v>110</v>
          </cell>
        </row>
        <row r="344"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U344">
            <v>356</v>
          </cell>
          <cell r="V344">
            <v>110</v>
          </cell>
        </row>
        <row r="345"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U345">
            <v>399</v>
          </cell>
          <cell r="V345">
            <v>110</v>
          </cell>
        </row>
        <row r="346"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U346">
            <v>423</v>
          </cell>
          <cell r="V346">
            <v>110</v>
          </cell>
        </row>
        <row r="347"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U347">
            <v>433</v>
          </cell>
          <cell r="V347">
            <v>110</v>
          </cell>
        </row>
        <row r="348"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U348">
            <v>449</v>
          </cell>
          <cell r="V348">
            <v>110</v>
          </cell>
          <cell r="AA348">
            <v>332.5631455159014</v>
          </cell>
          <cell r="AE348">
            <v>7685</v>
          </cell>
        </row>
        <row r="349"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U349">
            <v>435</v>
          </cell>
          <cell r="V349">
            <v>110</v>
          </cell>
        </row>
        <row r="350"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U350">
            <v>393</v>
          </cell>
          <cell r="V350">
            <v>110</v>
          </cell>
        </row>
        <row r="351"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U351">
            <v>522</v>
          </cell>
          <cell r="V351">
            <v>110</v>
          </cell>
        </row>
        <row r="352"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U352">
            <v>625</v>
          </cell>
          <cell r="V352">
            <v>110</v>
          </cell>
        </row>
        <row r="354"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U354">
            <v>641</v>
          </cell>
          <cell r="V354">
            <v>110</v>
          </cell>
          <cell r="AA354">
            <v>261.0897566959722</v>
          </cell>
        </row>
        <row r="355"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U355">
            <v>575</v>
          </cell>
          <cell r="V355">
            <v>110</v>
          </cell>
        </row>
        <row r="356"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U356">
            <v>386</v>
          </cell>
          <cell r="V356">
            <v>110</v>
          </cell>
        </row>
        <row r="357"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U357">
            <v>432</v>
          </cell>
          <cell r="V357">
            <v>110</v>
          </cell>
        </row>
        <row r="358">
          <cell r="L358">
            <v>0</v>
          </cell>
          <cell r="M358">
            <v>14</v>
          </cell>
          <cell r="N358">
            <v>0</v>
          </cell>
          <cell r="O358">
            <v>0</v>
          </cell>
          <cell r="P358">
            <v>0</v>
          </cell>
          <cell r="U358">
            <v>457</v>
          </cell>
          <cell r="V358">
            <v>110</v>
          </cell>
          <cell r="AA358">
            <v>246.48435902678389</v>
          </cell>
          <cell r="AE358">
            <v>7857</v>
          </cell>
        </row>
        <row r="359"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U359">
            <v>467</v>
          </cell>
          <cell r="V359">
            <v>110</v>
          </cell>
        </row>
        <row r="361"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U361">
            <v>470</v>
          </cell>
          <cell r="V361">
            <v>110</v>
          </cell>
        </row>
        <row r="362"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U362">
            <v>424</v>
          </cell>
          <cell r="V362">
            <v>110</v>
          </cell>
        </row>
        <row r="363"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U363">
            <v>568</v>
          </cell>
          <cell r="V363">
            <v>110</v>
          </cell>
        </row>
        <row r="364"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U364">
            <v>682</v>
          </cell>
          <cell r="V364">
            <v>110</v>
          </cell>
        </row>
        <row r="365">
          <cell r="L365">
            <v>218.63837233064262</v>
          </cell>
          <cell r="M365">
            <v>887.3</v>
          </cell>
          <cell r="N365">
            <v>0</v>
          </cell>
          <cell r="O365">
            <v>110</v>
          </cell>
          <cell r="P365">
            <v>0</v>
          </cell>
          <cell r="U365">
            <v>720</v>
          </cell>
          <cell r="AA365">
            <v>245.89790027587611</v>
          </cell>
        </row>
        <row r="366">
          <cell r="L366">
            <v>0</v>
          </cell>
          <cell r="M366">
            <v>388</v>
          </cell>
          <cell r="N366">
            <v>0</v>
          </cell>
          <cell r="O366">
            <v>0</v>
          </cell>
          <cell r="P366">
            <v>0</v>
          </cell>
          <cell r="U366">
            <v>696</v>
          </cell>
          <cell r="V366">
            <v>110</v>
          </cell>
          <cell r="AA366">
            <v>250.77235107796054</v>
          </cell>
        </row>
        <row r="367"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U367">
            <v>624</v>
          </cell>
          <cell r="V367">
            <v>110</v>
          </cell>
        </row>
        <row r="368"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U368">
            <v>416</v>
          </cell>
          <cell r="V368">
            <v>110</v>
          </cell>
        </row>
        <row r="369"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U369">
            <v>467</v>
          </cell>
          <cell r="V369">
            <v>110</v>
          </cell>
        </row>
        <row r="370"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U370">
            <v>495</v>
          </cell>
          <cell r="V370">
            <v>110</v>
          </cell>
        </row>
        <row r="371"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U371">
            <v>508</v>
          </cell>
          <cell r="V371">
            <v>110</v>
          </cell>
          <cell r="AA371">
            <v>251.78083171554101</v>
          </cell>
          <cell r="AE371">
            <v>7679</v>
          </cell>
        </row>
        <row r="373"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U373">
            <v>513</v>
          </cell>
          <cell r="V373">
            <v>110</v>
          </cell>
        </row>
        <row r="374"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U374">
            <v>464</v>
          </cell>
          <cell r="V374">
            <v>110</v>
          </cell>
        </row>
        <row r="375"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U375">
            <v>626</v>
          </cell>
          <cell r="V375">
            <v>110</v>
          </cell>
        </row>
        <row r="376">
          <cell r="L376">
            <v>44</v>
          </cell>
          <cell r="M376">
            <v>0</v>
          </cell>
          <cell r="N376">
            <v>0</v>
          </cell>
          <cell r="O376">
            <v>109</v>
          </cell>
          <cell r="P376">
            <v>0</v>
          </cell>
          <cell r="U376">
            <v>755</v>
          </cell>
          <cell r="V376">
            <v>110</v>
          </cell>
          <cell r="AA376">
            <v>197.47614182078266</v>
          </cell>
        </row>
        <row r="378"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U378">
            <v>774</v>
          </cell>
          <cell r="V378">
            <v>110</v>
          </cell>
          <cell r="AA378">
            <v>254.62768885717199</v>
          </cell>
        </row>
        <row r="379"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U379">
            <v>692</v>
          </cell>
          <cell r="V379">
            <v>110</v>
          </cell>
        </row>
        <row r="380"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U380">
            <v>460</v>
          </cell>
          <cell r="V380">
            <v>110</v>
          </cell>
        </row>
        <row r="381"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U381">
            <v>515</v>
          </cell>
          <cell r="V381">
            <v>110</v>
          </cell>
        </row>
        <row r="382"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U382">
            <v>546</v>
          </cell>
          <cell r="V382">
            <v>110</v>
          </cell>
          <cell r="AA382">
            <v>225.05892547660312</v>
          </cell>
          <cell r="AE382">
            <v>7754</v>
          </cell>
        </row>
        <row r="383"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U383">
            <v>559</v>
          </cell>
          <cell r="V383">
            <v>110</v>
          </cell>
        </row>
        <row r="385"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U385">
            <v>564</v>
          </cell>
          <cell r="V385">
            <v>110</v>
          </cell>
        </row>
        <row r="386"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U386">
            <v>509</v>
          </cell>
          <cell r="V386">
            <v>110</v>
          </cell>
        </row>
        <row r="387"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U387">
            <v>689</v>
          </cell>
          <cell r="V387">
            <v>110</v>
          </cell>
        </row>
        <row r="388"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U388">
            <v>833</v>
          </cell>
          <cell r="V388">
            <v>110</v>
          </cell>
        </row>
        <row r="389"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U389">
            <v>883</v>
          </cell>
          <cell r="AA389">
            <v>183.59637695908813</v>
          </cell>
        </row>
        <row r="390"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U390">
            <v>850</v>
          </cell>
          <cell r="V390">
            <v>110</v>
          </cell>
          <cell r="AA390">
            <v>241.52900468145737</v>
          </cell>
        </row>
        <row r="391"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U391">
            <v>757</v>
          </cell>
          <cell r="V391">
            <v>110</v>
          </cell>
        </row>
        <row r="392"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U392">
            <v>500</v>
          </cell>
          <cell r="V392">
            <v>110</v>
          </cell>
        </row>
        <row r="393"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V393">
            <v>124</v>
          </cell>
        </row>
        <row r="394"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V394">
            <v>124</v>
          </cell>
        </row>
        <row r="395"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U395">
            <v>605</v>
          </cell>
          <cell r="V395">
            <v>124</v>
          </cell>
        </row>
        <row r="396"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U396">
            <v>628</v>
          </cell>
          <cell r="V396">
            <v>124</v>
          </cell>
          <cell r="AA396">
            <v>230.17056788113169</v>
          </cell>
        </row>
        <row r="397"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U397">
            <v>608</v>
          </cell>
          <cell r="V397">
            <v>124</v>
          </cell>
        </row>
        <row r="398"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U398">
            <v>548</v>
          </cell>
          <cell r="V398">
            <v>124</v>
          </cell>
        </row>
        <row r="399"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U399">
            <v>745</v>
          </cell>
          <cell r="V399">
            <v>124</v>
          </cell>
        </row>
        <row r="400"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U400">
            <v>900</v>
          </cell>
          <cell r="V400">
            <v>124</v>
          </cell>
        </row>
        <row r="401">
          <cell r="H401">
            <v>5481</v>
          </cell>
          <cell r="V401">
            <v>124</v>
          </cell>
          <cell r="AA401">
            <v>233</v>
          </cell>
        </row>
        <row r="402"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U402">
            <v>915</v>
          </cell>
          <cell r="V402">
            <v>124</v>
          </cell>
          <cell r="AA402">
            <v>230</v>
          </cell>
        </row>
        <row r="403"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U403">
            <v>814</v>
          </cell>
          <cell r="V403">
            <v>124</v>
          </cell>
        </row>
        <row r="404"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U404">
            <v>535</v>
          </cell>
          <cell r="V404">
            <v>124</v>
          </cell>
        </row>
        <row r="405"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U405">
            <v>597</v>
          </cell>
          <cell r="V405">
            <v>124</v>
          </cell>
        </row>
        <row r="406"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U406">
            <v>632</v>
          </cell>
          <cell r="V406">
            <v>124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oCoinMW"/>
      <sheetName val="ArCoinMw"/>
      <sheetName val="Meter Lev MW"/>
      <sheetName val="Slide Data"/>
    </sheetNames>
    <sheetDataSet>
      <sheetData sheetId="0">
        <row r="5">
          <cell r="C5">
            <v>13</v>
          </cell>
        </row>
        <row r="6">
          <cell r="F6">
            <v>4345</v>
          </cell>
          <cell r="G6">
            <v>3999.1872689222182</v>
          </cell>
        </row>
        <row r="7">
          <cell r="F7">
            <v>3806</v>
          </cell>
          <cell r="G7">
            <v>3592.0267643297293</v>
          </cell>
        </row>
        <row r="8">
          <cell r="F8">
            <v>4451</v>
          </cell>
          <cell r="G8">
            <v>4202.4783978607138</v>
          </cell>
        </row>
        <row r="9">
          <cell r="F9">
            <v>5304</v>
          </cell>
          <cell r="G9">
            <v>4856.5543657714215</v>
          </cell>
        </row>
        <row r="10">
          <cell r="F10">
            <v>5946</v>
          </cell>
          <cell r="G10">
            <v>5313.6279037321237</v>
          </cell>
        </row>
        <row r="11">
          <cell r="F11">
            <v>5790</v>
          </cell>
          <cell r="G11">
            <v>5153.6006045808626</v>
          </cell>
        </row>
        <row r="13">
          <cell r="F13">
            <v>5614</v>
          </cell>
          <cell r="G13">
            <v>5064.5418090919666</v>
          </cell>
        </row>
        <row r="14">
          <cell r="F14">
            <v>5221</v>
          </cell>
          <cell r="G14">
            <v>4770.2040809208229</v>
          </cell>
        </row>
        <row r="15">
          <cell r="F15">
            <v>3988</v>
          </cell>
          <cell r="G15">
            <v>3777.904708754796</v>
          </cell>
        </row>
        <row r="16">
          <cell r="F16">
            <v>5017</v>
          </cell>
          <cell r="G16">
            <v>4407.0798976863152</v>
          </cell>
        </row>
        <row r="18">
          <cell r="F18">
            <v>6056</v>
          </cell>
          <cell r="G18">
            <v>5282.4884083246134</v>
          </cell>
          <cell r="H18">
            <v>773.51159167538663</v>
          </cell>
        </row>
        <row r="19">
          <cell r="F19">
            <v>5157</v>
          </cell>
          <cell r="G19">
            <v>4540.2410301127775</v>
          </cell>
        </row>
        <row r="20">
          <cell r="F20">
            <v>5268</v>
          </cell>
          <cell r="G20">
            <v>4795.5998256016737</v>
          </cell>
        </row>
        <row r="21">
          <cell r="F21">
            <v>5395</v>
          </cell>
          <cell r="G21">
            <v>4789.5657830484824</v>
          </cell>
        </row>
        <row r="22">
          <cell r="F22">
            <v>5820</v>
          </cell>
          <cell r="G22">
            <v>5133.5008138588537</v>
          </cell>
        </row>
        <row r="23">
          <cell r="F23">
            <v>5903</v>
          </cell>
          <cell r="G23">
            <v>5225.5638646668995</v>
          </cell>
        </row>
        <row r="24">
          <cell r="F24">
            <v>5925</v>
          </cell>
          <cell r="G24">
            <v>5250.6955702825253</v>
          </cell>
        </row>
        <row r="25">
          <cell r="F25">
            <v>5815</v>
          </cell>
          <cell r="G25">
            <v>5178.221102197419</v>
          </cell>
        </row>
        <row r="26">
          <cell r="F26">
            <v>4736</v>
          </cell>
          <cell r="G26">
            <v>4333.76853854203</v>
          </cell>
        </row>
        <row r="27">
          <cell r="F27">
            <v>5178</v>
          </cell>
          <cell r="G27">
            <v>4455.6288338565282</v>
          </cell>
        </row>
        <row r="28">
          <cell r="F28">
            <v>5351</v>
          </cell>
          <cell r="G28">
            <v>4619.867910708057</v>
          </cell>
        </row>
        <row r="29">
          <cell r="F29">
            <v>6982</v>
          </cell>
          <cell r="H29">
            <v>972.25656121435668</v>
          </cell>
        </row>
        <row r="30">
          <cell r="F30">
            <v>5390</v>
          </cell>
          <cell r="G30">
            <v>4775.196290591708</v>
          </cell>
        </row>
        <row r="31">
          <cell r="F31">
            <v>4653</v>
          </cell>
          <cell r="G31">
            <v>4227.4159493522666</v>
          </cell>
        </row>
        <row r="32">
          <cell r="F32">
            <v>4479</v>
          </cell>
          <cell r="G32">
            <v>4087.998622792381</v>
          </cell>
        </row>
        <row r="33">
          <cell r="F33">
            <v>4892</v>
          </cell>
          <cell r="G33">
            <v>4368.3525131336883</v>
          </cell>
        </row>
        <row r="34">
          <cell r="F34">
            <v>5929</v>
          </cell>
          <cell r="G34">
            <v>5249.1810007948898</v>
          </cell>
        </row>
        <row r="35">
          <cell r="F35">
            <v>6357</v>
          </cell>
          <cell r="G35">
            <v>5543.7002760720306</v>
          </cell>
        </row>
        <row r="37">
          <cell r="F37">
            <v>5927</v>
          </cell>
          <cell r="G37">
            <v>5262.4077875496141</v>
          </cell>
        </row>
        <row r="38">
          <cell r="F38">
            <v>4599</v>
          </cell>
          <cell r="G38">
            <v>4258.1393536279975</v>
          </cell>
        </row>
        <row r="39">
          <cell r="F39">
            <v>5229</v>
          </cell>
          <cell r="G39">
            <v>4609.2294099751698</v>
          </cell>
        </row>
        <row r="40">
          <cell r="F40">
            <v>5160</v>
          </cell>
          <cell r="G40">
            <v>4483.0025648988585</v>
          </cell>
        </row>
        <row r="42">
          <cell r="F42">
            <v>6134</v>
          </cell>
          <cell r="G42">
            <v>5335.189719911813</v>
          </cell>
        </row>
        <row r="43">
          <cell r="F43">
            <v>6219</v>
          </cell>
          <cell r="G43">
            <v>5367.9674395613647</v>
          </cell>
          <cell r="H43">
            <v>851.03256043863507</v>
          </cell>
        </row>
        <row r="44">
          <cell r="F44">
            <v>3924</v>
          </cell>
          <cell r="G44">
            <v>3593.9722984372643</v>
          </cell>
        </row>
        <row r="45">
          <cell r="F45">
            <v>5030</v>
          </cell>
          <cell r="G45">
            <v>4578.3020151508181</v>
          </cell>
        </row>
        <row r="46">
          <cell r="F46">
            <v>6438</v>
          </cell>
          <cell r="G46">
            <v>5635.5756201557833</v>
          </cell>
        </row>
        <row r="47">
          <cell r="F47">
            <v>6545</v>
          </cell>
          <cell r="G47">
            <v>5673.1350958079447</v>
          </cell>
        </row>
        <row r="48">
          <cell r="F48">
            <v>6729</v>
          </cell>
          <cell r="G48">
            <v>5895.9332076727878</v>
          </cell>
        </row>
        <row r="49">
          <cell r="F49">
            <v>6173</v>
          </cell>
          <cell r="G49">
            <v>5435.2729770312526</v>
          </cell>
        </row>
        <row r="50">
          <cell r="F50">
            <v>5403</v>
          </cell>
          <cell r="G50">
            <v>4938.3394841510944</v>
          </cell>
        </row>
        <row r="51">
          <cell r="F51">
            <v>4979</v>
          </cell>
          <cell r="G51">
            <v>4401.074520503922</v>
          </cell>
        </row>
        <row r="52">
          <cell r="F52">
            <v>6653</v>
          </cell>
          <cell r="G52">
            <v>5648.9664188774441</v>
          </cell>
        </row>
        <row r="54">
          <cell r="F54">
            <v>6955</v>
          </cell>
          <cell r="G54">
            <v>5983.3130660555562</v>
          </cell>
          <cell r="H54">
            <v>971.68693394444358</v>
          </cell>
        </row>
        <row r="55">
          <cell r="F55">
            <v>5159</v>
          </cell>
          <cell r="G55">
            <v>4726.524355851755</v>
          </cell>
        </row>
        <row r="56">
          <cell r="F56">
            <v>5288</v>
          </cell>
          <cell r="G56">
            <v>4808.1097547505906</v>
          </cell>
        </row>
        <row r="57">
          <cell r="F57">
            <v>6054</v>
          </cell>
          <cell r="G57">
            <v>5385.7436871783066</v>
          </cell>
        </row>
        <row r="58">
          <cell r="F58">
            <v>6681</v>
          </cell>
          <cell r="G58">
            <v>5893.8649815541876</v>
          </cell>
        </row>
        <row r="59">
          <cell r="F59">
            <v>6495</v>
          </cell>
          <cell r="G59">
            <v>5752.5662611870257</v>
          </cell>
        </row>
        <row r="61">
          <cell r="F61">
            <v>6323</v>
          </cell>
          <cell r="G61">
            <v>5601.6055916469631</v>
          </cell>
        </row>
        <row r="62">
          <cell r="F62">
            <v>5482</v>
          </cell>
          <cell r="G62">
            <v>5001.5819811591964</v>
          </cell>
        </row>
        <row r="63">
          <cell r="F63">
            <v>4825</v>
          </cell>
          <cell r="G63">
            <v>4506.4813702377305</v>
          </cell>
        </row>
        <row r="64">
          <cell r="F64">
            <v>4487</v>
          </cell>
          <cell r="G64">
            <v>4109.4172325583022</v>
          </cell>
        </row>
        <row r="66">
          <cell r="F66">
            <v>7722</v>
          </cell>
          <cell r="G66">
            <v>6576.6527825594803</v>
          </cell>
          <cell r="H66">
            <v>1145.3472174405201</v>
          </cell>
        </row>
        <row r="67">
          <cell r="F67">
            <v>5064</v>
          </cell>
          <cell r="G67">
            <v>4537.923034443199</v>
          </cell>
        </row>
        <row r="68">
          <cell r="F68">
            <v>5487</v>
          </cell>
          <cell r="G68">
            <v>5009.952250303716</v>
          </cell>
        </row>
        <row r="69">
          <cell r="F69">
            <v>6851</v>
          </cell>
          <cell r="G69">
            <v>6056.8027416607383</v>
          </cell>
        </row>
        <row r="70">
          <cell r="F70">
            <v>6814</v>
          </cell>
          <cell r="G70">
            <v>6000.0078042363939</v>
          </cell>
        </row>
        <row r="71">
          <cell r="F71">
            <v>6840</v>
          </cell>
          <cell r="G71">
            <v>6056.6609359125141</v>
          </cell>
        </row>
        <row r="72">
          <cell r="F72">
            <v>7128</v>
          </cell>
          <cell r="G72">
            <v>6168.5743492775318</v>
          </cell>
        </row>
        <row r="73">
          <cell r="F73">
            <v>6654</v>
          </cell>
          <cell r="G73">
            <v>5952.6149307593696</v>
          </cell>
        </row>
        <row r="74">
          <cell r="F74">
            <v>6108</v>
          </cell>
          <cell r="G74">
            <v>5552.8308778409855</v>
          </cell>
        </row>
        <row r="75">
          <cell r="F75">
            <v>5553</v>
          </cell>
          <cell r="G75">
            <v>4922.5427830631506</v>
          </cell>
        </row>
        <row r="76">
          <cell r="F76">
            <v>6977</v>
          </cell>
          <cell r="G76">
            <v>5910.134411888911</v>
          </cell>
        </row>
        <row r="78">
          <cell r="F78">
            <v>8807</v>
          </cell>
          <cell r="G78">
            <v>7322.2203334661881</v>
          </cell>
          <cell r="H78">
            <v>1484.7796665338117</v>
          </cell>
        </row>
        <row r="79">
          <cell r="F79">
            <v>7246</v>
          </cell>
          <cell r="G79">
            <v>6339.3845562641163</v>
          </cell>
        </row>
        <row r="80">
          <cell r="F80">
            <v>5614</v>
          </cell>
          <cell r="G80">
            <v>5240.5584679155045</v>
          </cell>
        </row>
        <row r="81">
          <cell r="F81">
            <v>6360</v>
          </cell>
          <cell r="G81">
            <v>5742.6612237279132</v>
          </cell>
        </row>
        <row r="82">
          <cell r="F82">
            <v>6768</v>
          </cell>
          <cell r="G82">
            <v>6048.7818121429518</v>
          </cell>
        </row>
        <row r="83">
          <cell r="F83">
            <v>7164</v>
          </cell>
          <cell r="G83">
            <v>6340.284863026438</v>
          </cell>
        </row>
        <row r="85">
          <cell r="F85">
            <v>7052</v>
          </cell>
          <cell r="G85">
            <v>6342.2974526371727</v>
          </cell>
        </row>
        <row r="86">
          <cell r="F86">
            <v>5508</v>
          </cell>
          <cell r="G86">
            <v>4907.0111325893449</v>
          </cell>
        </row>
        <row r="87">
          <cell r="F87">
            <v>5190</v>
          </cell>
          <cell r="G87">
            <v>4896.8213887338916</v>
          </cell>
        </row>
        <row r="88">
          <cell r="F88">
            <v>7286</v>
          </cell>
          <cell r="G88">
            <v>6295.0996586953634</v>
          </cell>
        </row>
        <row r="89">
          <cell r="F89">
            <v>8072</v>
          </cell>
          <cell r="H89">
            <v>1233.2967460785401</v>
          </cell>
        </row>
        <row r="90">
          <cell r="F90">
            <v>5794</v>
          </cell>
          <cell r="G90">
            <v>5101.7669862056628</v>
          </cell>
        </row>
        <row r="91">
          <cell r="F91">
            <v>5028</v>
          </cell>
          <cell r="G91">
            <v>4817.6985740369946</v>
          </cell>
        </row>
        <row r="92">
          <cell r="F92">
            <v>5085</v>
          </cell>
          <cell r="G92">
            <v>4788.3365175219606</v>
          </cell>
        </row>
        <row r="93">
          <cell r="F93">
            <v>6798</v>
          </cell>
          <cell r="G93">
            <v>6131.3023124131996</v>
          </cell>
        </row>
        <row r="94">
          <cell r="F94">
            <v>6964</v>
          </cell>
          <cell r="G94">
            <v>6320.5249420450382</v>
          </cell>
        </row>
        <row r="95">
          <cell r="F95">
            <v>7462</v>
          </cell>
          <cell r="G95">
            <v>6590.0019459473278</v>
          </cell>
        </row>
        <row r="97">
          <cell r="F97">
            <v>6932</v>
          </cell>
          <cell r="G97">
            <v>6195.2094466672916</v>
          </cell>
        </row>
        <row r="98">
          <cell r="F98">
            <v>6426</v>
          </cell>
          <cell r="G98">
            <v>5865.8186585752383</v>
          </cell>
        </row>
        <row r="99">
          <cell r="F99">
            <v>5239</v>
          </cell>
          <cell r="G99">
            <v>4699.9751378837318</v>
          </cell>
        </row>
        <row r="100">
          <cell r="F100">
            <v>6608</v>
          </cell>
          <cell r="G100">
            <v>5814.845932625014</v>
          </cell>
        </row>
        <row r="102">
          <cell r="F102">
            <v>6156</v>
          </cell>
          <cell r="G102">
            <v>5415.0520354171949</v>
          </cell>
        </row>
        <row r="103">
          <cell r="F103">
            <v>6885</v>
          </cell>
          <cell r="G103">
            <v>5945.1856784802858</v>
          </cell>
          <cell r="H103">
            <v>939.81432151971467</v>
          </cell>
        </row>
        <row r="104">
          <cell r="F104">
            <v>5630</v>
          </cell>
          <cell r="G104">
            <v>5264.7974178978857</v>
          </cell>
        </row>
        <row r="105">
          <cell r="F105">
            <v>7066</v>
          </cell>
          <cell r="G105">
            <v>6301.0736442664238</v>
          </cell>
        </row>
        <row r="106">
          <cell r="F106">
            <v>8109</v>
          </cell>
          <cell r="G106">
            <v>6959.868516902432</v>
          </cell>
        </row>
        <row r="107">
          <cell r="F107">
            <v>8010</v>
          </cell>
          <cell r="G107">
            <v>7068.8451979043075</v>
          </cell>
        </row>
        <row r="109">
          <cell r="F109">
            <v>7310</v>
          </cell>
          <cell r="G109">
            <v>6520.4429308049821</v>
          </cell>
        </row>
        <row r="110">
          <cell r="F110">
            <v>7034</v>
          </cell>
          <cell r="G110">
            <v>6320.6926173604425</v>
          </cell>
        </row>
        <row r="111">
          <cell r="F111">
            <v>5387</v>
          </cell>
          <cell r="G111">
            <v>5101.8039374368336</v>
          </cell>
        </row>
        <row r="112">
          <cell r="F112">
            <v>5948</v>
          </cell>
          <cell r="G112">
            <v>5188.6460802379625</v>
          </cell>
        </row>
        <row r="113">
          <cell r="F113">
            <v>8929</v>
          </cell>
          <cell r="H113">
            <v>1726.2512212547529</v>
          </cell>
        </row>
        <row r="114">
          <cell r="F114">
            <v>7460</v>
          </cell>
          <cell r="G114">
            <v>6377.0261349082175</v>
          </cell>
        </row>
        <row r="115">
          <cell r="F115">
            <v>6311</v>
          </cell>
          <cell r="G115">
            <v>5427.4789228649934</v>
          </cell>
        </row>
        <row r="116">
          <cell r="F116">
            <v>6650</v>
          </cell>
          <cell r="G116">
            <v>5882.6102094905327</v>
          </cell>
        </row>
        <row r="117">
          <cell r="F117">
            <v>7226</v>
          </cell>
          <cell r="G117">
            <v>6297.8977441948809</v>
          </cell>
        </row>
        <row r="118">
          <cell r="F118">
            <v>7571</v>
          </cell>
          <cell r="G118">
            <v>6611.2579545949839</v>
          </cell>
        </row>
        <row r="119">
          <cell r="F119">
            <v>8179</v>
          </cell>
          <cell r="G119">
            <v>6866.6074485777417</v>
          </cell>
        </row>
        <row r="120">
          <cell r="F120">
            <v>8351</v>
          </cell>
          <cell r="G120">
            <v>7090.2832304564354</v>
          </cell>
        </row>
        <row r="121">
          <cell r="F121">
            <v>7602</v>
          </cell>
          <cell r="G121">
            <v>6557.7300344014657</v>
          </cell>
        </row>
        <row r="122">
          <cell r="F122">
            <v>6840</v>
          </cell>
          <cell r="G122">
            <v>5937.2</v>
          </cell>
        </row>
        <row r="123">
          <cell r="F123">
            <v>5731</v>
          </cell>
          <cell r="G123">
            <v>5076</v>
          </cell>
        </row>
        <row r="124">
          <cell r="F124">
            <v>7414</v>
          </cell>
          <cell r="G124">
            <v>6034.8</v>
          </cell>
        </row>
        <row r="125">
          <cell r="F125">
            <v>9293</v>
          </cell>
          <cell r="H125">
            <v>1713.3</v>
          </cell>
        </row>
        <row r="126">
          <cell r="F126">
            <v>8127</v>
          </cell>
          <cell r="G126">
            <v>6607.7</v>
          </cell>
        </row>
        <row r="127">
          <cell r="F127">
            <v>5912</v>
          </cell>
          <cell r="G127">
            <v>5307.0599999999995</v>
          </cell>
        </row>
        <row r="128">
          <cell r="F128">
            <v>5913</v>
          </cell>
          <cell r="G128">
            <v>5298.25</v>
          </cell>
        </row>
        <row r="129">
          <cell r="F129">
            <v>8151</v>
          </cell>
          <cell r="G129">
            <v>6955.73</v>
          </cell>
        </row>
        <row r="130">
          <cell r="F130">
            <v>8139</v>
          </cell>
          <cell r="G130">
            <v>6989.68</v>
          </cell>
        </row>
        <row r="131">
          <cell r="F131">
            <v>8344</v>
          </cell>
          <cell r="G131">
            <v>7102.36</v>
          </cell>
        </row>
        <row r="132">
          <cell r="F132">
            <v>8484</v>
          </cell>
          <cell r="G132">
            <v>7181.8</v>
          </cell>
        </row>
        <row r="133">
          <cell r="F133">
            <v>7998</v>
          </cell>
          <cell r="G133">
            <v>6821</v>
          </cell>
        </row>
        <row r="134">
          <cell r="F134">
            <v>7683</v>
          </cell>
          <cell r="G134">
            <v>6608.3</v>
          </cell>
        </row>
        <row r="135">
          <cell r="F135">
            <v>7589</v>
          </cell>
          <cell r="G135">
            <v>6188.5</v>
          </cell>
        </row>
        <row r="136">
          <cell r="F136">
            <v>9187</v>
          </cell>
          <cell r="G136">
            <v>7393.3</v>
          </cell>
        </row>
        <row r="137">
          <cell r="F137">
            <v>9839</v>
          </cell>
          <cell r="H137">
            <v>1963.1</v>
          </cell>
        </row>
        <row r="138">
          <cell r="F138">
            <v>7735</v>
          </cell>
          <cell r="G138">
            <v>6499.9</v>
          </cell>
        </row>
        <row r="139">
          <cell r="F139">
            <v>6271</v>
          </cell>
          <cell r="G139">
            <v>5323.18</v>
          </cell>
        </row>
        <row r="140">
          <cell r="F140">
            <v>7157</v>
          </cell>
          <cell r="G140">
            <v>6109.35</v>
          </cell>
        </row>
        <row r="141">
          <cell r="F141">
            <v>7752</v>
          </cell>
          <cell r="G141">
            <v>6922.4</v>
          </cell>
        </row>
        <row r="142">
          <cell r="F142">
            <v>8269</v>
          </cell>
          <cell r="G142">
            <v>7275.3</v>
          </cell>
        </row>
        <row r="143">
          <cell r="F143">
            <v>8163</v>
          </cell>
          <cell r="G143">
            <v>7154.7</v>
          </cell>
        </row>
        <row r="144">
          <cell r="F144">
            <v>8471</v>
          </cell>
          <cell r="G144">
            <v>7368.6</v>
          </cell>
        </row>
        <row r="145">
          <cell r="F145">
            <v>7930</v>
          </cell>
          <cell r="G145">
            <v>7081.6</v>
          </cell>
        </row>
        <row r="146">
          <cell r="F146">
            <v>6909</v>
          </cell>
          <cell r="G146">
            <v>5971</v>
          </cell>
        </row>
        <row r="147">
          <cell r="F147">
            <v>5386</v>
          </cell>
          <cell r="G147">
            <v>5021.5</v>
          </cell>
        </row>
        <row r="148">
          <cell r="F148">
            <v>6465</v>
          </cell>
          <cell r="G148">
            <v>5883.6</v>
          </cell>
        </row>
        <row r="149">
          <cell r="F149">
            <v>9721</v>
          </cell>
          <cell r="H149">
            <v>1612.2</v>
          </cell>
        </row>
        <row r="150">
          <cell r="F150">
            <v>8941</v>
          </cell>
          <cell r="G150">
            <v>7543.2</v>
          </cell>
        </row>
        <row r="151">
          <cell r="F151">
            <v>8345</v>
          </cell>
          <cell r="G151">
            <v>7220</v>
          </cell>
        </row>
        <row r="152">
          <cell r="F152">
            <v>7208</v>
          </cell>
          <cell r="G152">
            <v>6551.4</v>
          </cell>
        </row>
        <row r="153">
          <cell r="F153">
            <v>8127</v>
          </cell>
          <cell r="G153">
            <v>7115.3</v>
          </cell>
        </row>
        <row r="154">
          <cell r="F154">
            <v>8076</v>
          </cell>
          <cell r="G154">
            <v>7330</v>
          </cell>
        </row>
        <row r="155">
          <cell r="F155">
            <v>9034</v>
          </cell>
          <cell r="G155">
            <v>7841.9</v>
          </cell>
        </row>
        <row r="157">
          <cell r="F157">
            <v>8362</v>
          </cell>
          <cell r="G157">
            <v>7393.3</v>
          </cell>
        </row>
        <row r="158">
          <cell r="F158">
            <v>7920</v>
          </cell>
          <cell r="G158">
            <v>6941.69</v>
          </cell>
        </row>
        <row r="159">
          <cell r="F159">
            <v>6978</v>
          </cell>
          <cell r="G159">
            <v>6178.26</v>
          </cell>
        </row>
        <row r="160">
          <cell r="F160">
            <v>7828</v>
          </cell>
          <cell r="G160">
            <v>6775.3</v>
          </cell>
        </row>
        <row r="161">
          <cell r="F161">
            <v>10507</v>
          </cell>
          <cell r="H161">
            <v>1533.2</v>
          </cell>
        </row>
        <row r="162">
          <cell r="F162">
            <v>6508</v>
          </cell>
          <cell r="G162">
            <v>5857.5</v>
          </cell>
        </row>
        <row r="163">
          <cell r="F163">
            <v>7178</v>
          </cell>
          <cell r="G163">
            <v>6452.1</v>
          </cell>
        </row>
        <row r="164">
          <cell r="F164">
            <v>7209</v>
          </cell>
          <cell r="G164">
            <v>6499.3</v>
          </cell>
        </row>
        <row r="165">
          <cell r="F165">
            <v>8037</v>
          </cell>
          <cell r="G165">
            <v>7328.3</v>
          </cell>
        </row>
        <row r="166">
          <cell r="F166">
            <v>8287</v>
          </cell>
          <cell r="G166">
            <v>7558.9</v>
          </cell>
        </row>
        <row r="167">
          <cell r="F167">
            <v>8476</v>
          </cell>
          <cell r="G167">
            <v>7592.7</v>
          </cell>
        </row>
        <row r="169">
          <cell r="F169">
            <v>7982</v>
          </cell>
          <cell r="G169">
            <v>7278.9</v>
          </cell>
        </row>
        <row r="170">
          <cell r="F170">
            <v>7383</v>
          </cell>
          <cell r="G170">
            <v>6846.9</v>
          </cell>
        </row>
        <row r="171">
          <cell r="F171">
            <v>6887</v>
          </cell>
          <cell r="G171">
            <v>6343.2</v>
          </cell>
        </row>
        <row r="172">
          <cell r="F172">
            <v>8172</v>
          </cell>
          <cell r="G172">
            <v>6976.6</v>
          </cell>
        </row>
        <row r="173">
          <cell r="F173">
            <v>8748.2999999999993</v>
          </cell>
          <cell r="H173">
            <v>1163.0999999999999</v>
          </cell>
        </row>
        <row r="174">
          <cell r="F174">
            <v>7791.3</v>
          </cell>
          <cell r="G174">
            <v>6901</v>
          </cell>
        </row>
        <row r="175">
          <cell r="F175">
            <v>6017.3</v>
          </cell>
          <cell r="G175">
            <v>5465.7</v>
          </cell>
        </row>
        <row r="176">
          <cell r="F176">
            <v>6760.3</v>
          </cell>
          <cell r="G176">
            <v>6211.1</v>
          </cell>
        </row>
        <row r="177">
          <cell r="F177">
            <v>8446.2999999999993</v>
          </cell>
          <cell r="G177">
            <v>7609.4</v>
          </cell>
        </row>
        <row r="178">
          <cell r="F178">
            <v>9125.2999999999993</v>
          </cell>
          <cell r="G178">
            <v>8058.0999999999995</v>
          </cell>
        </row>
        <row r="179">
          <cell r="F179">
            <v>9058.2999999999993</v>
          </cell>
          <cell r="G179">
            <v>7980.0999999999995</v>
          </cell>
        </row>
        <row r="181">
          <cell r="F181">
            <v>8628.2999999999993</v>
          </cell>
          <cell r="G181">
            <v>7669.4999999999991</v>
          </cell>
        </row>
        <row r="182">
          <cell r="F182">
            <v>8324.2999999999993</v>
          </cell>
          <cell r="G182">
            <v>7503.9999999999991</v>
          </cell>
        </row>
        <row r="183">
          <cell r="F183">
            <v>7313.3</v>
          </cell>
          <cell r="G183">
            <v>6561.7000000000007</v>
          </cell>
        </row>
        <row r="184">
          <cell r="F184">
            <v>8303.2999999999993</v>
          </cell>
          <cell r="G184">
            <v>7236.7999999999993</v>
          </cell>
        </row>
        <row r="185">
          <cell r="F185">
            <v>10226.299999999999</v>
          </cell>
          <cell r="H185">
            <v>1599.8</v>
          </cell>
        </row>
        <row r="186">
          <cell r="F186">
            <v>7399.3</v>
          </cell>
          <cell r="G186">
            <v>6449.6</v>
          </cell>
        </row>
        <row r="187">
          <cell r="F187">
            <v>7610.3</v>
          </cell>
          <cell r="G187">
            <v>6662.3</v>
          </cell>
        </row>
        <row r="188">
          <cell r="F188">
            <v>7012.3</v>
          </cell>
          <cell r="G188">
            <v>6323.2</v>
          </cell>
        </row>
        <row r="189">
          <cell r="F189">
            <v>8478.2999999999993</v>
          </cell>
          <cell r="G189">
            <v>7453.7999999999993</v>
          </cell>
        </row>
        <row r="190">
          <cell r="F190">
            <v>8927.2999999999993</v>
          </cell>
          <cell r="G190">
            <v>7894.9999999999991</v>
          </cell>
        </row>
        <row r="191">
          <cell r="F191">
            <v>9671.2999999999993</v>
          </cell>
          <cell r="G191">
            <v>8403.9</v>
          </cell>
        </row>
        <row r="192">
          <cell r="F192">
            <v>9681.2999999999993</v>
          </cell>
          <cell r="G192">
            <v>8564.6999999999989</v>
          </cell>
        </row>
        <row r="193">
          <cell r="F193">
            <v>9090.2999999999993</v>
          </cell>
          <cell r="G193">
            <v>7950.5999999999995</v>
          </cell>
        </row>
        <row r="194">
          <cell r="F194">
            <v>8301.2999999999993</v>
          </cell>
          <cell r="G194">
            <v>7435.1999999999989</v>
          </cell>
        </row>
        <row r="195">
          <cell r="F195">
            <v>6424.3</v>
          </cell>
          <cell r="G195">
            <v>5757.4000000000005</v>
          </cell>
        </row>
        <row r="196">
          <cell r="F196">
            <v>7772.3</v>
          </cell>
          <cell r="G196">
            <v>6606.8</v>
          </cell>
        </row>
        <row r="198">
          <cell r="F198">
            <v>10094</v>
          </cell>
          <cell r="G198">
            <v>8627.2000000000007</v>
          </cell>
          <cell r="H198">
            <v>1466.8000000000002</v>
          </cell>
        </row>
        <row r="199">
          <cell r="F199">
            <v>6440</v>
          </cell>
          <cell r="G199">
            <v>5932.7</v>
          </cell>
        </row>
        <row r="200">
          <cell r="F200">
            <v>7836</v>
          </cell>
          <cell r="G200">
            <v>7182.5</v>
          </cell>
        </row>
        <row r="201">
          <cell r="F201">
            <v>8381</v>
          </cell>
          <cell r="G201">
            <v>7466.9</v>
          </cell>
        </row>
        <row r="202">
          <cell r="F202">
            <v>9348</v>
          </cell>
          <cell r="G202">
            <v>8200.1</v>
          </cell>
        </row>
        <row r="203">
          <cell r="F203">
            <v>9461</v>
          </cell>
          <cell r="G203">
            <v>8257</v>
          </cell>
        </row>
        <row r="204">
          <cell r="F204">
            <v>9689</v>
          </cell>
          <cell r="G204">
            <v>8431.9</v>
          </cell>
        </row>
        <row r="205">
          <cell r="F205">
            <v>8793</v>
          </cell>
          <cell r="G205">
            <v>7839.2</v>
          </cell>
        </row>
        <row r="206">
          <cell r="F206">
            <v>8285</v>
          </cell>
          <cell r="G206">
            <v>7484.2</v>
          </cell>
        </row>
        <row r="207">
          <cell r="F207">
            <v>6414</v>
          </cell>
          <cell r="G207">
            <v>5789.5</v>
          </cell>
        </row>
        <row r="208">
          <cell r="F208">
            <v>6792</v>
          </cell>
          <cell r="G208">
            <v>5792.8</v>
          </cell>
        </row>
        <row r="210">
          <cell r="F210">
            <v>9097</v>
          </cell>
          <cell r="G210">
            <v>7522</v>
          </cell>
          <cell r="H210">
            <v>1575</v>
          </cell>
        </row>
        <row r="211">
          <cell r="F211">
            <v>6990</v>
          </cell>
          <cell r="G211">
            <v>6054</v>
          </cell>
        </row>
        <row r="212">
          <cell r="F212">
            <v>7474</v>
          </cell>
          <cell r="G212">
            <v>6611</v>
          </cell>
        </row>
        <row r="213">
          <cell r="F213">
            <v>8123</v>
          </cell>
          <cell r="G213">
            <v>7149</v>
          </cell>
        </row>
        <row r="214">
          <cell r="F214">
            <v>9398</v>
          </cell>
          <cell r="G214">
            <v>8125</v>
          </cell>
        </row>
        <row r="215">
          <cell r="F215">
            <v>9842</v>
          </cell>
          <cell r="G215">
            <v>8464</v>
          </cell>
        </row>
        <row r="216">
          <cell r="F216">
            <v>10405</v>
          </cell>
          <cell r="G216">
            <v>8861</v>
          </cell>
        </row>
        <row r="217">
          <cell r="F217">
            <v>9443</v>
          </cell>
          <cell r="G217">
            <v>8224</v>
          </cell>
        </row>
        <row r="218">
          <cell r="F218">
            <v>8618</v>
          </cell>
          <cell r="G218">
            <v>7608</v>
          </cell>
        </row>
        <row r="219">
          <cell r="F219">
            <v>6812</v>
          </cell>
          <cell r="G219">
            <v>5871</v>
          </cell>
        </row>
        <row r="220">
          <cell r="F220">
            <v>7162</v>
          </cell>
          <cell r="G220">
            <v>6151</v>
          </cell>
        </row>
        <row r="221">
          <cell r="F221">
            <v>10210</v>
          </cell>
          <cell r="H221">
            <v>1828</v>
          </cell>
        </row>
        <row r="222">
          <cell r="F222">
            <v>8223</v>
          </cell>
          <cell r="G222">
            <v>6796</v>
          </cell>
        </row>
        <row r="223">
          <cell r="F223">
            <v>6794</v>
          </cell>
          <cell r="G223">
            <v>5740</v>
          </cell>
        </row>
        <row r="224">
          <cell r="F224">
            <v>7620</v>
          </cell>
          <cell r="G224">
            <v>6304</v>
          </cell>
        </row>
        <row r="225">
          <cell r="F225">
            <v>9298</v>
          </cell>
          <cell r="G225">
            <v>7720</v>
          </cell>
        </row>
        <row r="226">
          <cell r="F226">
            <v>9898</v>
          </cell>
          <cell r="G226">
            <v>8314</v>
          </cell>
        </row>
        <row r="227">
          <cell r="F227">
            <v>10017</v>
          </cell>
          <cell r="G227">
            <v>8458</v>
          </cell>
        </row>
        <row r="228">
          <cell r="F228">
            <v>10036</v>
          </cell>
          <cell r="G228">
            <v>8524</v>
          </cell>
        </row>
        <row r="229">
          <cell r="F229">
            <v>9501</v>
          </cell>
          <cell r="G229">
            <v>7998</v>
          </cell>
        </row>
        <row r="230">
          <cell r="F230">
            <v>8059</v>
          </cell>
          <cell r="G230">
            <v>6975</v>
          </cell>
        </row>
        <row r="231">
          <cell r="F231">
            <v>7446</v>
          </cell>
          <cell r="G231">
            <v>6215</v>
          </cell>
        </row>
        <row r="232">
          <cell r="F232">
            <v>8133</v>
          </cell>
          <cell r="G232">
            <v>6725</v>
          </cell>
        </row>
        <row r="234">
          <cell r="F234">
            <v>11313</v>
          </cell>
          <cell r="G234">
            <v>9085</v>
          </cell>
          <cell r="H234">
            <v>2228</v>
          </cell>
        </row>
        <row r="235">
          <cell r="F235">
            <v>7829</v>
          </cell>
          <cell r="G235">
            <v>6610</v>
          </cell>
        </row>
        <row r="236">
          <cell r="F236">
            <v>6818</v>
          </cell>
          <cell r="G236">
            <v>6112</v>
          </cell>
        </row>
        <row r="237">
          <cell r="F237">
            <v>8736</v>
          </cell>
          <cell r="G237">
            <v>7579</v>
          </cell>
        </row>
        <row r="238">
          <cell r="F238">
            <v>10247</v>
          </cell>
          <cell r="G238">
            <v>8629</v>
          </cell>
        </row>
        <row r="239">
          <cell r="F239">
            <v>9294</v>
          </cell>
          <cell r="G239">
            <v>8141</v>
          </cell>
        </row>
        <row r="241">
          <cell r="F241">
            <v>8392</v>
          </cell>
          <cell r="G241">
            <v>7414</v>
          </cell>
        </row>
        <row r="242">
          <cell r="F242">
            <v>8949</v>
          </cell>
          <cell r="G242">
            <v>7922</v>
          </cell>
        </row>
        <row r="243">
          <cell r="F243">
            <v>6236</v>
          </cell>
          <cell r="G243">
            <v>5684</v>
          </cell>
        </row>
        <row r="244">
          <cell r="F244">
            <v>7154</v>
          </cell>
          <cell r="G244">
            <v>6196</v>
          </cell>
        </row>
        <row r="245">
          <cell r="F245">
            <v>11644</v>
          </cell>
          <cell r="H245">
            <v>2174</v>
          </cell>
        </row>
        <row r="246">
          <cell r="F246">
            <v>8746</v>
          </cell>
          <cell r="G246">
            <v>7478</v>
          </cell>
        </row>
        <row r="247">
          <cell r="F247">
            <v>8276</v>
          </cell>
          <cell r="G247">
            <v>7237</v>
          </cell>
        </row>
        <row r="248">
          <cell r="F248">
            <v>6183</v>
          </cell>
          <cell r="G248">
            <v>5761</v>
          </cell>
        </row>
        <row r="249">
          <cell r="F249">
            <v>8585</v>
          </cell>
          <cell r="G249">
            <v>7542</v>
          </cell>
        </row>
        <row r="250">
          <cell r="F250">
            <v>9516</v>
          </cell>
          <cell r="G250">
            <v>8373</v>
          </cell>
        </row>
        <row r="251">
          <cell r="F251">
            <v>9600</v>
          </cell>
          <cell r="G251">
            <v>8328</v>
          </cell>
        </row>
        <row r="253">
          <cell r="F253">
            <v>8844</v>
          </cell>
          <cell r="G253">
            <v>7878</v>
          </cell>
        </row>
        <row r="254">
          <cell r="F254">
            <v>7753</v>
          </cell>
          <cell r="G254">
            <v>6989</v>
          </cell>
        </row>
        <row r="255">
          <cell r="F255">
            <v>6180</v>
          </cell>
          <cell r="G255">
            <v>5747</v>
          </cell>
        </row>
        <row r="256">
          <cell r="F256">
            <v>10381</v>
          </cell>
          <cell r="G256">
            <v>8756</v>
          </cell>
          <cell r="H256">
            <v>1625</v>
          </cell>
        </row>
        <row r="258">
          <cell r="F258">
            <v>7395</v>
          </cell>
          <cell r="G258">
            <v>6692</v>
          </cell>
        </row>
        <row r="259">
          <cell r="F259">
            <v>6133</v>
          </cell>
          <cell r="G259">
            <v>5474</v>
          </cell>
        </row>
        <row r="260">
          <cell r="F260">
            <v>8187</v>
          </cell>
          <cell r="G260">
            <v>7356</v>
          </cell>
        </row>
        <row r="261">
          <cell r="F261">
            <v>8443</v>
          </cell>
          <cell r="G261">
            <v>7555</v>
          </cell>
        </row>
        <row r="262">
          <cell r="F262">
            <v>9277</v>
          </cell>
          <cell r="G262">
            <v>8343</v>
          </cell>
        </row>
        <row r="263">
          <cell r="F263">
            <v>8917</v>
          </cell>
          <cell r="G263">
            <v>8038</v>
          </cell>
        </row>
        <row r="265">
          <cell r="F265">
            <v>8207</v>
          </cell>
          <cell r="G265">
            <v>7452</v>
          </cell>
        </row>
        <row r="266">
          <cell r="F266">
            <v>7176</v>
          </cell>
          <cell r="G266">
            <v>6448</v>
          </cell>
        </row>
        <row r="267">
          <cell r="F267">
            <v>5854</v>
          </cell>
          <cell r="G267">
            <v>5500</v>
          </cell>
        </row>
        <row r="268">
          <cell r="F268">
            <v>5043</v>
          </cell>
          <cell r="G268">
            <v>4893</v>
          </cell>
        </row>
        <row r="269">
          <cell r="F269">
            <v>8722</v>
          </cell>
          <cell r="H269">
            <v>905</v>
          </cell>
        </row>
        <row r="270">
          <cell r="F270">
            <v>8519</v>
          </cell>
          <cell r="G270">
            <v>7632</v>
          </cell>
        </row>
        <row r="271">
          <cell r="F271">
            <v>6135</v>
          </cell>
          <cell r="G271">
            <v>5820</v>
          </cell>
        </row>
        <row r="272">
          <cell r="F272">
            <v>7004</v>
          </cell>
          <cell r="G272">
            <v>6585</v>
          </cell>
        </row>
        <row r="273">
          <cell r="F273">
            <v>7942</v>
          </cell>
          <cell r="G273">
            <v>7488</v>
          </cell>
        </row>
        <row r="274">
          <cell r="F274">
            <v>8185</v>
          </cell>
          <cell r="G274">
            <v>7783</v>
          </cell>
        </row>
        <row r="275">
          <cell r="F275">
            <v>9026</v>
          </cell>
          <cell r="G275">
            <v>7946</v>
          </cell>
        </row>
        <row r="276">
          <cell r="F276">
            <v>8850</v>
          </cell>
          <cell r="G276">
            <v>7989</v>
          </cell>
        </row>
        <row r="277">
          <cell r="F277">
            <v>8108</v>
          </cell>
          <cell r="G277">
            <v>7598</v>
          </cell>
        </row>
        <row r="278">
          <cell r="F278">
            <v>7790</v>
          </cell>
          <cell r="G278">
            <v>7130</v>
          </cell>
        </row>
        <row r="279">
          <cell r="F279">
            <v>5749</v>
          </cell>
          <cell r="G279">
            <v>5012</v>
          </cell>
        </row>
        <row r="280">
          <cell r="F280">
            <v>6555</v>
          </cell>
          <cell r="G280">
            <v>5882</v>
          </cell>
        </row>
        <row r="282">
          <cell r="F282">
            <v>8032</v>
          </cell>
          <cell r="G282">
            <v>7200</v>
          </cell>
          <cell r="H282">
            <v>832</v>
          </cell>
        </row>
        <row r="283">
          <cell r="F283">
            <v>7856</v>
          </cell>
          <cell r="G283">
            <v>7019</v>
          </cell>
        </row>
        <row r="284">
          <cell r="F284">
            <v>7153</v>
          </cell>
          <cell r="G284">
            <v>6496</v>
          </cell>
        </row>
        <row r="285">
          <cell r="G285">
            <v>7270</v>
          </cell>
        </row>
        <row r="286">
          <cell r="F286">
            <v>8514</v>
          </cell>
          <cell r="G286">
            <v>7817</v>
          </cell>
        </row>
      </sheetData>
      <sheetData sheetId="1"/>
      <sheetData sheetId="2"/>
      <sheetData sheetId="3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FCST"/>
      <sheetName val="Comparison"/>
      <sheetName val="Charts"/>
    </sheetNames>
    <sheetDataSet>
      <sheetData sheetId="0">
        <row r="3">
          <cell r="BD3">
            <v>1300136</v>
          </cell>
          <cell r="BE3">
            <v>1301306</v>
          </cell>
          <cell r="BF3">
            <v>1294332</v>
          </cell>
          <cell r="BG3">
            <v>1277885</v>
          </cell>
          <cell r="BH3">
            <v>1274003</v>
          </cell>
          <cell r="BI3">
            <v>1276550</v>
          </cell>
          <cell r="BK3">
            <v>1278141</v>
          </cell>
          <cell r="BL3">
            <v>1286537</v>
          </cell>
          <cell r="BM3">
            <v>1292607</v>
          </cell>
          <cell r="BN3">
            <v>1320771</v>
          </cell>
        </row>
        <row r="4">
          <cell r="BD4">
            <v>1326197</v>
          </cell>
          <cell r="BE4">
            <v>1328498</v>
          </cell>
          <cell r="BF4">
            <v>1317095</v>
          </cell>
          <cell r="BG4">
            <v>1302703</v>
          </cell>
          <cell r="BH4">
            <v>1300019</v>
          </cell>
          <cell r="BI4">
            <v>1289511</v>
          </cell>
          <cell r="BK4">
            <v>1300493</v>
          </cell>
          <cell r="BL4">
            <v>1305947</v>
          </cell>
          <cell r="BM4">
            <v>1320601</v>
          </cell>
          <cell r="BN4">
            <v>1332215</v>
          </cell>
        </row>
        <row r="5">
          <cell r="BC5">
            <v>1340197</v>
          </cell>
          <cell r="BD5">
            <v>1345013</v>
          </cell>
          <cell r="BE5">
            <v>1346867</v>
          </cell>
          <cell r="BF5">
            <v>1339426</v>
          </cell>
          <cell r="BG5">
            <v>1328187</v>
          </cell>
          <cell r="BH5">
            <v>1326500</v>
          </cell>
          <cell r="BI5">
            <v>1328659</v>
          </cell>
          <cell r="BK5">
            <v>1331858</v>
          </cell>
          <cell r="BL5">
            <v>1337026</v>
          </cell>
          <cell r="BM5">
            <v>1345787</v>
          </cell>
          <cell r="BN5">
            <v>1356713</v>
          </cell>
          <cell r="DG5">
            <v>1500</v>
          </cell>
          <cell r="DI5">
            <v>7291</v>
          </cell>
          <cell r="DJ5">
            <v>11668</v>
          </cell>
          <cell r="DK5">
            <v>12644</v>
          </cell>
          <cell r="DL5">
            <v>13650</v>
          </cell>
          <cell r="DM5">
            <v>12589</v>
          </cell>
          <cell r="DN5">
            <v>11692</v>
          </cell>
          <cell r="DO5">
            <v>8100</v>
          </cell>
          <cell r="DP5">
            <v>6511</v>
          </cell>
        </row>
        <row r="6">
          <cell r="BC6">
            <v>1365798</v>
          </cell>
          <cell r="BD6">
            <v>1371769</v>
          </cell>
          <cell r="BE6">
            <v>1374112</v>
          </cell>
          <cell r="BF6">
            <v>1368451</v>
          </cell>
          <cell r="BG6">
            <v>1359939</v>
          </cell>
          <cell r="BH6">
            <v>1357193</v>
          </cell>
          <cell r="BI6">
            <v>1359262</v>
          </cell>
          <cell r="BJ6">
            <v>1363991</v>
          </cell>
          <cell r="BK6">
            <v>1366286</v>
          </cell>
          <cell r="BL6">
            <v>1370769</v>
          </cell>
          <cell r="BM6">
            <v>1380772</v>
          </cell>
          <cell r="BN6">
            <v>1389466</v>
          </cell>
          <cell r="DE6">
            <v>5107</v>
          </cell>
          <cell r="DH6">
            <v>5023</v>
          </cell>
          <cell r="DI6">
            <v>13912</v>
          </cell>
          <cell r="DJ6">
            <v>18970</v>
          </cell>
          <cell r="DK6">
            <v>20783</v>
          </cell>
          <cell r="DL6">
            <v>21695</v>
          </cell>
          <cell r="DM6">
            <v>21905</v>
          </cell>
          <cell r="DN6">
            <v>21433</v>
          </cell>
          <cell r="DO6">
            <v>16821</v>
          </cell>
          <cell r="DP6">
            <v>10487</v>
          </cell>
        </row>
        <row r="7">
          <cell r="BC7">
            <v>1396601</v>
          </cell>
          <cell r="BD7">
            <v>1402730</v>
          </cell>
          <cell r="BE7">
            <v>1406196</v>
          </cell>
          <cell r="BF7">
            <v>1402357</v>
          </cell>
          <cell r="BG7">
            <v>1395545</v>
          </cell>
          <cell r="BH7">
            <v>1395758</v>
          </cell>
          <cell r="BI7">
            <v>1399112</v>
          </cell>
          <cell r="BJ7">
            <v>1401378</v>
          </cell>
          <cell r="BK7">
            <v>1406417</v>
          </cell>
          <cell r="BL7">
            <v>1410296</v>
          </cell>
          <cell r="BM7">
            <v>1419670</v>
          </cell>
          <cell r="BN7">
            <v>1427527</v>
          </cell>
          <cell r="DE7">
            <v>7784</v>
          </cell>
          <cell r="DF7">
            <v>3746</v>
          </cell>
          <cell r="DG7">
            <v>5000</v>
          </cell>
          <cell r="DH7">
            <v>7045</v>
          </cell>
          <cell r="DI7">
            <v>17221</v>
          </cell>
          <cell r="DJ7">
            <v>23974</v>
          </cell>
          <cell r="DK7">
            <v>26072</v>
          </cell>
          <cell r="DL7">
            <v>26889</v>
          </cell>
          <cell r="DM7">
            <v>26291</v>
          </cell>
          <cell r="DN7">
            <v>25728</v>
          </cell>
          <cell r="DO7">
            <v>20562</v>
          </cell>
          <cell r="DP7">
            <v>12245</v>
          </cell>
        </row>
        <row r="8">
          <cell r="BC8">
            <v>1435810</v>
          </cell>
          <cell r="BD8">
            <v>1441263</v>
          </cell>
          <cell r="BE8">
            <v>1443952</v>
          </cell>
          <cell r="BF8">
            <v>1439173</v>
          </cell>
          <cell r="BG8">
            <v>1432566</v>
          </cell>
          <cell r="BH8">
            <v>1433294</v>
          </cell>
          <cell r="BI8">
            <v>1435789</v>
          </cell>
          <cell r="BJ8">
            <v>1437243</v>
          </cell>
          <cell r="BK8">
            <v>1440799</v>
          </cell>
          <cell r="BL8">
            <v>1443700</v>
          </cell>
          <cell r="BM8">
            <v>1452573</v>
          </cell>
          <cell r="BN8">
            <v>1459199</v>
          </cell>
          <cell r="DE8">
            <v>7063</v>
          </cell>
          <cell r="DF8">
            <v>5089</v>
          </cell>
          <cell r="DG8">
            <v>5214</v>
          </cell>
          <cell r="DH8">
            <v>8160</v>
          </cell>
          <cell r="DI8">
            <v>20185</v>
          </cell>
          <cell r="DJ8">
            <v>27518</v>
          </cell>
          <cell r="DK8">
            <v>29183</v>
          </cell>
          <cell r="DL8">
            <v>29753</v>
          </cell>
          <cell r="DM8">
            <v>28287</v>
          </cell>
          <cell r="DN8">
            <v>28831</v>
          </cell>
          <cell r="DO8">
            <v>22232</v>
          </cell>
          <cell r="DP8">
            <v>15023</v>
          </cell>
        </row>
        <row r="9">
          <cell r="BC9">
            <v>1465099</v>
          </cell>
          <cell r="BD9">
            <v>1472991</v>
          </cell>
          <cell r="BE9">
            <v>1473875</v>
          </cell>
          <cell r="BF9">
            <v>1468056</v>
          </cell>
          <cell r="BG9">
            <v>1467121</v>
          </cell>
          <cell r="BH9">
            <v>1467262</v>
          </cell>
          <cell r="BI9">
            <v>1468620</v>
          </cell>
          <cell r="BK9">
            <v>1475338</v>
          </cell>
          <cell r="BL9">
            <v>1477288</v>
          </cell>
          <cell r="BM9">
            <v>1484521</v>
          </cell>
          <cell r="BN9">
            <v>1490372</v>
          </cell>
          <cell r="DE9">
            <v>8839</v>
          </cell>
          <cell r="DF9">
            <v>6534</v>
          </cell>
          <cell r="DG9">
            <v>5593</v>
          </cell>
          <cell r="DH9">
            <v>8286</v>
          </cell>
          <cell r="DI9">
            <v>20910</v>
          </cell>
          <cell r="DJ9">
            <v>31575</v>
          </cell>
          <cell r="DK9">
            <v>32756</v>
          </cell>
          <cell r="DM9">
            <v>31770</v>
          </cell>
          <cell r="DN9">
            <v>29453</v>
          </cell>
          <cell r="DO9">
            <v>22126</v>
          </cell>
          <cell r="DP9">
            <v>14725</v>
          </cell>
        </row>
        <row r="10">
          <cell r="BC10">
            <v>1496688</v>
          </cell>
          <cell r="BD10">
            <v>1502391</v>
          </cell>
          <cell r="BE10">
            <v>1505564</v>
          </cell>
          <cell r="BF10">
            <v>1505532</v>
          </cell>
          <cell r="BG10">
            <v>1503732</v>
          </cell>
          <cell r="BH10">
            <v>1504504</v>
          </cell>
          <cell r="BI10">
            <v>1507318</v>
          </cell>
          <cell r="BK10">
            <v>1512323</v>
          </cell>
          <cell r="BL10">
            <v>1515838</v>
          </cell>
          <cell r="BM10">
            <v>1522213</v>
          </cell>
          <cell r="BN10">
            <v>1526222</v>
          </cell>
          <cell r="CM10">
            <v>45128</v>
          </cell>
          <cell r="CN10">
            <v>44762</v>
          </cell>
          <cell r="CO10">
            <v>44485</v>
          </cell>
          <cell r="CP10">
            <v>47206</v>
          </cell>
          <cell r="CQ10">
            <v>49058</v>
          </cell>
          <cell r="CR10">
            <v>49937</v>
          </cell>
          <cell r="CS10">
            <v>50975</v>
          </cell>
          <cell r="CU10">
            <v>51977</v>
          </cell>
          <cell r="CV10">
            <v>51509</v>
          </cell>
          <cell r="CW10">
            <v>50343</v>
          </cell>
          <cell r="CX10">
            <v>48771</v>
          </cell>
          <cell r="DE10">
            <v>9229</v>
          </cell>
          <cell r="DF10">
            <v>5710</v>
          </cell>
          <cell r="DG10">
            <v>5743</v>
          </cell>
          <cell r="DH10">
            <v>8643</v>
          </cell>
          <cell r="DI10">
            <v>21933</v>
          </cell>
          <cell r="DJ10">
            <v>32016</v>
          </cell>
          <cell r="DK10">
            <v>34193</v>
          </cell>
          <cell r="DM10">
            <v>34380</v>
          </cell>
          <cell r="DN10">
            <v>33307</v>
          </cell>
          <cell r="DO10">
            <v>24709</v>
          </cell>
          <cell r="DP10">
            <v>12479</v>
          </cell>
        </row>
        <row r="11">
          <cell r="BC11">
            <v>1532989</v>
          </cell>
          <cell r="BD11">
            <v>1537189</v>
          </cell>
          <cell r="BE11">
            <v>1540021</v>
          </cell>
          <cell r="BF11">
            <v>1540555</v>
          </cell>
          <cell r="BG11">
            <v>1541254</v>
          </cell>
          <cell r="BH11">
            <v>1542552</v>
          </cell>
          <cell r="BI11">
            <v>1545934</v>
          </cell>
          <cell r="BK11">
            <v>1552333</v>
          </cell>
          <cell r="BL11">
            <v>1555689</v>
          </cell>
          <cell r="BM11">
            <v>1557002</v>
          </cell>
          <cell r="BN11">
            <v>1564897</v>
          </cell>
          <cell r="CM11">
            <v>48857</v>
          </cell>
          <cell r="CN11">
            <v>46741</v>
          </cell>
          <cell r="CO11">
            <v>50852</v>
          </cell>
          <cell r="CP11">
            <v>50127</v>
          </cell>
          <cell r="CQ11">
            <v>52489</v>
          </cell>
          <cell r="CR11">
            <v>53798</v>
          </cell>
          <cell r="CS11">
            <v>53428</v>
          </cell>
          <cell r="CU11">
            <v>54825</v>
          </cell>
          <cell r="CV11">
            <v>53170</v>
          </cell>
          <cell r="CW11">
            <v>53476</v>
          </cell>
          <cell r="CX11">
            <v>53843</v>
          </cell>
          <cell r="DE11">
            <v>10084</v>
          </cell>
          <cell r="DF11">
            <v>6406</v>
          </cell>
          <cell r="DG11">
            <v>5748</v>
          </cell>
          <cell r="DH11">
            <v>10363</v>
          </cell>
          <cell r="DI11">
            <v>24517</v>
          </cell>
          <cell r="DJ11">
            <v>32161</v>
          </cell>
          <cell r="DK11">
            <v>32846</v>
          </cell>
          <cell r="DM11">
            <v>34376</v>
          </cell>
          <cell r="DN11">
            <v>32823</v>
          </cell>
          <cell r="DO11">
            <v>25791</v>
          </cell>
          <cell r="DP11">
            <v>17150</v>
          </cell>
        </row>
        <row r="12">
          <cell r="BC12">
            <v>1566839</v>
          </cell>
          <cell r="BD12">
            <v>1572502</v>
          </cell>
          <cell r="BE12">
            <v>1574683</v>
          </cell>
          <cell r="BF12">
            <v>1575300</v>
          </cell>
          <cell r="BG12">
            <v>1576931</v>
          </cell>
          <cell r="BH12">
            <v>1564584</v>
          </cell>
          <cell r="BI12">
            <v>1569496</v>
          </cell>
          <cell r="BJ12">
            <v>1573758</v>
          </cell>
          <cell r="BK12">
            <v>1577511</v>
          </cell>
          <cell r="BL12">
            <v>1581327</v>
          </cell>
          <cell r="BM12">
            <v>1587725</v>
          </cell>
          <cell r="BN12">
            <v>1593270</v>
          </cell>
          <cell r="CM12">
            <v>52491</v>
          </cell>
          <cell r="CN12">
            <v>52012</v>
          </cell>
          <cell r="CO12">
            <v>54279</v>
          </cell>
          <cell r="CP12">
            <v>52945</v>
          </cell>
          <cell r="CQ12">
            <v>56722</v>
          </cell>
          <cell r="CR12">
            <v>53622</v>
          </cell>
          <cell r="CS12">
            <v>59284</v>
          </cell>
          <cell r="CT12">
            <v>56552</v>
          </cell>
          <cell r="CU12">
            <v>58128</v>
          </cell>
          <cell r="CV12">
            <v>56452</v>
          </cell>
          <cell r="CW12">
            <v>58918</v>
          </cell>
          <cell r="CX12">
            <v>56109</v>
          </cell>
          <cell r="DE12">
            <v>11701</v>
          </cell>
          <cell r="DF12">
            <v>7003</v>
          </cell>
          <cell r="DG12">
            <v>6376</v>
          </cell>
          <cell r="DH12">
            <v>9626</v>
          </cell>
          <cell r="DI12">
            <v>26310</v>
          </cell>
          <cell r="DJ12">
            <v>34765</v>
          </cell>
          <cell r="DK12">
            <v>34897</v>
          </cell>
          <cell r="DL12">
            <v>33120</v>
          </cell>
          <cell r="DM12">
            <v>33158</v>
          </cell>
          <cell r="DN12">
            <v>34020</v>
          </cell>
          <cell r="DO12">
            <v>29206</v>
          </cell>
          <cell r="DP12">
            <v>19853</v>
          </cell>
        </row>
        <row r="13">
          <cell r="BD13">
            <v>1602962</v>
          </cell>
          <cell r="BE13">
            <v>1607087</v>
          </cell>
          <cell r="BF13">
            <v>1607083</v>
          </cell>
          <cell r="BG13">
            <v>1607229</v>
          </cell>
          <cell r="BH13">
            <v>1607801</v>
          </cell>
          <cell r="BI13">
            <v>1611744</v>
          </cell>
          <cell r="BJ13">
            <v>1614389</v>
          </cell>
          <cell r="BK13">
            <v>1616047</v>
          </cell>
          <cell r="BL13">
            <v>1618650</v>
          </cell>
          <cell r="BM13">
            <v>1623057</v>
          </cell>
          <cell r="BN13">
            <v>1626430</v>
          </cell>
          <cell r="CN13">
            <v>56135</v>
          </cell>
          <cell r="CO13">
            <v>56307</v>
          </cell>
          <cell r="CP13">
            <v>56168</v>
          </cell>
          <cell r="CQ13">
            <v>57194</v>
          </cell>
          <cell r="CR13">
            <v>58159</v>
          </cell>
          <cell r="CS13">
            <v>54786</v>
          </cell>
          <cell r="CT13">
            <v>60968</v>
          </cell>
          <cell r="CU13">
            <v>58153</v>
          </cell>
          <cell r="CV13">
            <v>53924</v>
          </cell>
          <cell r="CW13">
            <v>61173</v>
          </cell>
          <cell r="CX13">
            <v>58980</v>
          </cell>
          <cell r="DF13">
            <v>8133</v>
          </cell>
          <cell r="DG13">
            <v>7301</v>
          </cell>
          <cell r="DH13">
            <v>10265</v>
          </cell>
          <cell r="DI13">
            <v>22993</v>
          </cell>
          <cell r="DJ13">
            <v>34188</v>
          </cell>
          <cell r="DK13">
            <v>34654</v>
          </cell>
          <cell r="DL13">
            <v>33277</v>
          </cell>
          <cell r="DM13">
            <v>34755</v>
          </cell>
          <cell r="DN13">
            <v>35235</v>
          </cell>
          <cell r="DO13">
            <v>29078</v>
          </cell>
          <cell r="DP13">
            <v>19704</v>
          </cell>
        </row>
        <row r="14">
          <cell r="BD14">
            <v>1633647</v>
          </cell>
          <cell r="BE14">
            <v>1636345</v>
          </cell>
          <cell r="BF14">
            <v>1635775</v>
          </cell>
          <cell r="BG14">
            <v>1635705</v>
          </cell>
          <cell r="BH14">
            <v>1634138</v>
          </cell>
          <cell r="BI14">
            <v>1635912</v>
          </cell>
          <cell r="BJ14">
            <v>1635120</v>
          </cell>
          <cell r="BK14">
            <v>1636465</v>
          </cell>
          <cell r="BL14">
            <v>1635506</v>
          </cell>
          <cell r="BM14">
            <v>1637891</v>
          </cell>
          <cell r="BN14">
            <v>1634520</v>
          </cell>
          <cell r="CN14">
            <v>56743</v>
          </cell>
          <cell r="CO14">
            <v>56598</v>
          </cell>
          <cell r="CP14">
            <v>56743</v>
          </cell>
          <cell r="CQ14">
            <v>59436</v>
          </cell>
          <cell r="CR14">
            <v>58027</v>
          </cell>
          <cell r="CS14">
            <v>55263</v>
          </cell>
          <cell r="CT14">
            <v>64001</v>
          </cell>
          <cell r="CU14">
            <v>55323</v>
          </cell>
          <cell r="CV14">
            <v>58809</v>
          </cell>
          <cell r="CW14">
            <v>61927</v>
          </cell>
          <cell r="CX14">
            <v>56109</v>
          </cell>
          <cell r="DF14">
            <v>8488</v>
          </cell>
          <cell r="DG14">
            <v>7281</v>
          </cell>
          <cell r="DH14">
            <v>10663</v>
          </cell>
          <cell r="DI14">
            <v>24525</v>
          </cell>
          <cell r="DJ14">
            <v>36181</v>
          </cell>
          <cell r="DK14">
            <v>34940</v>
          </cell>
          <cell r="DL14">
            <v>33154</v>
          </cell>
          <cell r="DM14">
            <v>32473</v>
          </cell>
          <cell r="DN14">
            <v>33824</v>
          </cell>
          <cell r="DO14">
            <v>28837</v>
          </cell>
          <cell r="DP14">
            <v>21176</v>
          </cell>
        </row>
        <row r="15">
          <cell r="BC15">
            <v>1639056</v>
          </cell>
          <cell r="BD15">
            <v>1639271</v>
          </cell>
          <cell r="BE15">
            <v>1641954</v>
          </cell>
          <cell r="BF15">
            <v>1638638</v>
          </cell>
          <cell r="BG15">
            <v>1637081</v>
          </cell>
          <cell r="BH15">
            <v>1635905</v>
          </cell>
          <cell r="BI15">
            <v>1635021</v>
          </cell>
          <cell r="BJ15">
            <v>1634684</v>
          </cell>
          <cell r="BK15">
            <v>1633223</v>
          </cell>
          <cell r="BL15">
            <v>1631109</v>
          </cell>
          <cell r="BM15">
            <v>1630790</v>
          </cell>
          <cell r="BN15">
            <v>1630148</v>
          </cell>
          <cell r="CM15">
            <v>59524</v>
          </cell>
          <cell r="CN15">
            <v>58427</v>
          </cell>
          <cell r="CO15">
            <v>57705</v>
          </cell>
          <cell r="CP15">
            <v>58696</v>
          </cell>
          <cell r="CQ15">
            <v>57671</v>
          </cell>
          <cell r="CR15">
            <v>60481</v>
          </cell>
          <cell r="CS15">
            <v>55256</v>
          </cell>
          <cell r="CT15">
            <v>60430</v>
          </cell>
          <cell r="CU15">
            <v>63053</v>
          </cell>
          <cell r="CV15">
            <v>56735</v>
          </cell>
          <cell r="CW15">
            <v>61269</v>
          </cell>
          <cell r="CX15">
            <v>60851</v>
          </cell>
          <cell r="DE15">
            <v>14390</v>
          </cell>
          <cell r="DF15">
            <v>9342</v>
          </cell>
          <cell r="DG15">
            <v>8167</v>
          </cell>
          <cell r="DH15">
            <v>10289</v>
          </cell>
          <cell r="DI15">
            <v>24226</v>
          </cell>
          <cell r="DJ15">
            <v>33485</v>
          </cell>
          <cell r="DK15">
            <v>35786</v>
          </cell>
          <cell r="DL15">
            <v>35810</v>
          </cell>
          <cell r="DM15">
            <v>35064</v>
          </cell>
          <cell r="DN15">
            <v>35819</v>
          </cell>
          <cell r="DO15">
            <v>30354</v>
          </cell>
          <cell r="DP15">
            <v>20288</v>
          </cell>
        </row>
        <row r="16">
          <cell r="BD16">
            <v>1632376</v>
          </cell>
          <cell r="BE16">
            <v>1633128</v>
          </cell>
          <cell r="BF16">
            <v>1630363</v>
          </cell>
          <cell r="BG16">
            <v>1628862</v>
          </cell>
          <cell r="BH16">
            <v>1627485</v>
          </cell>
          <cell r="BI16">
            <v>1626972</v>
          </cell>
          <cell r="BK16">
            <v>1624849</v>
          </cell>
          <cell r="BL16">
            <v>1623687</v>
          </cell>
          <cell r="BM16">
            <v>1624998</v>
          </cell>
          <cell r="BN16">
            <v>1626076</v>
          </cell>
          <cell r="CN16">
            <v>61398</v>
          </cell>
          <cell r="CO16">
            <v>58664</v>
          </cell>
          <cell r="CP16">
            <v>58975</v>
          </cell>
          <cell r="CQ16">
            <v>59420</v>
          </cell>
          <cell r="CR16">
            <v>62231</v>
          </cell>
          <cell r="CS16">
            <v>61746</v>
          </cell>
          <cell r="CU16">
            <v>58949</v>
          </cell>
          <cell r="CV16">
            <v>57435</v>
          </cell>
          <cell r="CW16">
            <v>68960</v>
          </cell>
          <cell r="CX16">
            <v>60105</v>
          </cell>
          <cell r="DF16">
            <v>8614</v>
          </cell>
          <cell r="DG16">
            <v>8191</v>
          </cell>
          <cell r="DH16">
            <v>11719</v>
          </cell>
          <cell r="DI16">
            <v>25106</v>
          </cell>
          <cell r="DJ16">
            <v>35541</v>
          </cell>
          <cell r="DK16">
            <v>34301</v>
          </cell>
          <cell r="DM16">
            <v>35931</v>
          </cell>
          <cell r="DN16">
            <v>33958</v>
          </cell>
          <cell r="DO16">
            <v>28451</v>
          </cell>
          <cell r="DP16">
            <v>21648</v>
          </cell>
        </row>
        <row r="17">
          <cell r="BC17">
            <v>1629170</v>
          </cell>
          <cell r="BD17">
            <v>1631062</v>
          </cell>
          <cell r="BE17">
            <v>1633151</v>
          </cell>
          <cell r="BF17">
            <v>1633207</v>
          </cell>
          <cell r="BG17">
            <v>1632221</v>
          </cell>
          <cell r="BH17">
            <v>1632839</v>
          </cell>
          <cell r="BI17">
            <v>1632942</v>
          </cell>
          <cell r="BK17">
            <v>1632210</v>
          </cell>
          <cell r="BL17">
            <v>1632062</v>
          </cell>
          <cell r="BM17">
            <v>1633536</v>
          </cell>
          <cell r="BN17">
            <v>1635080</v>
          </cell>
          <cell r="CM17">
            <v>60286</v>
          </cell>
          <cell r="CN17">
            <v>57767</v>
          </cell>
          <cell r="CO17">
            <v>61077</v>
          </cell>
          <cell r="CP17">
            <v>60808</v>
          </cell>
          <cell r="CQ17">
            <v>59942</v>
          </cell>
          <cell r="CR17">
            <v>63876</v>
          </cell>
          <cell r="CS17">
            <v>60394</v>
          </cell>
          <cell r="CU17">
            <v>62477</v>
          </cell>
          <cell r="CV17">
            <v>56724</v>
          </cell>
          <cell r="CW17">
            <v>69737</v>
          </cell>
          <cell r="CX17">
            <v>64199</v>
          </cell>
          <cell r="DE17">
            <v>13111</v>
          </cell>
          <cell r="DF17">
            <v>8634</v>
          </cell>
          <cell r="DG17">
            <v>7628</v>
          </cell>
          <cell r="DH17">
            <v>11917</v>
          </cell>
          <cell r="DI17">
            <v>26275</v>
          </cell>
          <cell r="DJ17">
            <v>33219</v>
          </cell>
          <cell r="DK17">
            <v>33267</v>
          </cell>
          <cell r="DM17">
            <v>35062</v>
          </cell>
          <cell r="DN17">
            <v>36552</v>
          </cell>
          <cell r="DO17">
            <v>30770</v>
          </cell>
          <cell r="DP17">
            <v>29420</v>
          </cell>
        </row>
        <row r="18">
          <cell r="BD18">
            <v>1639251</v>
          </cell>
          <cell r="BE18">
            <v>1640963</v>
          </cell>
          <cell r="BF18">
            <v>1641165</v>
          </cell>
          <cell r="BG18">
            <v>1640462</v>
          </cell>
          <cell r="BH18">
            <v>1640668</v>
          </cell>
          <cell r="BI18">
            <v>1640478</v>
          </cell>
          <cell r="BJ18">
            <v>1640431</v>
          </cell>
          <cell r="BK18">
            <v>1640776</v>
          </cell>
          <cell r="BL18">
            <v>1641111</v>
          </cell>
          <cell r="BM18">
            <v>1642897</v>
          </cell>
          <cell r="BN18">
            <v>1644408</v>
          </cell>
          <cell r="CN18">
            <v>61111</v>
          </cell>
          <cell r="CO18">
            <v>57898</v>
          </cell>
          <cell r="CP18">
            <v>60193</v>
          </cell>
          <cell r="CQ18">
            <v>61820</v>
          </cell>
          <cell r="CR18">
            <v>61899</v>
          </cell>
          <cell r="CS18">
            <v>62054</v>
          </cell>
          <cell r="CT18">
            <v>65966</v>
          </cell>
          <cell r="CU18">
            <v>62252</v>
          </cell>
          <cell r="CV18">
            <v>58220</v>
          </cell>
          <cell r="CW18">
            <v>68549</v>
          </cell>
          <cell r="CX18">
            <v>62100</v>
          </cell>
          <cell r="DF18">
            <v>10250</v>
          </cell>
          <cell r="DG18">
            <v>9794</v>
          </cell>
          <cell r="DH18">
            <v>11887</v>
          </cell>
          <cell r="DI18">
            <v>23213</v>
          </cell>
          <cell r="DJ18">
            <v>34325</v>
          </cell>
          <cell r="DK18">
            <v>34464</v>
          </cell>
          <cell r="DM18">
            <v>34484</v>
          </cell>
          <cell r="DN18">
            <v>36507</v>
          </cell>
          <cell r="DO18">
            <v>33497</v>
          </cell>
          <cell r="DP18">
            <v>23606</v>
          </cell>
        </row>
        <row r="19">
          <cell r="BC19">
            <v>1646929</v>
          </cell>
          <cell r="BD19">
            <v>1650080</v>
          </cell>
          <cell r="BE19">
            <v>1653097</v>
          </cell>
          <cell r="BF19">
            <v>1653353</v>
          </cell>
          <cell r="BG19">
            <v>1652503</v>
          </cell>
          <cell r="BH19">
            <v>1652480</v>
          </cell>
          <cell r="BI19">
            <v>1654943</v>
          </cell>
          <cell r="BJ19">
            <v>1655109</v>
          </cell>
          <cell r="BK19">
            <v>1655538</v>
          </cell>
          <cell r="BL19">
            <v>1655799</v>
          </cell>
          <cell r="BM19">
            <v>1657962</v>
          </cell>
          <cell r="BN19">
            <v>1659840</v>
          </cell>
          <cell r="CE19">
            <v>1467018</v>
          </cell>
          <cell r="CM19">
            <v>58835</v>
          </cell>
          <cell r="CN19">
            <v>57887</v>
          </cell>
          <cell r="CO19">
            <v>61662</v>
          </cell>
          <cell r="CP19">
            <v>60330</v>
          </cell>
          <cell r="CQ19">
            <v>62126</v>
          </cell>
          <cell r="CR19">
            <v>61345</v>
          </cell>
          <cell r="CS19">
            <v>59771</v>
          </cell>
          <cell r="CT19">
            <v>66856</v>
          </cell>
          <cell r="CU19">
            <v>59440</v>
          </cell>
          <cell r="CV19">
            <v>61656</v>
          </cell>
          <cell r="CW19">
            <v>70258</v>
          </cell>
          <cell r="CX19">
            <v>62132</v>
          </cell>
          <cell r="DE19">
            <v>19972</v>
          </cell>
          <cell r="DF19">
            <v>11174</v>
          </cell>
          <cell r="DG19">
            <v>9508</v>
          </cell>
          <cell r="DH19">
            <v>12373</v>
          </cell>
          <cell r="DI19">
            <v>26844</v>
          </cell>
          <cell r="DJ19">
            <v>32297</v>
          </cell>
          <cell r="DK19">
            <v>37301</v>
          </cell>
          <cell r="DM19">
            <v>35692</v>
          </cell>
          <cell r="DN19">
            <v>36159</v>
          </cell>
          <cell r="DP19">
            <v>24120</v>
          </cell>
        </row>
        <row r="20">
          <cell r="BC20">
            <v>1661290</v>
          </cell>
          <cell r="BD20">
            <v>1664507</v>
          </cell>
          <cell r="BE20">
            <v>1667562</v>
          </cell>
          <cell r="BF20">
            <v>1668142</v>
          </cell>
          <cell r="BG20">
            <v>1677430</v>
          </cell>
          <cell r="BH20">
            <v>1670249</v>
          </cell>
          <cell r="BI20">
            <v>1669665</v>
          </cell>
          <cell r="BJ20">
            <v>1671403</v>
          </cell>
          <cell r="BK20">
            <v>1674348.78924866</v>
          </cell>
          <cell r="BL20">
            <v>1675865.0478194701</v>
          </cell>
          <cell r="BM20">
            <v>1677458.6999864201</v>
          </cell>
          <cell r="BN20">
            <v>1679025.89265728</v>
          </cell>
          <cell r="CA20">
            <v>1478112</v>
          </cell>
          <cell r="CB20">
            <v>1479289</v>
          </cell>
          <cell r="CC20">
            <v>1482273.78924866</v>
          </cell>
          <cell r="CD20">
            <v>1483618.0478194701</v>
          </cell>
          <cell r="CE20">
            <v>1485020.6999864201</v>
          </cell>
          <cell r="CF20">
            <v>1486476.89265728</v>
          </cell>
          <cell r="CN20">
            <v>61505</v>
          </cell>
          <cell r="CO20">
            <v>57216</v>
          </cell>
          <cell r="CP20">
            <v>61364</v>
          </cell>
          <cell r="CQ20">
            <v>64966</v>
          </cell>
          <cell r="CR20">
            <v>63172</v>
          </cell>
          <cell r="CS20">
            <v>61870</v>
          </cell>
          <cell r="CT20">
            <v>56987</v>
          </cell>
          <cell r="CU20">
            <v>62255.49914844372</v>
          </cell>
          <cell r="CV20">
            <v>62311.958008417743</v>
          </cell>
          <cell r="CW20">
            <v>62370.869399429648</v>
          </cell>
          <cell r="CX20">
            <v>62432.029491605761</v>
          </cell>
          <cell r="DF20">
            <v>11076</v>
          </cell>
          <cell r="DG20">
            <v>9370</v>
          </cell>
          <cell r="DH20">
            <v>11682</v>
          </cell>
          <cell r="DI20">
            <v>25670</v>
          </cell>
          <cell r="DJ20">
            <v>35479</v>
          </cell>
        </row>
        <row r="21">
          <cell r="BD21">
            <v>1682451.5950996799</v>
          </cell>
          <cell r="BE21">
            <v>1684187.71659772</v>
          </cell>
          <cell r="BF21">
            <v>1685920.25777379</v>
          </cell>
          <cell r="BG21">
            <v>1687744.8951314699</v>
          </cell>
          <cell r="BH21">
            <v>1689497.46858248</v>
          </cell>
          <cell r="BI21">
            <v>1691281.94829204</v>
          </cell>
          <cell r="BJ21">
            <v>1693582.2354812301</v>
          </cell>
          <cell r="BK21">
            <v>1695854.2684289</v>
          </cell>
          <cell r="BL21">
            <v>1698156.6006465401</v>
          </cell>
          <cell r="BM21">
            <v>1700470.3300766</v>
          </cell>
          <cell r="BN21">
            <v>1702695.95912638</v>
          </cell>
          <cell r="BU21">
            <v>1487979.2770484199</v>
          </cell>
          <cell r="BV21">
            <v>1489519.5950996799</v>
          </cell>
          <cell r="BW21">
            <v>1491089.71659772</v>
          </cell>
          <cell r="BX21">
            <v>1492682.25777379</v>
          </cell>
          <cell r="BY21">
            <v>1494290.8951314699</v>
          </cell>
          <cell r="BZ21">
            <v>1495910.46858248</v>
          </cell>
          <cell r="CA21">
            <v>1497536.94829204</v>
          </cell>
          <cell r="CB21">
            <v>1499580.2354812301</v>
          </cell>
          <cell r="CC21">
            <v>1501625.2684289</v>
          </cell>
          <cell r="CD21">
            <v>1503670.6006465401</v>
          </cell>
          <cell r="CE21">
            <v>1505715.3300766</v>
          </cell>
          <cell r="CF21">
            <v>1507758.95912638</v>
          </cell>
          <cell r="CM21">
            <v>62495.129636033642</v>
          </cell>
          <cell r="CN21">
            <v>62559.822994186557</v>
          </cell>
          <cell r="CO21">
            <v>62625.768097104243</v>
          </cell>
          <cell r="CP21">
            <v>62692.654826499187</v>
          </cell>
          <cell r="CQ21">
            <v>62760.217595521739</v>
          </cell>
          <cell r="CR21">
            <v>62828.239680464161</v>
          </cell>
          <cell r="CS21">
            <v>62896.551828265685</v>
          </cell>
          <cell r="CT21">
            <v>62982.369890211667</v>
          </cell>
          <cell r="CU21">
            <v>63068.261274013807</v>
          </cell>
          <cell r="CV21">
            <v>63154.165227154685</v>
          </cell>
          <cell r="CW21">
            <v>63240.043863217201</v>
          </cell>
          <cell r="CX21">
            <v>63325.876283307967</v>
          </cell>
        </row>
        <row r="22">
          <cell r="BC22">
            <v>1705014.2764886201</v>
          </cell>
          <cell r="BD22">
            <v>1707291.26190074</v>
          </cell>
          <cell r="BE22">
            <v>1709552.01265442</v>
          </cell>
          <cell r="BF22">
            <v>1711782.68934495</v>
          </cell>
          <cell r="BG22">
            <v>1714086.4777548499</v>
          </cell>
          <cell r="BH22">
            <v>1716304.5636603599</v>
          </cell>
          <cell r="BI22">
            <v>1718545.1175496201</v>
          </cell>
          <cell r="BJ22">
            <v>1720790.0282306401</v>
          </cell>
          <cell r="BK22">
            <v>1722982.6750279199</v>
          </cell>
          <cell r="BL22">
            <v>1725187.1530164599</v>
          </cell>
          <cell r="BM22">
            <v>1727404.53375683</v>
          </cell>
          <cell r="BN22">
            <v>1729534.86865829</v>
          </cell>
          <cell r="BU22">
            <v>1509801.2764886201</v>
          </cell>
          <cell r="BV22">
            <v>1511842.26190074</v>
          </cell>
          <cell r="BW22">
            <v>1513882.01265442</v>
          </cell>
          <cell r="BX22">
            <v>1515920.68934495</v>
          </cell>
          <cell r="BY22">
            <v>1517958.4777548499</v>
          </cell>
          <cell r="BZ22">
            <v>1519995.5636603599</v>
          </cell>
          <cell r="CA22">
            <v>1522032.1175496201</v>
          </cell>
          <cell r="CB22">
            <v>1523992.0282306401</v>
          </cell>
          <cell r="CC22">
            <v>1525951.6750279199</v>
          </cell>
          <cell r="CD22">
            <v>1527911.1530164599</v>
          </cell>
          <cell r="CE22">
            <v>1529870.53375683</v>
          </cell>
          <cell r="CF22">
            <v>1531829.86865829</v>
          </cell>
          <cell r="CM22">
            <v>63411.653612522045</v>
          </cell>
          <cell r="CN22">
            <v>63497.374999831081</v>
          </cell>
          <cell r="CO22">
            <v>63583.044531485641</v>
          </cell>
          <cell r="CP22">
            <v>63668.668952487904</v>
          </cell>
          <cell r="CQ22">
            <v>63754.256065703703</v>
          </cell>
          <cell r="CR22">
            <v>63839.813673735123</v>
          </cell>
          <cell r="CS22">
            <v>63925.348937084047</v>
          </cell>
          <cell r="CT22">
            <v>64007.665185686885</v>
          </cell>
          <cell r="CU22">
            <v>64089.97035117264</v>
          </cell>
          <cell r="CV22">
            <v>64172.26842669132</v>
          </cell>
          <cell r="CW22">
            <v>64254.562417786867</v>
          </cell>
          <cell r="CX22">
            <v>64336.854483648181</v>
          </cell>
        </row>
        <row r="23">
          <cell r="BC23">
            <v>1731757.1926768499</v>
          </cell>
          <cell r="BD23">
            <v>1733940.5279121001</v>
          </cell>
          <cell r="BE23">
            <v>1736110.88684675</v>
          </cell>
          <cell r="BF23">
            <v>1738250.27510297</v>
          </cell>
          <cell r="BG23">
            <v>1740463.69367879</v>
          </cell>
          <cell r="BH23">
            <v>1742593.1406851499</v>
          </cell>
          <cell r="BI23">
            <v>1744746.6126371</v>
          </cell>
          <cell r="BJ23">
            <v>1747026.13322698</v>
          </cell>
          <cell r="BK23">
            <v>1749259.67035931</v>
          </cell>
          <cell r="BL23">
            <v>1751511.2201030699</v>
          </cell>
          <cell r="BM23">
            <v>1753774.77903611</v>
          </cell>
          <cell r="BN23">
            <v>1755950.3443265699</v>
          </cell>
          <cell r="BU23">
            <v>1533789.1926768499</v>
          </cell>
          <cell r="BV23">
            <v>1535748.5279121001</v>
          </cell>
          <cell r="BW23">
            <v>1537707.88684675</v>
          </cell>
          <cell r="BX23">
            <v>1539667.27510297</v>
          </cell>
          <cell r="BY23">
            <v>1541626.69367879</v>
          </cell>
          <cell r="BZ23">
            <v>1543586.1406851499</v>
          </cell>
          <cell r="CA23">
            <v>1545545.6126371</v>
          </cell>
          <cell r="CB23">
            <v>1547548.13322698</v>
          </cell>
          <cell r="CC23">
            <v>1549550.67035931</v>
          </cell>
          <cell r="CD23">
            <v>1551553.2201030699</v>
          </cell>
          <cell r="CE23">
            <v>1553555.77903611</v>
          </cell>
          <cell r="CF23">
            <v>1555558.3443265699</v>
          </cell>
          <cell r="CM23">
            <v>64419.146092427698</v>
          </cell>
          <cell r="CN23">
            <v>64501.438172308204</v>
          </cell>
          <cell r="CO23">
            <v>64583.731247563504</v>
          </cell>
          <cell r="CP23">
            <v>64666.02555432474</v>
          </cell>
          <cell r="CQ23">
            <v>64748.321134509184</v>
          </cell>
          <cell r="CR23">
            <v>64830.617908776301</v>
          </cell>
          <cell r="CS23">
            <v>64912.915730758206</v>
          </cell>
          <cell r="CT23">
            <v>64997.021595533166</v>
          </cell>
          <cell r="CU23">
            <v>65081.128155091021</v>
          </cell>
          <cell r="CV23">
            <v>65165.235244328942</v>
          </cell>
          <cell r="CW23">
            <v>65249.342719516622</v>
          </cell>
          <cell r="CX23">
            <v>65333.45046171594</v>
          </cell>
        </row>
        <row r="24">
          <cell r="BC24">
            <v>1758218.9137335799</v>
          </cell>
          <cell r="BD24">
            <v>1760448.4855591799</v>
          </cell>
          <cell r="BE24">
            <v>1762664.0585743999</v>
          </cell>
          <cell r="BF24">
            <v>1764849.63193587</v>
          </cell>
          <cell r="BG24">
            <v>1767110.2051035301</v>
          </cell>
          <cell r="BH24">
            <v>1769284.7777657199</v>
          </cell>
          <cell r="BI24">
            <v>1771483.34977497</v>
          </cell>
          <cell r="BJ24">
            <v>1773662.69182096</v>
          </cell>
          <cell r="BK24">
            <v>1775791.0332132699</v>
          </cell>
          <cell r="BL24">
            <v>1777929.3740268999</v>
          </cell>
          <cell r="BM24">
            <v>1780081.71435494</v>
          </cell>
          <cell r="BN24">
            <v>1782145.0542938299</v>
          </cell>
          <cell r="BU24">
            <v>1557560.9137335799</v>
          </cell>
          <cell r="BV24">
            <v>1559563.4855591799</v>
          </cell>
          <cell r="BW24">
            <v>1561566.0585743999</v>
          </cell>
          <cell r="BX24">
            <v>1563568.63193587</v>
          </cell>
          <cell r="BY24">
            <v>1565571.2051035301</v>
          </cell>
          <cell r="BZ24">
            <v>1567573.7777657199</v>
          </cell>
          <cell r="CA24">
            <v>1569576.34977497</v>
          </cell>
          <cell r="CB24">
            <v>1571480.69182096</v>
          </cell>
          <cell r="CC24">
            <v>1573385.0332132699</v>
          </cell>
          <cell r="CD24">
            <v>1575289.3740268999</v>
          </cell>
          <cell r="CE24">
            <v>1577193.71435494</v>
          </cell>
          <cell r="CF24">
            <v>1579098.0542938299</v>
          </cell>
          <cell r="CM24">
            <v>65417.558376810361</v>
          </cell>
          <cell r="CN24">
            <v>65501.666393485561</v>
          </cell>
          <cell r="CO24">
            <v>65585.774460124798</v>
          </cell>
          <cell r="CP24">
            <v>65669.88254130655</v>
          </cell>
          <cell r="CQ24">
            <v>65753.990614348266</v>
          </cell>
          <cell r="CR24">
            <v>65838.098666160236</v>
          </cell>
          <cell r="CS24">
            <v>65922.206690548745</v>
          </cell>
          <cell r="CT24">
            <v>66002.189056480318</v>
          </cell>
          <cell r="CU24">
            <v>66082.171394957346</v>
          </cell>
          <cell r="CV24">
            <v>66162.153709129794</v>
          </cell>
          <cell r="CW24">
            <v>66242.136002907486</v>
          </cell>
          <cell r="CX24">
            <v>66322.118280340859</v>
          </cell>
        </row>
        <row r="25">
          <cell r="BC25">
            <v>1784301.3939340799</v>
          </cell>
          <cell r="BD25">
            <v>1786420.7333551601</v>
          </cell>
          <cell r="BE25">
            <v>1788524.0726233099</v>
          </cell>
          <cell r="BF25">
            <v>1790598.4117912899</v>
          </cell>
          <cell r="BG25">
            <v>1792745.75089934</v>
          </cell>
          <cell r="BH25">
            <v>1794811.0899768199</v>
          </cell>
          <cell r="BI25">
            <v>1796896.4290440399</v>
          </cell>
          <cell r="BJ25">
            <v>1798940.8131978901</v>
          </cell>
          <cell r="BK25">
            <v>1800931.1973623901</v>
          </cell>
          <cell r="BL25">
            <v>1802933.5815413699</v>
          </cell>
          <cell r="BM25">
            <v>1804946.9657359601</v>
          </cell>
          <cell r="BN25">
            <v>1806874.3499455501</v>
          </cell>
          <cell r="BU25">
            <v>1581002.3939340799</v>
          </cell>
          <cell r="BV25">
            <v>1582906.7333551601</v>
          </cell>
          <cell r="BW25">
            <v>1584811.0726233099</v>
          </cell>
          <cell r="BX25">
            <v>1586715.4117912899</v>
          </cell>
          <cell r="BY25">
            <v>1588619.75089934</v>
          </cell>
          <cell r="BZ25">
            <v>1590524.0899768199</v>
          </cell>
          <cell r="CA25">
            <v>1592428.4290440399</v>
          </cell>
          <cell r="CB25">
            <v>1594210.8131978901</v>
          </cell>
          <cell r="CC25">
            <v>1595993.1973623901</v>
          </cell>
          <cell r="CD25">
            <v>1597775.5815413699</v>
          </cell>
          <cell r="CE25">
            <v>1599557.9657359601</v>
          </cell>
          <cell r="CF25">
            <v>1601340.3499455501</v>
          </cell>
          <cell r="CM25">
            <v>66402.100545231355</v>
          </cell>
          <cell r="CN25">
            <v>66482.082800916731</v>
          </cell>
          <cell r="CO25">
            <v>66562.065050179022</v>
          </cell>
          <cell r="CP25">
            <v>66642.047295234181</v>
          </cell>
          <cell r="CQ25">
            <v>66722.02953777228</v>
          </cell>
          <cell r="CR25">
            <v>66802.011779026448</v>
          </cell>
          <cell r="CS25">
            <v>66881.994019849677</v>
          </cell>
          <cell r="CT25">
            <v>66956.854154311382</v>
          </cell>
          <cell r="CU25">
            <v>67031.714289220385</v>
          </cell>
          <cell r="CV25">
            <v>67106.574424737541</v>
          </cell>
          <cell r="CW25">
            <v>67181.434560910333</v>
          </cell>
          <cell r="CX25">
            <v>67256.294697713107</v>
          </cell>
        </row>
        <row r="26">
          <cell r="BC26">
            <v>1808891.73416855</v>
          </cell>
          <cell r="BD26">
            <v>1810873.1184028799</v>
          </cell>
          <cell r="BE26">
            <v>1812839.5026463601</v>
          </cell>
          <cell r="BF26">
            <v>1814775.8868969099</v>
          </cell>
          <cell r="BG26">
            <v>1816787.27115267</v>
          </cell>
          <cell r="BH26">
            <v>1818712.65541211</v>
          </cell>
          <cell r="BI26">
            <v>1820661.0396739901</v>
          </cell>
          <cell r="BJ26">
            <v>1822680.16661799</v>
          </cell>
          <cell r="BK26">
            <v>1824649.2935627699</v>
          </cell>
          <cell r="BL26">
            <v>1826633.4205078499</v>
          </cell>
          <cell r="BM26">
            <v>1828628.5474528901</v>
          </cell>
          <cell r="BN26">
            <v>1830538.67439772</v>
          </cell>
          <cell r="BU26">
            <v>1603122.73416855</v>
          </cell>
          <cell r="BV26">
            <v>1604905.1184028799</v>
          </cell>
          <cell r="BW26">
            <v>1606687.5026463601</v>
          </cell>
          <cell r="BX26">
            <v>1608469.8868969099</v>
          </cell>
          <cell r="BY26">
            <v>1610252.27115267</v>
          </cell>
          <cell r="BZ26">
            <v>1612034.65541211</v>
          </cell>
          <cell r="CA26">
            <v>1613817.0396739901</v>
          </cell>
          <cell r="CB26">
            <v>1615585.16661799</v>
          </cell>
          <cell r="CC26">
            <v>1617353.2935627699</v>
          </cell>
          <cell r="CD26">
            <v>1619121.4205078499</v>
          </cell>
          <cell r="CE26">
            <v>1620889.5474528901</v>
          </cell>
          <cell r="CF26">
            <v>1622657.67439772</v>
          </cell>
          <cell r="CM26">
            <v>67331.154835079098</v>
          </cell>
          <cell r="CN26">
            <v>67406.014972920966</v>
          </cell>
          <cell r="CO26">
            <v>67480.875111147121</v>
          </cell>
          <cell r="CP26">
            <v>67555.735249670222</v>
          </cell>
          <cell r="CQ26">
            <v>67630.595388412141</v>
          </cell>
          <cell r="CR26">
            <v>67705.45552730863</v>
          </cell>
          <cell r="CS26">
            <v>67780.315666307593</v>
          </cell>
          <cell r="CT26">
            <v>67854.576997955592</v>
          </cell>
          <cell r="CU26">
            <v>67928.838329636346</v>
          </cell>
          <cell r="CV26">
            <v>68003.099661329703</v>
          </cell>
          <cell r="CW26">
            <v>68077.360993021386</v>
          </cell>
          <cell r="CX26">
            <v>68151.622324704251</v>
          </cell>
        </row>
        <row r="27">
          <cell r="BC27">
            <v>1832540.80134222</v>
          </cell>
          <cell r="BD27">
            <v>1834502.9282863699</v>
          </cell>
          <cell r="BE27">
            <v>1836453.05523018</v>
          </cell>
          <cell r="BF27">
            <v>1838371.18217368</v>
          </cell>
          <cell r="BG27">
            <v>1840365.30911691</v>
          </cell>
          <cell r="BH27">
            <v>1842274.4360599299</v>
          </cell>
          <cell r="BI27">
            <v>1844205.5630027801</v>
          </cell>
          <cell r="BJ27">
            <v>1846146.1840053899</v>
          </cell>
          <cell r="BK27">
            <v>1848036.8050079099</v>
          </cell>
          <cell r="BL27">
            <v>1849939.42601038</v>
          </cell>
          <cell r="BM27">
            <v>1851854.0470127999</v>
          </cell>
          <cell r="BN27">
            <v>1853682.66801521</v>
          </cell>
          <cell r="BU27">
            <v>1624425.80134222</v>
          </cell>
          <cell r="BV27">
            <v>1626193.9282863699</v>
          </cell>
          <cell r="BW27">
            <v>1627962.05523018</v>
          </cell>
          <cell r="BX27">
            <v>1629730.18217368</v>
          </cell>
          <cell r="BY27">
            <v>1631498.30911691</v>
          </cell>
          <cell r="BZ27">
            <v>1633266.4360599299</v>
          </cell>
          <cell r="CA27">
            <v>1635034.5630027801</v>
          </cell>
          <cell r="CB27">
            <v>1636731.1840053899</v>
          </cell>
          <cell r="CC27">
            <v>1638427.8050079099</v>
          </cell>
          <cell r="CD27">
            <v>1640124.42601038</v>
          </cell>
          <cell r="CE27">
            <v>1641821.0470127999</v>
          </cell>
          <cell r="CF27">
            <v>1643517.66801521</v>
          </cell>
          <cell r="CM27">
            <v>68225.883656373248</v>
          </cell>
          <cell r="CN27">
            <v>68300.144988027547</v>
          </cell>
          <cell r="CO27">
            <v>68374.406319667571</v>
          </cell>
          <cell r="CP27">
            <v>68448.667651294571</v>
          </cell>
          <cell r="CQ27">
            <v>68522.92898291022</v>
          </cell>
          <cell r="CR27">
            <v>68597.190314517065</v>
          </cell>
          <cell r="CS27">
            <v>68671.451646116766</v>
          </cell>
          <cell r="CT27">
            <v>68742.709728226386</v>
          </cell>
          <cell r="CU27">
            <v>68813.967810332222</v>
          </cell>
          <cell r="CV27">
            <v>68885.225892435963</v>
          </cell>
          <cell r="CW27">
            <v>68956.483974537594</v>
          </cell>
          <cell r="CX27">
            <v>69027.742056638817</v>
          </cell>
        </row>
        <row r="28">
          <cell r="BC28">
            <v>1855603.28901761</v>
          </cell>
          <cell r="BD28">
            <v>1857485.9100200101</v>
          </cell>
          <cell r="BE28">
            <v>1859353.5310224099</v>
          </cell>
          <cell r="BF28">
            <v>1861191.15202482</v>
          </cell>
          <cell r="BG28">
            <v>1863103.7730272401</v>
          </cell>
          <cell r="BH28">
            <v>1864930.3940296699</v>
          </cell>
          <cell r="BI28">
            <v>1866782.0150321</v>
          </cell>
          <cell r="BJ28">
            <v>1868686.13435066</v>
          </cell>
          <cell r="BK28">
            <v>1870540.25366922</v>
          </cell>
          <cell r="BL28">
            <v>1872408.37298779</v>
          </cell>
          <cell r="BM28">
            <v>1874289.49230636</v>
          </cell>
          <cell r="BN28">
            <v>1876082.6116249301</v>
          </cell>
          <cell r="BU28">
            <v>1645214.28901761</v>
          </cell>
          <cell r="BV28">
            <v>1646910.9100200101</v>
          </cell>
          <cell r="BW28">
            <v>1648607.5310224099</v>
          </cell>
          <cell r="BX28">
            <v>1650304.15202482</v>
          </cell>
          <cell r="BY28">
            <v>1652000.7730272401</v>
          </cell>
          <cell r="BZ28">
            <v>1653697.3940296699</v>
          </cell>
          <cell r="CA28">
            <v>1655394.0150321</v>
          </cell>
          <cell r="CB28">
            <v>1657061.13435066</v>
          </cell>
          <cell r="CC28">
            <v>1658728.25366922</v>
          </cell>
          <cell r="CD28">
            <v>1660395.37298779</v>
          </cell>
          <cell r="CE28">
            <v>1662062.49230636</v>
          </cell>
          <cell r="CF28">
            <v>1663729.6116249301</v>
          </cell>
          <cell r="CM28">
            <v>69099.000138739619</v>
          </cell>
          <cell r="CN28">
            <v>69170.258220840435</v>
          </cell>
          <cell r="CO28">
            <v>69241.516302941222</v>
          </cell>
          <cell r="CP28">
            <v>69312.774385042445</v>
          </cell>
          <cell r="CQ28">
            <v>69384.03246714409</v>
          </cell>
          <cell r="CR28">
            <v>69455.290549246143</v>
          </cell>
          <cell r="CS28">
            <v>69526.548631348211</v>
          </cell>
          <cell r="CT28">
            <v>69596.567642727721</v>
          </cell>
          <cell r="CU28">
            <v>69666.586654107246</v>
          </cell>
          <cell r="CV28">
            <v>69736.605665487179</v>
          </cell>
          <cell r="CW28">
            <v>69806.624676867126</v>
          </cell>
          <cell r="CX28">
            <v>69876.643688247073</v>
          </cell>
        </row>
        <row r="29">
          <cell r="BC29">
            <v>1877968.7309435001</v>
          </cell>
          <cell r="BD29">
            <v>1879817.8502620801</v>
          </cell>
          <cell r="BE29">
            <v>1881650.9695806501</v>
          </cell>
          <cell r="BF29">
            <v>1883454.0888992299</v>
          </cell>
          <cell r="BG29">
            <v>1885332.2082177999</v>
          </cell>
          <cell r="BH29">
            <v>1887126.3275363799</v>
          </cell>
          <cell r="BI29">
            <v>1888943.4468549499</v>
          </cell>
          <cell r="BJ29">
            <v>1890719.5723928099</v>
          </cell>
          <cell r="BK29">
            <v>1892442.6979306701</v>
          </cell>
          <cell r="BL29">
            <v>1894176.8234685301</v>
          </cell>
          <cell r="BM29">
            <v>1895924.9490063901</v>
          </cell>
          <cell r="BN29">
            <v>1897585.07454424</v>
          </cell>
          <cell r="BU29">
            <v>1665396.7309435001</v>
          </cell>
          <cell r="BV29">
            <v>1667063.8502620801</v>
          </cell>
          <cell r="BW29">
            <v>1668730.9695806501</v>
          </cell>
          <cell r="BX29">
            <v>1670398.0888992299</v>
          </cell>
          <cell r="BY29">
            <v>1672065.2082177999</v>
          </cell>
          <cell r="BZ29">
            <v>1673732.3275363799</v>
          </cell>
          <cell r="CA29">
            <v>1675399.4468549499</v>
          </cell>
          <cell r="CB29">
            <v>1676947.5723928099</v>
          </cell>
          <cell r="CC29">
            <v>1678495.6979306701</v>
          </cell>
          <cell r="CD29">
            <v>1680043.8234685301</v>
          </cell>
          <cell r="CE29">
            <v>1681591.9490063901</v>
          </cell>
          <cell r="CF29">
            <v>1683140.07454424</v>
          </cell>
          <cell r="CM29">
            <v>69946.662699627006</v>
          </cell>
          <cell r="CN29">
            <v>70016.681711007361</v>
          </cell>
          <cell r="CO29">
            <v>70086.700722387308</v>
          </cell>
          <cell r="CP29">
            <v>70156.719733767663</v>
          </cell>
          <cell r="CQ29">
            <v>70226.738745147595</v>
          </cell>
          <cell r="CR29">
            <v>70296.757756527964</v>
          </cell>
          <cell r="CS29">
            <v>70366.776767907897</v>
          </cell>
          <cell r="CT29">
            <v>70431.798040498019</v>
          </cell>
          <cell r="CU29">
            <v>70496.819313088155</v>
          </cell>
          <cell r="CV29">
            <v>70561.840585678263</v>
          </cell>
          <cell r="CW29">
            <v>70626.861858268385</v>
          </cell>
          <cell r="CX29">
            <v>70691.883130858085</v>
          </cell>
        </row>
        <row r="30">
          <cell r="BC30">
            <v>1899336.2000821</v>
          </cell>
          <cell r="BD30">
            <v>1901050.32561996</v>
          </cell>
          <cell r="BE30">
            <v>1902750.4511578199</v>
          </cell>
          <cell r="BF30">
            <v>1904419.5766956799</v>
          </cell>
          <cell r="BG30">
            <v>1906163.7022335399</v>
          </cell>
          <cell r="BH30">
            <v>1907823.8277713901</v>
          </cell>
          <cell r="BI30">
            <v>1909506.9533092501</v>
          </cell>
          <cell r="BJ30">
            <v>1911244.22223854</v>
          </cell>
          <cell r="BK30">
            <v>1912931.4911678201</v>
          </cell>
          <cell r="BL30">
            <v>1914634.7600971099</v>
          </cell>
          <cell r="BM30">
            <v>1916347.0290263901</v>
          </cell>
          <cell r="BN30">
            <v>1917976.2979556799</v>
          </cell>
          <cell r="BU30">
            <v>1684688.2000821</v>
          </cell>
          <cell r="BV30">
            <v>1686236.32561996</v>
          </cell>
          <cell r="BW30">
            <v>1687784.4511578199</v>
          </cell>
          <cell r="BX30">
            <v>1689332.5766956799</v>
          </cell>
          <cell r="BY30">
            <v>1690880.7022335399</v>
          </cell>
          <cell r="BZ30">
            <v>1692428.8277713901</v>
          </cell>
          <cell r="CA30">
            <v>1693976.9533092501</v>
          </cell>
          <cell r="CB30">
            <v>1695497.22223854</v>
          </cell>
          <cell r="CC30">
            <v>1697017.4911678201</v>
          </cell>
          <cell r="CD30">
            <v>1698537.7600971099</v>
          </cell>
          <cell r="CE30">
            <v>1700058.0290263901</v>
          </cell>
          <cell r="CF30">
            <v>1701578.2979556799</v>
          </cell>
          <cell r="CM30">
            <v>70756.904403448207</v>
          </cell>
          <cell r="CN30">
            <v>70821.925676038329</v>
          </cell>
          <cell r="CO30">
            <v>70886.946948628436</v>
          </cell>
          <cell r="CP30">
            <v>70951.968221218558</v>
          </cell>
          <cell r="CQ30">
            <v>71016.98949380868</v>
          </cell>
          <cell r="CR30">
            <v>71082.010766398394</v>
          </cell>
          <cell r="CS30">
            <v>71147.032038988502</v>
          </cell>
          <cell r="CT30">
            <v>71210.883334018683</v>
          </cell>
          <cell r="CU30">
            <v>71274.734629048442</v>
          </cell>
          <cell r="CV30">
            <v>71338.585924078623</v>
          </cell>
          <cell r="CW30">
            <v>71402.437219108382</v>
          </cell>
          <cell r="CX30">
            <v>71466.288514138563</v>
          </cell>
        </row>
        <row r="31">
          <cell r="BC31">
            <v>1919695.56688496</v>
          </cell>
          <cell r="BD31">
            <v>1921377.8358142499</v>
          </cell>
          <cell r="BE31">
            <v>1923045.10474353</v>
          </cell>
          <cell r="BF31">
            <v>1924682.3736728199</v>
          </cell>
          <cell r="BG31">
            <v>1926394.6426021</v>
          </cell>
          <cell r="BH31">
            <v>1928021.9115313899</v>
          </cell>
          <cell r="BI31">
            <v>1929672.18046067</v>
          </cell>
          <cell r="BJ31">
            <v>1931330.7370612801</v>
          </cell>
          <cell r="BK31">
            <v>1932938.2936618901</v>
          </cell>
          <cell r="BL31">
            <v>1934557.8502625001</v>
          </cell>
          <cell r="BM31">
            <v>1936191.4068631099</v>
          </cell>
          <cell r="BN31">
            <v>1937736.9634637199</v>
          </cell>
          <cell r="BU31">
            <v>1703098.56688496</v>
          </cell>
          <cell r="BV31">
            <v>1704618.8358142499</v>
          </cell>
          <cell r="BW31">
            <v>1706139.10474353</v>
          </cell>
          <cell r="BX31">
            <v>1707659.3736728199</v>
          </cell>
          <cell r="BY31">
            <v>1709179.6426021</v>
          </cell>
          <cell r="BZ31">
            <v>1710699.9115313899</v>
          </cell>
          <cell r="CA31">
            <v>1712220.18046067</v>
          </cell>
          <cell r="CB31">
            <v>1713667.7370612801</v>
          </cell>
          <cell r="CC31">
            <v>1715115.2936618901</v>
          </cell>
          <cell r="CD31">
            <v>1716562.8502625001</v>
          </cell>
          <cell r="CE31">
            <v>1718010.4068631099</v>
          </cell>
          <cell r="CF31">
            <v>1719457.9634637199</v>
          </cell>
          <cell r="CM31">
            <v>71530.139809168322</v>
          </cell>
          <cell r="CN31">
            <v>71593.991104198503</v>
          </cell>
          <cell r="CO31">
            <v>71657.842399228262</v>
          </cell>
          <cell r="CP31">
            <v>71721.693694258443</v>
          </cell>
          <cell r="CQ31">
            <v>71785.544989288202</v>
          </cell>
          <cell r="CR31">
            <v>71849.396284318384</v>
          </cell>
          <cell r="CS31">
            <v>71913.247579348143</v>
          </cell>
          <cell r="CT31">
            <v>71974.044956573765</v>
          </cell>
          <cell r="CU31">
            <v>72034.842333799388</v>
          </cell>
          <cell r="CV31">
            <v>72095.639711025011</v>
          </cell>
          <cell r="CW31">
            <v>72156.437088250619</v>
          </cell>
          <cell r="CX31">
            <v>72217.234465476242</v>
          </cell>
        </row>
        <row r="32">
          <cell r="BC32">
            <v>1939373.5200643199</v>
          </cell>
          <cell r="BD32">
            <v>1940973.07666493</v>
          </cell>
          <cell r="BE32">
            <v>1942559.63326554</v>
          </cell>
          <cell r="BF32">
            <v>1944114.18986615</v>
          </cell>
          <cell r="BG32">
            <v>1945744.7464667601</v>
          </cell>
          <cell r="BH32">
            <v>1947288.3030673701</v>
          </cell>
          <cell r="BI32">
            <v>1948856.8596679701</v>
          </cell>
          <cell r="BJ32">
            <v>1950434.74049714</v>
          </cell>
          <cell r="BK32">
            <v>1951959.6213263001</v>
          </cell>
          <cell r="BL32">
            <v>1953497.50215546</v>
          </cell>
          <cell r="BM32">
            <v>1955047.3829846201</v>
          </cell>
          <cell r="BN32">
            <v>1956512.2638137799</v>
          </cell>
          <cell r="BU32">
            <v>1720905.5200643199</v>
          </cell>
          <cell r="BV32">
            <v>1722353.07666493</v>
          </cell>
          <cell r="BW32">
            <v>1723800.63326554</v>
          </cell>
          <cell r="BX32">
            <v>1725248.18986615</v>
          </cell>
          <cell r="BY32">
            <v>1726695.7464667601</v>
          </cell>
          <cell r="BZ32">
            <v>1728143.3030673701</v>
          </cell>
          <cell r="CA32">
            <v>1729590.8596679701</v>
          </cell>
          <cell r="CB32">
            <v>1730965.74049714</v>
          </cell>
          <cell r="CC32">
            <v>1732340.6213263001</v>
          </cell>
          <cell r="CD32">
            <v>1733715.50215546</v>
          </cell>
          <cell r="CE32">
            <v>1735090.3829846201</v>
          </cell>
          <cell r="CF32">
            <v>1736465.2638137799</v>
          </cell>
          <cell r="CM32">
            <v>72278.031842701443</v>
          </cell>
          <cell r="CN32">
            <v>72338.829219927065</v>
          </cell>
          <cell r="CO32">
            <v>72399.626597152688</v>
          </cell>
          <cell r="CP32">
            <v>72460.423974378311</v>
          </cell>
          <cell r="CQ32">
            <v>72521.221351603934</v>
          </cell>
          <cell r="CR32">
            <v>72582.018728829542</v>
          </cell>
          <cell r="CS32">
            <v>72642.816106054743</v>
          </cell>
          <cell r="CT32">
            <v>72700.561100879888</v>
          </cell>
          <cell r="CU32">
            <v>72758.306095704611</v>
          </cell>
          <cell r="CV32">
            <v>72816.051090529319</v>
          </cell>
          <cell r="CW32">
            <v>72873.796085354043</v>
          </cell>
          <cell r="CX32">
            <v>72931.541080178766</v>
          </cell>
        </row>
        <row r="33">
          <cell r="BC33">
            <v>1958067.14464294</v>
          </cell>
          <cell r="BD33">
            <v>1959584.0254720999</v>
          </cell>
          <cell r="BE33">
            <v>1961087.90630126</v>
          </cell>
          <cell r="BF33">
            <v>1962559.7871304201</v>
          </cell>
          <cell r="BG33">
            <v>1964108.66795958</v>
          </cell>
          <cell r="BH33">
            <v>1965571.5487887401</v>
          </cell>
          <cell r="BI33">
            <v>1967058.4296179099</v>
          </cell>
          <cell r="BJ33">
            <v>1968600.9161276601</v>
          </cell>
          <cell r="BK33">
            <v>1970093.40263741</v>
          </cell>
          <cell r="BL33">
            <v>1971600.8891471601</v>
          </cell>
          <cell r="BM33">
            <v>1973120.37565691</v>
          </cell>
          <cell r="BN33">
            <v>1974553.8621666599</v>
          </cell>
          <cell r="BU33">
            <v>1737840.14464294</v>
          </cell>
          <cell r="BV33">
            <v>1739215.0254720999</v>
          </cell>
          <cell r="BW33">
            <v>1740589.90630126</v>
          </cell>
          <cell r="BX33">
            <v>1741964.7871304201</v>
          </cell>
          <cell r="BY33">
            <v>1743339.66795958</v>
          </cell>
          <cell r="BZ33">
            <v>1744714.5487887401</v>
          </cell>
          <cell r="CA33">
            <v>1746089.4296179099</v>
          </cell>
          <cell r="CB33">
            <v>1747437.9161276601</v>
          </cell>
          <cell r="CC33">
            <v>1748786.40263741</v>
          </cell>
          <cell r="CD33">
            <v>1750134.8891471601</v>
          </cell>
          <cell r="CE33">
            <v>1751483.37565691</v>
          </cell>
          <cell r="CF33">
            <v>1752831.8621666599</v>
          </cell>
          <cell r="CM33">
            <v>72989.286075003489</v>
          </cell>
          <cell r="CN33">
            <v>73047.031069828197</v>
          </cell>
          <cell r="CO33">
            <v>73104.77606465292</v>
          </cell>
          <cell r="CP33">
            <v>73162.521059477644</v>
          </cell>
          <cell r="CQ33">
            <v>73220.266054302367</v>
          </cell>
          <cell r="CR33">
            <v>73278.01104912709</v>
          </cell>
          <cell r="CS33">
            <v>73335.75604395222</v>
          </cell>
          <cell r="CT33">
            <v>73392.392477361733</v>
          </cell>
          <cell r="CU33">
            <v>73449.028910771231</v>
          </cell>
          <cell r="CV33">
            <v>73505.665344180728</v>
          </cell>
          <cell r="CW33">
            <v>73562.301777590226</v>
          </cell>
          <cell r="CX33">
            <v>73618.938210999724</v>
          </cell>
        </row>
        <row r="34">
          <cell r="BC34">
            <v>1976078.34867642</v>
          </cell>
          <cell r="BD34">
            <v>1977565.8351861699</v>
          </cell>
          <cell r="BE34">
            <v>1979039.3216959201</v>
          </cell>
          <cell r="BF34">
            <v>1980481.80820567</v>
          </cell>
          <cell r="BG34">
            <v>1981998.2947154201</v>
          </cell>
          <cell r="BH34">
            <v>1983431.78122518</v>
          </cell>
          <cell r="BI34">
            <v>1984888.2677349299</v>
          </cell>
          <cell r="BJ34">
            <v>1986398.7384523801</v>
          </cell>
          <cell r="BK34">
            <v>1987860.20916982</v>
          </cell>
          <cell r="BL34">
            <v>1989337.6798872701</v>
          </cell>
          <cell r="BM34">
            <v>1990826.15060472</v>
          </cell>
          <cell r="BN34">
            <v>1992228.6213221699</v>
          </cell>
          <cell r="BU34">
            <v>1754180.34867642</v>
          </cell>
          <cell r="BV34">
            <v>1755528.8351861699</v>
          </cell>
          <cell r="BW34">
            <v>1756877.3216959201</v>
          </cell>
          <cell r="BX34">
            <v>1758225.80820567</v>
          </cell>
          <cell r="BY34">
            <v>1759574.2947154201</v>
          </cell>
          <cell r="BZ34">
            <v>1760922.78122518</v>
          </cell>
          <cell r="CA34">
            <v>1762271.2677349299</v>
          </cell>
          <cell r="CB34">
            <v>1763592.7384523801</v>
          </cell>
          <cell r="CC34">
            <v>1764914.20916982</v>
          </cell>
          <cell r="CD34">
            <v>1766235.6798872701</v>
          </cell>
          <cell r="CE34">
            <v>1767557.15060472</v>
          </cell>
          <cell r="CF34">
            <v>1768878.6213221699</v>
          </cell>
          <cell r="CM34">
            <v>73675.574644409644</v>
          </cell>
          <cell r="CN34">
            <v>73732.211077819142</v>
          </cell>
          <cell r="CO34">
            <v>73788.847511228654</v>
          </cell>
          <cell r="CP34">
            <v>73845.483944638137</v>
          </cell>
          <cell r="CQ34">
            <v>73902.12037804765</v>
          </cell>
          <cell r="CR34">
            <v>73958.75681145757</v>
          </cell>
          <cell r="CS34">
            <v>74015.393244867068</v>
          </cell>
          <cell r="CT34">
            <v>74070.895014999973</v>
          </cell>
          <cell r="CU34">
            <v>74126.396785132441</v>
          </cell>
          <cell r="CV34">
            <v>74181.898555265347</v>
          </cell>
          <cell r="CW34">
            <v>74237.400325398237</v>
          </cell>
          <cell r="CX34">
            <v>74292.902095531143</v>
          </cell>
        </row>
        <row r="35">
          <cell r="BC35">
            <v>1993721.09203962</v>
          </cell>
          <cell r="BD35">
            <v>1995177.5627570699</v>
          </cell>
          <cell r="BE35">
            <v>1996620.0334745101</v>
          </cell>
          <cell r="BF35">
            <v>1998030.50419196</v>
          </cell>
          <cell r="BG35">
            <v>1999516.9749094101</v>
          </cell>
          <cell r="BH35">
            <v>2000919.44562686</v>
          </cell>
          <cell r="BI35">
            <v>2002342.9163443099</v>
          </cell>
          <cell r="BJ35">
            <v>2003822.6766820999</v>
          </cell>
          <cell r="BK35">
            <v>2005253.4370198899</v>
          </cell>
          <cell r="BL35">
            <v>2006698.19735768</v>
          </cell>
          <cell r="BM35">
            <v>2008153.95769547</v>
          </cell>
          <cell r="BN35">
            <v>2009525.71803326</v>
          </cell>
          <cell r="BU35">
            <v>1770200.09203962</v>
          </cell>
          <cell r="BV35">
            <v>1771521.5627570699</v>
          </cell>
          <cell r="BW35">
            <v>1772843.0334745101</v>
          </cell>
          <cell r="BX35">
            <v>1774164.50419196</v>
          </cell>
          <cell r="BY35">
            <v>1775485.9749094101</v>
          </cell>
          <cell r="BZ35">
            <v>1776807.44562686</v>
          </cell>
          <cell r="CA35">
            <v>1778128.9163443099</v>
          </cell>
          <cell r="CB35">
            <v>1779422.6766820999</v>
          </cell>
          <cell r="CC35">
            <v>1780716.4370198899</v>
          </cell>
          <cell r="CD35">
            <v>1782010.19735768</v>
          </cell>
          <cell r="CE35">
            <v>1783303.95769547</v>
          </cell>
          <cell r="CF35">
            <v>1784597.71803326</v>
          </cell>
          <cell r="CM35">
            <v>74348.403865664048</v>
          </cell>
          <cell r="CN35">
            <v>74403.905635796938</v>
          </cell>
          <cell r="CO35">
            <v>74459.407405929422</v>
          </cell>
          <cell r="CP35">
            <v>74514.909176062327</v>
          </cell>
          <cell r="CQ35">
            <v>74570.410946195232</v>
          </cell>
          <cell r="CR35">
            <v>74625.912716328123</v>
          </cell>
          <cell r="CS35">
            <v>74681.414486461028</v>
          </cell>
          <cell r="CT35">
            <v>74735.752420648205</v>
          </cell>
          <cell r="CU35">
            <v>74790.090354835382</v>
          </cell>
          <cell r="CV35">
            <v>74844.428289022559</v>
          </cell>
          <cell r="CW35">
            <v>74898.76622320975</v>
          </cell>
          <cell r="CX35">
            <v>74953.104157396927</v>
          </cell>
        </row>
        <row r="36">
          <cell r="BC36">
            <v>2010986.47837106</v>
          </cell>
          <cell r="BD36">
            <v>2012411.23870885</v>
          </cell>
          <cell r="BE36">
            <v>2013821.99904664</v>
          </cell>
          <cell r="BF36">
            <v>2015201.75938443</v>
          </cell>
          <cell r="BG36">
            <v>2016655.51972222</v>
          </cell>
          <cell r="BH36">
            <v>2018025.28006001</v>
          </cell>
          <cell r="BI36">
            <v>2019419.0403978101</v>
          </cell>
          <cell r="BJ36">
            <v>2020813.6413797899</v>
          </cell>
          <cell r="BK36">
            <v>2022158.24236176</v>
          </cell>
          <cell r="BL36">
            <v>2023514.8433437401</v>
          </cell>
          <cell r="BM36">
            <v>2024882.44432572</v>
          </cell>
          <cell r="BN36">
            <v>2026165.0453077001</v>
          </cell>
          <cell r="BU36">
            <v>1785891.47837106</v>
          </cell>
          <cell r="BV36">
            <v>1787185.23870885</v>
          </cell>
          <cell r="BW36">
            <v>1788478.99904664</v>
          </cell>
          <cell r="BX36">
            <v>1789772.75938443</v>
          </cell>
          <cell r="BY36">
            <v>1791066.51972222</v>
          </cell>
          <cell r="BZ36">
            <v>1792360.28006001</v>
          </cell>
          <cell r="CA36">
            <v>1793654.0403978101</v>
          </cell>
          <cell r="CB36">
            <v>1794869.6413797899</v>
          </cell>
          <cell r="CC36">
            <v>1796085.24236176</v>
          </cell>
          <cell r="CD36">
            <v>1797300.8433437401</v>
          </cell>
          <cell r="CE36">
            <v>1798516.44432572</v>
          </cell>
          <cell r="CF36">
            <v>1799732.0453077001</v>
          </cell>
          <cell r="CM36">
            <v>75007.442091584526</v>
          </cell>
          <cell r="CN36">
            <v>75061.780025771703</v>
          </cell>
          <cell r="CO36">
            <v>75116.11795995888</v>
          </cell>
          <cell r="CP36">
            <v>75170.455894146071</v>
          </cell>
          <cell r="CQ36">
            <v>75224.793828333248</v>
          </cell>
          <cell r="CR36">
            <v>75279.131762520425</v>
          </cell>
          <cell r="CS36">
            <v>75333.469696708024</v>
          </cell>
          <cell r="CT36">
            <v>75384.524937951181</v>
          </cell>
          <cell r="CU36">
            <v>75435.58017919393</v>
          </cell>
          <cell r="CV36">
            <v>75486.635420437087</v>
          </cell>
          <cell r="CW36">
            <v>75537.690661680244</v>
          </cell>
          <cell r="CX36">
            <v>75588.745902923401</v>
          </cell>
        </row>
        <row r="37">
          <cell r="BC37">
            <v>2027539.6462896799</v>
          </cell>
          <cell r="BD37">
            <v>2028875.24727166</v>
          </cell>
          <cell r="BE37">
            <v>2030197.8482536401</v>
          </cell>
          <cell r="BF37">
            <v>2031489.44923562</v>
          </cell>
          <cell r="BG37">
            <v>2032855.0502176001</v>
          </cell>
          <cell r="BH37">
            <v>2034137.6511995799</v>
          </cell>
          <cell r="BI37">
            <v>2035442.25218156</v>
          </cell>
          <cell r="BJ37">
            <v>2036800.09557905</v>
          </cell>
          <cell r="BK37">
            <v>2038107.93897654</v>
          </cell>
          <cell r="BL37">
            <v>2039430.78237404</v>
          </cell>
          <cell r="BM37">
            <v>2040764.62577153</v>
          </cell>
          <cell r="BN37">
            <v>2042013.46916902</v>
          </cell>
          <cell r="BU37">
            <v>1800947.6462896799</v>
          </cell>
          <cell r="BV37">
            <v>1802163.24727166</v>
          </cell>
          <cell r="BW37">
            <v>1803378.8482536401</v>
          </cell>
          <cell r="BX37">
            <v>1804594.44923562</v>
          </cell>
          <cell r="BY37">
            <v>1805810.0502176001</v>
          </cell>
          <cell r="BZ37">
            <v>1807025.6511995799</v>
          </cell>
          <cell r="CA37">
            <v>1808241.25218156</v>
          </cell>
          <cell r="CB37">
            <v>1809427.09557905</v>
          </cell>
          <cell r="CC37">
            <v>1810612.93897654</v>
          </cell>
          <cell r="CD37">
            <v>1811798.78237404</v>
          </cell>
          <cell r="CE37">
            <v>1812984.62577153</v>
          </cell>
          <cell r="CF37">
            <v>1814170.46916902</v>
          </cell>
          <cell r="CM37">
            <v>75639.801144166559</v>
          </cell>
          <cell r="CN37">
            <v>75690.85638540973</v>
          </cell>
          <cell r="CO37">
            <v>75741.911626652887</v>
          </cell>
          <cell r="CP37">
            <v>75792.966867896044</v>
          </cell>
          <cell r="CQ37">
            <v>75844.022109139201</v>
          </cell>
          <cell r="CR37">
            <v>75895.077350382358</v>
          </cell>
          <cell r="CS37">
            <v>75946.13259162553</v>
          </cell>
          <cell r="CT37">
            <v>75995.938014320112</v>
          </cell>
          <cell r="CU37">
            <v>76045.74343701468</v>
          </cell>
          <cell r="CV37">
            <v>76095.548859709685</v>
          </cell>
          <cell r="CW37">
            <v>76145.354282404267</v>
          </cell>
          <cell r="CX37">
            <v>76195.159705098849</v>
          </cell>
        </row>
        <row r="38">
          <cell r="BC38">
            <v>2043352.3125665199</v>
          </cell>
          <cell r="BD38">
            <v>2044655.1559640099</v>
          </cell>
          <cell r="BE38">
            <v>2045942.9993614999</v>
          </cell>
          <cell r="BF38">
            <v>2047199.8427589999</v>
          </cell>
          <cell r="BG38">
            <v>2048533.6861564899</v>
          </cell>
          <cell r="BH38">
            <v>2049780.5295539801</v>
          </cell>
          <cell r="BI38">
            <v>2051051.3729514801</v>
          </cell>
          <cell r="BJ38">
            <v>2052375.8974512301</v>
          </cell>
          <cell r="BK38">
            <v>2053649.4219509901</v>
          </cell>
          <cell r="BL38">
            <v>2054938.9464507401</v>
          </cell>
          <cell r="BM38">
            <v>2056240.4709505001</v>
          </cell>
          <cell r="BN38">
            <v>2057453.9954502599</v>
          </cell>
          <cell r="BU38">
            <v>1815356.3125665199</v>
          </cell>
          <cell r="BV38">
            <v>1816542.1559640099</v>
          </cell>
          <cell r="BW38">
            <v>1817727.9993614999</v>
          </cell>
          <cell r="BX38">
            <v>1818913.8427589999</v>
          </cell>
          <cell r="BY38">
            <v>1820099.6861564899</v>
          </cell>
          <cell r="BZ38">
            <v>1821285.5295539801</v>
          </cell>
          <cell r="CA38">
            <v>1822471.3729514801</v>
          </cell>
          <cell r="CB38">
            <v>1823627.8974512301</v>
          </cell>
          <cell r="CC38">
            <v>1824784.4219509901</v>
          </cell>
          <cell r="CD38">
            <v>1825940.9464507401</v>
          </cell>
          <cell r="CE38">
            <v>1827097.4709505001</v>
          </cell>
          <cell r="CF38">
            <v>1828253.9954502599</v>
          </cell>
          <cell r="CM38">
            <v>76244.965127793839</v>
          </cell>
          <cell r="CN38">
            <v>76294.770550488422</v>
          </cell>
          <cell r="CO38">
            <v>76344.575973183004</v>
          </cell>
          <cell r="CP38">
            <v>76394.381395877994</v>
          </cell>
          <cell r="CQ38">
            <v>76444.186818572576</v>
          </cell>
          <cell r="CR38">
            <v>76493.992241267173</v>
          </cell>
          <cell r="CS38">
            <v>76543.797663962163</v>
          </cell>
          <cell r="CT38">
            <v>76592.371692951667</v>
          </cell>
          <cell r="CU38">
            <v>76640.945721941593</v>
          </cell>
          <cell r="CV38">
            <v>76689.519750931082</v>
          </cell>
          <cell r="CW38">
            <v>76738.093779921008</v>
          </cell>
          <cell r="CX38">
            <v>76786.667808910919</v>
          </cell>
        </row>
        <row r="39">
          <cell r="BC39">
            <v>2058760.5199500101</v>
          </cell>
          <cell r="BD39">
            <v>2060029.0444497699</v>
          </cell>
          <cell r="BE39">
            <v>2061283.5689495299</v>
          </cell>
          <cell r="BF39">
            <v>2062508.0934492799</v>
          </cell>
          <cell r="BG39">
            <v>2063806.6179490399</v>
          </cell>
          <cell r="BH39">
            <v>2065020.1424487899</v>
          </cell>
          <cell r="BI39">
            <v>2066258.6669485499</v>
          </cell>
          <cell r="BJ39">
            <v>2067549.60369515</v>
          </cell>
          <cell r="BK39">
            <v>2068789.5404417501</v>
          </cell>
          <cell r="BL39">
            <v>2070047.4771883499</v>
          </cell>
          <cell r="BM39">
            <v>2071315.41393496</v>
          </cell>
          <cell r="BN39">
            <v>2072496.3506815601</v>
          </cell>
          <cell r="BU39">
            <v>1829410.5199500101</v>
          </cell>
          <cell r="BV39">
            <v>1830567.0444497699</v>
          </cell>
          <cell r="BW39">
            <v>1831723.5689495299</v>
          </cell>
          <cell r="BX39">
            <v>1832880.0934492799</v>
          </cell>
          <cell r="BY39">
            <v>1834036.6179490399</v>
          </cell>
          <cell r="BZ39">
            <v>1835193.1424487899</v>
          </cell>
          <cell r="CA39">
            <v>1836349.6669485499</v>
          </cell>
          <cell r="CB39">
            <v>1837477.60369515</v>
          </cell>
          <cell r="CC39">
            <v>1838605.5404417501</v>
          </cell>
          <cell r="CD39">
            <v>1839733.4771883499</v>
          </cell>
          <cell r="CE39">
            <v>1840861.41393496</v>
          </cell>
          <cell r="CF39">
            <v>1841989.3506815601</v>
          </cell>
          <cell r="CM39">
            <v>76835.241837900423</v>
          </cell>
          <cell r="CN39">
            <v>76883.815866890334</v>
          </cell>
          <cell r="CO39">
            <v>76932.38989588026</v>
          </cell>
          <cell r="CP39">
            <v>76980.963924869764</v>
          </cell>
          <cell r="CQ39">
            <v>77029.537953859675</v>
          </cell>
          <cell r="CR39">
            <v>77078.111982849179</v>
          </cell>
          <cell r="CS39">
            <v>77126.686011839105</v>
          </cell>
          <cell r="CT39">
            <v>77174.05935519631</v>
          </cell>
          <cell r="CU39">
            <v>77221.432698553515</v>
          </cell>
          <cell r="CV39">
            <v>77268.806041910706</v>
          </cell>
          <cell r="CW39">
            <v>77316.179385268333</v>
          </cell>
          <cell r="CX39">
            <v>77363.552728625524</v>
          </cell>
        </row>
        <row r="40">
          <cell r="BC40">
            <v>2073769.28742816</v>
          </cell>
          <cell r="BD40">
            <v>2075007.22417476</v>
          </cell>
          <cell r="BE40">
            <v>2076228.1609213599</v>
          </cell>
          <cell r="BF40">
            <v>2077418.09766796</v>
          </cell>
          <cell r="BG40">
            <v>2078684.0344145601</v>
          </cell>
          <cell r="BH40">
            <v>2079865.9711611699</v>
          </cell>
          <cell r="BI40">
            <v>2081070.90790777</v>
          </cell>
          <cell r="BJ40">
            <v>2082328.9514885701</v>
          </cell>
          <cell r="BK40">
            <v>2083539.9950693699</v>
          </cell>
          <cell r="BL40">
            <v>2084764.03865016</v>
          </cell>
          <cell r="BM40">
            <v>2085999.08223096</v>
          </cell>
          <cell r="BN40">
            <v>2087150.1258117601</v>
          </cell>
          <cell r="BU40">
            <v>1843117.28742816</v>
          </cell>
          <cell r="BV40">
            <v>1844245.22417476</v>
          </cell>
          <cell r="BW40">
            <v>1845373.1609213599</v>
          </cell>
          <cell r="BX40">
            <v>1846501.09766796</v>
          </cell>
          <cell r="BY40">
            <v>1847629.0344145601</v>
          </cell>
          <cell r="BZ40">
            <v>1848756.9711611699</v>
          </cell>
          <cell r="CA40">
            <v>1849884.90790777</v>
          </cell>
          <cell r="CB40">
            <v>1850984.9514885701</v>
          </cell>
          <cell r="CC40">
            <v>1852084.9950693699</v>
          </cell>
          <cell r="CD40">
            <v>1853185.03865016</v>
          </cell>
          <cell r="CE40">
            <v>1854285.08223096</v>
          </cell>
          <cell r="CF40">
            <v>1855385.1258117601</v>
          </cell>
          <cell r="CM40">
            <v>77410.926071982729</v>
          </cell>
          <cell r="CN40">
            <v>77458.299415339934</v>
          </cell>
          <cell r="CO40">
            <v>77505.672758697125</v>
          </cell>
          <cell r="CP40">
            <v>77553.04610205433</v>
          </cell>
          <cell r="CQ40">
            <v>77600.41944541152</v>
          </cell>
          <cell r="CR40">
            <v>77647.792788769148</v>
          </cell>
          <cell r="CS40">
            <v>77695.166132126338</v>
          </cell>
          <cell r="CT40">
            <v>77741.367962519944</v>
          </cell>
          <cell r="CU40">
            <v>77787.569792913535</v>
          </cell>
          <cell r="CV40">
            <v>77833.771623306719</v>
          </cell>
          <cell r="CW40">
            <v>77879.973453700324</v>
          </cell>
          <cell r="CX40">
            <v>77926.17528409393</v>
          </cell>
        </row>
        <row r="41">
          <cell r="BC41">
            <v>2088391.1693925599</v>
          </cell>
          <cell r="BD41">
            <v>2089595.21297336</v>
          </cell>
          <cell r="BE41">
            <v>2090784.25655416</v>
          </cell>
          <cell r="BF41">
            <v>2091944.3001349601</v>
          </cell>
          <cell r="BG41">
            <v>2093177.3437157599</v>
          </cell>
          <cell r="BH41">
            <v>2094327.38729656</v>
          </cell>
          <cell r="BI41">
            <v>2095500.43087736</v>
          </cell>
          <cell r="BJ41">
            <v>2096728.27587971</v>
          </cell>
          <cell r="BK41">
            <v>2097905.1208820599</v>
          </cell>
          <cell r="BL41">
            <v>2099098.9658844098</v>
          </cell>
          <cell r="BM41">
            <v>2100303.8108867602</v>
          </cell>
          <cell r="BN41">
            <v>2101421.6558891097</v>
          </cell>
          <cell r="BU41">
            <v>1856485.1693925599</v>
          </cell>
          <cell r="BV41">
            <v>1857585.21297336</v>
          </cell>
          <cell r="BW41">
            <v>1858685.25655416</v>
          </cell>
          <cell r="BX41">
            <v>1859785.3001349601</v>
          </cell>
          <cell r="BY41">
            <v>1860885.3437157599</v>
          </cell>
          <cell r="BZ41">
            <v>1861985.38729656</v>
          </cell>
          <cell r="CA41">
            <v>1863085.43087736</v>
          </cell>
          <cell r="CB41">
            <v>1864158.27587971</v>
          </cell>
          <cell r="CC41">
            <v>1865231.1208820599</v>
          </cell>
          <cell r="CD41">
            <v>1866303.9658844101</v>
          </cell>
          <cell r="CE41">
            <v>1867376.81088676</v>
          </cell>
          <cell r="CF41">
            <v>1868449.6558891099</v>
          </cell>
          <cell r="CM41">
            <v>77972.377114487521</v>
          </cell>
          <cell r="CN41">
            <v>78018.578944881127</v>
          </cell>
          <cell r="CO41">
            <v>78064.780775274732</v>
          </cell>
          <cell r="CP41">
            <v>78110.982605668323</v>
          </cell>
          <cell r="CQ41">
            <v>78157.184436061929</v>
          </cell>
          <cell r="CR41">
            <v>78203.38626645552</v>
          </cell>
          <cell r="CS41">
            <v>78249.588096849126</v>
          </cell>
          <cell r="CT41">
            <v>78294.647586947831</v>
          </cell>
          <cell r="CU41">
            <v>78339.707077046522</v>
          </cell>
          <cell r="CV41">
            <v>78384.766567145227</v>
          </cell>
          <cell r="CW41">
            <v>78429.826057243932</v>
          </cell>
          <cell r="CX41">
            <v>78474.885547342623</v>
          </cell>
        </row>
        <row r="42">
          <cell r="BC42">
            <v>2102633.5008914601</v>
          </cell>
          <cell r="BD42">
            <v>2103805.34589381</v>
          </cell>
          <cell r="BE42">
            <v>2104964.19089616</v>
          </cell>
          <cell r="BF42">
            <v>2106092.0358985099</v>
          </cell>
          <cell r="BG42">
            <v>2107294.8809008598</v>
          </cell>
          <cell r="BH42">
            <v>2108412.7259032102</v>
          </cell>
          <cell r="BI42">
            <v>2109553.5709055597</v>
          </cell>
          <cell r="BJ42">
            <v>2110751.6796186203</v>
          </cell>
          <cell r="BK42">
            <v>2111899.7883316902</v>
          </cell>
          <cell r="BL42">
            <v>2113062.8970447499</v>
          </cell>
          <cell r="BM42">
            <v>2114239.0057578199</v>
          </cell>
          <cell r="BN42">
            <v>2115328.11447088</v>
          </cell>
          <cell r="BU42">
            <v>1869522.5008914601</v>
          </cell>
          <cell r="BV42">
            <v>1870595.34589381</v>
          </cell>
          <cell r="BW42">
            <v>1871668.19089616</v>
          </cell>
          <cell r="BX42">
            <v>1872741.0358985099</v>
          </cell>
          <cell r="BY42">
            <v>1873813.8809008601</v>
          </cell>
          <cell r="BZ42">
            <v>1874886.72590321</v>
          </cell>
          <cell r="CA42">
            <v>1875959.5709055599</v>
          </cell>
          <cell r="CB42">
            <v>1877006.6796186201</v>
          </cell>
          <cell r="CC42">
            <v>1878053.78833169</v>
          </cell>
          <cell r="CD42">
            <v>1879100.8970447499</v>
          </cell>
          <cell r="CE42">
            <v>1880148.0057578201</v>
          </cell>
          <cell r="CF42">
            <v>1881195.11447088</v>
          </cell>
          <cell r="CM42">
            <v>78519.945037441328</v>
          </cell>
          <cell r="CN42">
            <v>78565.004527540033</v>
          </cell>
          <cell r="CO42">
            <v>78610.064017638724</v>
          </cell>
          <cell r="CP42">
            <v>78655.123507737415</v>
          </cell>
          <cell r="CQ42">
            <v>78700.182997836135</v>
          </cell>
          <cell r="CR42">
            <v>78745.242487934825</v>
          </cell>
          <cell r="CS42">
            <v>78790.301978033516</v>
          </cell>
          <cell r="CT42">
            <v>78834.280543982051</v>
          </cell>
          <cell r="CU42">
            <v>78878.259109930979</v>
          </cell>
          <cell r="CV42">
            <v>78922.2376758795</v>
          </cell>
          <cell r="CW42">
            <v>78966.216241828442</v>
          </cell>
          <cell r="CX42">
            <v>79010.194807776963</v>
          </cell>
        </row>
        <row r="43">
          <cell r="BC43">
            <v>2116508.2231839499</v>
          </cell>
          <cell r="BD43">
            <v>2117651.3318970101</v>
          </cell>
          <cell r="BE43">
            <v>2118780.44061008</v>
          </cell>
          <cell r="BF43">
            <v>2119878.5493231397</v>
          </cell>
          <cell r="BG43">
            <v>2121051.6580362101</v>
          </cell>
          <cell r="BH43">
            <v>2122140.7667492703</v>
          </cell>
          <cell r="BI43">
            <v>2123251.8754623402</v>
          </cell>
          <cell r="BJ43">
            <v>2124535.3217029301</v>
          </cell>
          <cell r="BK43">
            <v>2125771.7679435303</v>
          </cell>
          <cell r="BL43">
            <v>2127028.2141841203</v>
          </cell>
          <cell r="BM43">
            <v>2128296.66042472</v>
          </cell>
          <cell r="BN43">
            <v>2129479.10666531</v>
          </cell>
          <cell r="BU43">
            <v>1882242.2231839499</v>
          </cell>
          <cell r="BV43">
            <v>1883289.3318970101</v>
          </cell>
          <cell r="BW43">
            <v>1884336.44061008</v>
          </cell>
          <cell r="BX43">
            <v>1885383.5493231399</v>
          </cell>
          <cell r="BY43">
            <v>1886430.6580362101</v>
          </cell>
          <cell r="BZ43">
            <v>1887477.76674927</v>
          </cell>
          <cell r="CA43">
            <v>1888524.87546234</v>
          </cell>
          <cell r="CB43">
            <v>1889656.3217029299</v>
          </cell>
          <cell r="CC43">
            <v>1890787.7679435301</v>
          </cell>
          <cell r="CD43">
            <v>1891919.2141841201</v>
          </cell>
          <cell r="CE43">
            <v>1893050.66042472</v>
          </cell>
          <cell r="CF43">
            <v>1894182.10666531</v>
          </cell>
          <cell r="CM43">
            <v>79054.173373725906</v>
          </cell>
          <cell r="CN43">
            <v>79098.151939674426</v>
          </cell>
          <cell r="CO43">
            <v>79142.130505623369</v>
          </cell>
          <cell r="CP43">
            <v>79186.109071571889</v>
          </cell>
          <cell r="CQ43">
            <v>79230.087637520832</v>
          </cell>
          <cell r="CR43">
            <v>79274.066203469352</v>
          </cell>
          <cell r="CS43">
            <v>79318.04476941828</v>
          </cell>
          <cell r="CT43">
            <v>79365.565511523062</v>
          </cell>
          <cell r="CU43">
            <v>79413.086253628266</v>
          </cell>
          <cell r="CV43">
            <v>79460.606995733047</v>
          </cell>
          <cell r="CW43">
            <v>79508.127737838251</v>
          </cell>
          <cell r="CX43">
            <v>79555.648479943018</v>
          </cell>
        </row>
        <row r="44">
          <cell r="BC44">
            <v>2130752.5529059097</v>
          </cell>
          <cell r="BD44">
            <v>2131987.9991464997</v>
          </cell>
          <cell r="BE44">
            <v>2133211.4453870999</v>
          </cell>
          <cell r="BF44">
            <v>2134401.8916276898</v>
          </cell>
          <cell r="BG44">
            <v>2135668.33786829</v>
          </cell>
          <cell r="BH44">
            <v>2136848.78410888</v>
          </cell>
          <cell r="BI44">
            <v>2138054.2303494802</v>
          </cell>
          <cell r="BJ44">
            <v>2139382.5734818298</v>
          </cell>
          <cell r="BK44">
            <v>2140663.9166141897</v>
          </cell>
          <cell r="BL44">
            <v>2141964.2597465403</v>
          </cell>
          <cell r="BM44">
            <v>2143274.6028789002</v>
          </cell>
          <cell r="BN44">
            <v>2144498.9460112499</v>
          </cell>
          <cell r="BU44">
            <v>1895313.5529059099</v>
          </cell>
          <cell r="BV44">
            <v>1896444.9991464999</v>
          </cell>
          <cell r="BW44">
            <v>1897576.4453871001</v>
          </cell>
          <cell r="BX44">
            <v>1898707.8916276901</v>
          </cell>
          <cell r="BY44">
            <v>1899839.33786829</v>
          </cell>
          <cell r="BZ44">
            <v>1900970.78410888</v>
          </cell>
          <cell r="CA44">
            <v>1902102.2303494799</v>
          </cell>
          <cell r="CB44">
            <v>1903272.5734818301</v>
          </cell>
          <cell r="CC44">
            <v>1904442.91661419</v>
          </cell>
          <cell r="CD44">
            <v>1905613.2597465401</v>
          </cell>
          <cell r="CE44">
            <v>1906783.6028789</v>
          </cell>
          <cell r="CF44">
            <v>1907953.9460112499</v>
          </cell>
          <cell r="CM44">
            <v>79603.169222048222</v>
          </cell>
          <cell r="CN44">
            <v>79650.689964153004</v>
          </cell>
          <cell r="CO44">
            <v>79698.210706258207</v>
          </cell>
          <cell r="CP44">
            <v>79745.731448362989</v>
          </cell>
          <cell r="CQ44">
            <v>79793.252190468193</v>
          </cell>
          <cell r="CR44">
            <v>79840.77293257296</v>
          </cell>
          <cell r="CS44">
            <v>79888.293674678163</v>
          </cell>
          <cell r="CT44">
            <v>79937.448086236865</v>
          </cell>
          <cell r="CU44">
            <v>79986.60249779599</v>
          </cell>
          <cell r="CV44">
            <v>80035.756909354692</v>
          </cell>
          <cell r="CW44">
            <v>80084.911320913801</v>
          </cell>
          <cell r="CX44">
            <v>80134.065732472503</v>
          </cell>
        </row>
        <row r="45">
          <cell r="BC45">
            <v>2145815.2891436098</v>
          </cell>
          <cell r="BD45">
            <v>2147094.6322759599</v>
          </cell>
          <cell r="BE45">
            <v>2148357.9754083203</v>
          </cell>
          <cell r="BF45">
            <v>2149592.31854067</v>
          </cell>
          <cell r="BG45">
            <v>2150900.6616730299</v>
          </cell>
          <cell r="BH45">
            <v>2152124.0048053898</v>
          </cell>
          <cell r="BI45">
            <v>2153371.3479377399</v>
          </cell>
          <cell r="BJ45">
            <v>2154637.4706661701</v>
          </cell>
          <cell r="BK45">
            <v>2155852.5933945999</v>
          </cell>
          <cell r="BL45">
            <v>2157081.7161230301</v>
          </cell>
          <cell r="BM45">
            <v>2158321.8388514603</v>
          </cell>
          <cell r="BN45">
            <v>2159476.96157989</v>
          </cell>
          <cell r="BU45">
            <v>1909124.28914361</v>
          </cell>
          <cell r="BV45">
            <v>1910294.6322759599</v>
          </cell>
          <cell r="BW45">
            <v>1911464.9754083201</v>
          </cell>
          <cell r="BX45">
            <v>1912635.31854067</v>
          </cell>
          <cell r="BY45">
            <v>1913805.6616730299</v>
          </cell>
          <cell r="BZ45">
            <v>1914976.00480539</v>
          </cell>
          <cell r="CA45">
            <v>1916146.3479377399</v>
          </cell>
          <cell r="CB45">
            <v>1917254.4706661699</v>
          </cell>
          <cell r="CC45">
            <v>1918362.5933946001</v>
          </cell>
          <cell r="CD45">
            <v>1919470.7161230301</v>
          </cell>
          <cell r="CE45">
            <v>1920578.83885146</v>
          </cell>
          <cell r="CF45">
            <v>1921686.96157989</v>
          </cell>
          <cell r="CM45">
            <v>80183.220144031628</v>
          </cell>
          <cell r="CN45">
            <v>80232.37455559033</v>
          </cell>
          <cell r="CO45">
            <v>80281.528967149454</v>
          </cell>
          <cell r="CP45">
            <v>80330.683378708141</v>
          </cell>
          <cell r="CQ45">
            <v>80379.837790267266</v>
          </cell>
          <cell r="CR45">
            <v>80428.99220182639</v>
          </cell>
          <cell r="CS45">
            <v>80478.146613385077</v>
          </cell>
          <cell r="CT45">
            <v>80524.687767979136</v>
          </cell>
          <cell r="CU45">
            <v>80571.228922573209</v>
          </cell>
          <cell r="CV45">
            <v>80617.770077167268</v>
          </cell>
          <cell r="CW45">
            <v>80664.311231761327</v>
          </cell>
          <cell r="CX45">
            <v>80710.852386355386</v>
          </cell>
        </row>
        <row r="46">
          <cell r="BC46">
            <v>2160722.0843083197</v>
          </cell>
          <cell r="BD46">
            <v>2161930.2070367499</v>
          </cell>
          <cell r="BE46">
            <v>2163125.3297651801</v>
          </cell>
          <cell r="BF46">
            <v>2164287.4524936099</v>
          </cell>
          <cell r="BG46">
            <v>2165526.5752220401</v>
          </cell>
          <cell r="BH46">
            <v>2166679.6979504703</v>
          </cell>
          <cell r="BI46">
            <v>2167856.8206789</v>
          </cell>
          <cell r="BJ46">
            <v>2169169.0999256503</v>
          </cell>
          <cell r="BK46">
            <v>2170435.3791724099</v>
          </cell>
          <cell r="BL46">
            <v>2171718.6584191602</v>
          </cell>
          <cell r="BM46">
            <v>2173014.93766591</v>
          </cell>
          <cell r="BN46">
            <v>2174223.2169126701</v>
          </cell>
          <cell r="BU46">
            <v>1922795.08430832</v>
          </cell>
          <cell r="BV46">
            <v>1923903.2070367499</v>
          </cell>
          <cell r="BW46">
            <v>1925011.3297651799</v>
          </cell>
          <cell r="BX46">
            <v>1926119.4524936101</v>
          </cell>
          <cell r="BY46">
            <v>1927227.5752220401</v>
          </cell>
          <cell r="BZ46">
            <v>1928335.69795047</v>
          </cell>
          <cell r="CA46">
            <v>1929443.8206789</v>
          </cell>
          <cell r="CB46">
            <v>1930602.0999256501</v>
          </cell>
          <cell r="CC46">
            <v>1931760.3791724099</v>
          </cell>
          <cell r="CD46">
            <v>1932918.6584191599</v>
          </cell>
          <cell r="CE46">
            <v>1934076.93766591</v>
          </cell>
          <cell r="CF46">
            <v>1935235.2169126701</v>
          </cell>
          <cell r="CM46">
            <v>80757.393540949444</v>
          </cell>
          <cell r="CN46">
            <v>80803.934695543503</v>
          </cell>
          <cell r="CO46">
            <v>80850.475850137562</v>
          </cell>
          <cell r="CP46">
            <v>80897.017004731635</v>
          </cell>
          <cell r="CQ46">
            <v>80943.558159325694</v>
          </cell>
          <cell r="CR46">
            <v>80990.099313919753</v>
          </cell>
          <cell r="CS46">
            <v>81036.640468513811</v>
          </cell>
          <cell r="CT46">
            <v>81085.2881968773</v>
          </cell>
          <cell r="CU46">
            <v>81133.935925241225</v>
          </cell>
          <cell r="CV46">
            <v>81182.583653604728</v>
          </cell>
          <cell r="CW46">
            <v>81231.231381968231</v>
          </cell>
          <cell r="CX46">
            <v>81279.879110332142</v>
          </cell>
        </row>
        <row r="47">
          <cell r="BC47">
            <v>2175523.4961594203</v>
          </cell>
          <cell r="BD47">
            <v>2176787.7754061697</v>
          </cell>
          <cell r="BE47">
            <v>2178037.0546529302</v>
          </cell>
          <cell r="BF47">
            <v>2179254.3338996801</v>
          </cell>
          <cell r="BG47">
            <v>2180548.6131464299</v>
          </cell>
          <cell r="BH47">
            <v>2181756.8923931899</v>
          </cell>
          <cell r="BI47">
            <v>2182988.1716399398</v>
          </cell>
          <cell r="BJ47">
            <v>2183699.7291851304</v>
          </cell>
          <cell r="BK47">
            <v>2185016.1649502199</v>
          </cell>
          <cell r="BL47">
            <v>2186355.6007152898</v>
          </cell>
          <cell r="BM47">
            <v>2187706.0364803597</v>
          </cell>
          <cell r="BN47">
            <v>2188968.4722454501</v>
          </cell>
          <cell r="BU47">
            <v>1936393.4961594201</v>
          </cell>
          <cell r="BV47">
            <v>1937551.7754061699</v>
          </cell>
          <cell r="BW47">
            <v>1938710.05465293</v>
          </cell>
          <cell r="BX47">
            <v>1939868.3338996801</v>
          </cell>
          <cell r="BY47">
            <v>1941026.6131464301</v>
          </cell>
          <cell r="BZ47">
            <v>1942184.8923931899</v>
          </cell>
          <cell r="CA47">
            <v>1943343.17163994</v>
          </cell>
          <cell r="CB47">
            <v>1943949.7291851302</v>
          </cell>
          <cell r="CC47">
            <v>1945158.1649502197</v>
          </cell>
          <cell r="CD47">
            <v>1946366.6007152898</v>
          </cell>
          <cell r="CE47">
            <v>1947575.03648036</v>
          </cell>
          <cell r="CF47">
            <v>1948783.4722454501</v>
          </cell>
          <cell r="CM47">
            <v>81328.526838695645</v>
          </cell>
          <cell r="CN47">
            <v>81377.174567059148</v>
          </cell>
          <cell r="CO47">
            <v>81425.822295423059</v>
          </cell>
          <cell r="CP47">
            <v>81474.470023786562</v>
          </cell>
          <cell r="CQ47">
            <v>81523.117752150065</v>
          </cell>
          <cell r="CR47">
            <v>81571.76548051399</v>
          </cell>
          <cell r="CS47">
            <v>81620.413208877479</v>
          </cell>
          <cell r="CT47">
            <v>81645.888625775464</v>
          </cell>
          <cell r="CU47">
            <v>81696.642927909241</v>
          </cell>
          <cell r="CV47">
            <v>81747.397230042188</v>
          </cell>
          <cell r="CW47">
            <v>81798.151532175136</v>
          </cell>
          <cell r="CX47">
            <v>81848.905834308898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7">
          <cell r="R7">
            <v>0</v>
          </cell>
        </row>
        <row r="8">
          <cell r="R8">
            <v>0</v>
          </cell>
        </row>
        <row r="9">
          <cell r="R9">
            <v>501</v>
          </cell>
        </row>
        <row r="10">
          <cell r="R10">
            <v>2162</v>
          </cell>
        </row>
        <row r="11">
          <cell r="R11">
            <v>2936</v>
          </cell>
        </row>
        <row r="12">
          <cell r="R12">
            <v>4160</v>
          </cell>
        </row>
        <row r="13">
          <cell r="R13">
            <v>5241</v>
          </cell>
        </row>
        <row r="15">
          <cell r="R15">
            <v>6508</v>
          </cell>
        </row>
        <row r="16">
          <cell r="R16">
            <v>6508</v>
          </cell>
        </row>
        <row r="17">
          <cell r="R17">
            <v>6508</v>
          </cell>
        </row>
        <row r="18">
          <cell r="R18">
            <v>6508</v>
          </cell>
        </row>
        <row r="20">
          <cell r="R20">
            <v>6508</v>
          </cell>
        </row>
        <row r="21">
          <cell r="R21">
            <v>6508</v>
          </cell>
        </row>
        <row r="22">
          <cell r="R22">
            <v>6634</v>
          </cell>
        </row>
        <row r="23">
          <cell r="R23">
            <v>6634</v>
          </cell>
        </row>
        <row r="24">
          <cell r="R24">
            <v>6634</v>
          </cell>
        </row>
        <row r="25">
          <cell r="R25">
            <v>6634</v>
          </cell>
        </row>
        <row r="27">
          <cell r="R27">
            <v>6634</v>
          </cell>
        </row>
        <row r="28">
          <cell r="R28">
            <v>6634</v>
          </cell>
        </row>
        <row r="29">
          <cell r="R29">
            <v>6634</v>
          </cell>
        </row>
        <row r="30">
          <cell r="R30">
            <v>6634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%5e@%20Meter" TargetMode="External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%5e@20%25" TargetMode="External"/><Relationship Id="rId1" Type="http://schemas.openxmlformats.org/officeDocument/2006/relationships/hyperlink" Target="mailto:%5e@20%25" TargetMode="Externa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CC138"/>
  <sheetViews>
    <sheetView tabSelected="1" zoomScale="70" zoomScaleNormal="70" workbookViewId="0">
      <pane xSplit="2" ySplit="7" topLeftCell="U26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/>
  <cols>
    <col min="1" max="1" width="18" style="93" customWidth="1"/>
    <col min="2" max="2" width="8" style="103" bestFit="1" customWidth="1"/>
    <col min="3" max="3" width="12.42578125" style="93" customWidth="1"/>
    <col min="4" max="7" width="7.7109375" style="103" customWidth="1"/>
    <col min="8" max="8" width="11.140625" style="103" bestFit="1" customWidth="1"/>
    <col min="9" max="11" width="10.5703125" style="107" customWidth="1"/>
    <col min="12" max="12" width="12.28515625" style="103" bestFit="1" customWidth="1"/>
    <col min="13" max="13" width="9.7109375" style="103" customWidth="1"/>
    <col min="14" max="14" width="11" style="103" customWidth="1"/>
    <col min="15" max="16" width="9.28515625" style="103" bestFit="1" customWidth="1"/>
    <col min="17" max="17" width="10.85546875" style="107" customWidth="1"/>
    <col min="18" max="18" width="13.7109375" style="107" customWidth="1"/>
    <col min="19" max="19" width="6.85546875" style="103" bestFit="1" customWidth="1"/>
    <col min="20" max="21" width="6.28515625" style="103" bestFit="1" customWidth="1"/>
    <col min="22" max="22" width="16" style="103" bestFit="1" customWidth="1"/>
    <col min="23" max="23" width="12.85546875" style="103" bestFit="1" customWidth="1"/>
    <col min="24" max="24" width="11.42578125" style="103" bestFit="1" customWidth="1"/>
    <col min="25" max="25" width="9.28515625" style="103" bestFit="1" customWidth="1"/>
    <col min="26" max="26" width="11.7109375" style="103" customWidth="1"/>
    <col min="27" max="27" width="10.5703125" style="103" bestFit="1" customWidth="1"/>
    <col min="28" max="28" width="9.85546875" style="103" bestFit="1" customWidth="1"/>
    <col min="29" max="29" width="9.140625" style="103"/>
    <col min="30" max="30" width="9.85546875" style="103" bestFit="1" customWidth="1"/>
    <col min="31" max="31" width="9.140625" style="103"/>
    <col min="32" max="32" width="12.28515625" style="103" bestFit="1" customWidth="1"/>
    <col min="33" max="33" width="9.140625" style="103"/>
    <col min="34" max="34" width="10" style="103" bestFit="1" customWidth="1"/>
    <col min="35" max="35" width="9.85546875" style="103" bestFit="1" customWidth="1"/>
    <col min="36" max="37" width="9.140625" style="103"/>
    <col min="38" max="39" width="12.7109375" style="103" bestFit="1" customWidth="1"/>
    <col min="40" max="40" width="9.85546875" style="103" bestFit="1" customWidth="1"/>
    <col min="41" max="42" width="9.140625" style="103"/>
    <col min="43" max="43" width="5.7109375" style="103" customWidth="1"/>
    <col min="44" max="44" width="9.7109375" style="103" customWidth="1"/>
    <col min="45" max="45" width="8.140625" style="103" bestFit="1" customWidth="1"/>
    <col min="46" max="46" width="7.28515625" style="103" customWidth="1"/>
    <col min="47" max="48" width="11.7109375" style="103" bestFit="1" customWidth="1"/>
    <col min="49" max="49" width="18" style="103" customWidth="1"/>
    <col min="50" max="50" width="14.42578125" style="103" customWidth="1"/>
    <col min="51" max="51" width="15" style="103" customWidth="1"/>
    <col min="52" max="53" width="12.7109375" style="103" customWidth="1"/>
    <col min="54" max="54" width="15.140625" style="103" bestFit="1" customWidth="1"/>
    <col min="55" max="55" width="13.85546875" style="103" bestFit="1" customWidth="1"/>
    <col min="56" max="56" width="14.42578125" style="103" bestFit="1" customWidth="1"/>
    <col min="57" max="57" width="13.85546875" style="103" bestFit="1" customWidth="1"/>
    <col min="58" max="58" width="9.140625" style="103"/>
    <col min="59" max="59" width="10.42578125" style="103" customWidth="1"/>
    <col min="60" max="61" width="9.140625" style="103"/>
    <col min="62" max="62" width="13.85546875" style="103" customWidth="1"/>
    <col min="63" max="63" width="9.140625" style="103"/>
    <col min="64" max="64" width="10.5703125" style="103" customWidth="1"/>
    <col min="65" max="67" width="9.140625" style="103"/>
    <col min="68" max="68" width="20.42578125" style="103" customWidth="1"/>
    <col min="69" max="69" width="10" style="103" customWidth="1"/>
    <col min="70" max="70" width="12.28515625" style="103" customWidth="1"/>
    <col min="71" max="71" width="16.42578125" style="103" customWidth="1"/>
    <col min="72" max="75" width="14.140625" style="103" customWidth="1"/>
    <col min="76" max="77" width="9.85546875" style="103" bestFit="1" customWidth="1"/>
    <col min="78" max="16384" width="9.140625" style="103"/>
  </cols>
  <sheetData>
    <row r="1" spans="1:81" s="109" customFormat="1" ht="13.5" thickBot="1">
      <c r="A1" s="243" t="s">
        <v>218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1582" t="s">
        <v>634</v>
      </c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91"/>
      <c r="X1" s="1582" t="s">
        <v>634</v>
      </c>
      <c r="Y1" s="1582" t="s">
        <v>634</v>
      </c>
      <c r="Z1" s="1582" t="s">
        <v>634</v>
      </c>
      <c r="AA1" s="1582" t="s">
        <v>634</v>
      </c>
      <c r="AB1" s="1582" t="s">
        <v>634</v>
      </c>
      <c r="AC1" s="1582" t="s">
        <v>634</v>
      </c>
      <c r="AD1" s="91"/>
      <c r="AE1" s="91"/>
      <c r="AF1" s="91"/>
      <c r="AG1" s="1351" t="s">
        <v>582</v>
      </c>
      <c r="AH1" s="243"/>
      <c r="AI1" s="243"/>
      <c r="AJ1" s="243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1346" t="s">
        <v>583</v>
      </c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  <c r="BL1" s="443"/>
      <c r="BM1" s="443"/>
      <c r="BN1" s="443"/>
      <c r="BO1" s="443"/>
      <c r="BP1" s="397"/>
      <c r="BQ1" s="397"/>
      <c r="BR1" s="397"/>
      <c r="BS1" s="397"/>
    </row>
    <row r="2" spans="1:81" s="109" customForma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336" t="s">
        <v>235</v>
      </c>
      <c r="AI2" s="336"/>
      <c r="AJ2" s="362" t="s">
        <v>234</v>
      </c>
      <c r="AK2" s="362"/>
      <c r="AL2" s="119"/>
      <c r="AM2" s="119"/>
      <c r="AN2" s="119"/>
      <c r="AO2" s="119"/>
      <c r="AP2" s="119"/>
      <c r="AQ2" s="119"/>
      <c r="AR2" s="362"/>
      <c r="AS2" s="119"/>
      <c r="AT2" s="119"/>
      <c r="AU2" s="119"/>
      <c r="AV2" s="119"/>
      <c r="AW2" s="673" t="s">
        <v>334</v>
      </c>
      <c r="AX2" s="119"/>
      <c r="AY2" s="119"/>
      <c r="AZ2" s="119"/>
      <c r="BA2" s="119"/>
      <c r="BB2" s="119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</row>
    <row r="3" spans="1:81" s="109" customFormat="1" ht="13.5" customHeight="1" thickBo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968" t="s">
        <v>561</v>
      </c>
      <c r="X3" s="348"/>
      <c r="Y3" s="1010" t="s">
        <v>562</v>
      </c>
      <c r="Z3" s="91"/>
      <c r="AA3" s="967" t="s">
        <v>563</v>
      </c>
      <c r="AB3" s="91"/>
      <c r="AC3" s="91"/>
      <c r="AD3" s="91"/>
      <c r="AE3" s="91"/>
      <c r="AF3" s="91"/>
      <c r="AG3" s="443" t="s">
        <v>242</v>
      </c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</row>
    <row r="4" spans="1:81" s="1125" customFormat="1" ht="13.5" thickBot="1">
      <c r="A4" s="151"/>
      <c r="B4" s="148"/>
      <c r="C4" s="151"/>
      <c r="D4" s="148"/>
      <c r="E4" s="148"/>
      <c r="F4" s="148"/>
      <c r="G4" s="148"/>
      <c r="H4" s="155"/>
      <c r="I4" s="147"/>
      <c r="J4" s="147"/>
      <c r="K4" s="147" t="s">
        <v>228</v>
      </c>
      <c r="L4" s="148"/>
      <c r="M4" s="148"/>
      <c r="N4" s="1594"/>
      <c r="O4" s="1594"/>
      <c r="P4" s="148"/>
      <c r="Q4" s="404" t="s">
        <v>228</v>
      </c>
      <c r="R4" s="1204" t="s">
        <v>228</v>
      </c>
      <c r="S4" s="148"/>
      <c r="T4" s="148"/>
      <c r="U4" s="148"/>
      <c r="W4" s="811" t="s">
        <v>628</v>
      </c>
      <c r="X4" s="92"/>
      <c r="Y4" s="92"/>
      <c r="Z4" s="92"/>
      <c r="AA4" s="92"/>
      <c r="AB4" s="92"/>
      <c r="AC4" s="92"/>
      <c r="AD4" s="92"/>
      <c r="AE4" s="92"/>
      <c r="AF4" s="92"/>
      <c r="AG4" s="148"/>
      <c r="AH4" s="148"/>
      <c r="AI4" s="148"/>
      <c r="AJ4" s="159"/>
      <c r="AK4" s="159"/>
      <c r="AL4" s="1416" t="s">
        <v>628</v>
      </c>
      <c r="AM4" s="148"/>
      <c r="AN4" s="148"/>
      <c r="AO4" s="148"/>
      <c r="AP4" s="148"/>
      <c r="AQ4" s="148"/>
      <c r="AR4" s="148"/>
      <c r="AS4" s="148"/>
      <c r="AT4" s="148"/>
      <c r="AU4" s="92"/>
      <c r="AV4" s="92"/>
      <c r="AW4" s="92"/>
      <c r="AX4" s="92"/>
      <c r="AY4" s="92"/>
      <c r="AZ4" s="92"/>
      <c r="BA4" s="92"/>
      <c r="BB4" s="92"/>
      <c r="BC4" s="92"/>
      <c r="BD4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</row>
    <row r="5" spans="1:81" s="1125" customFormat="1" ht="12.75" customHeight="1" thickBot="1">
      <c r="A5" s="151"/>
      <c r="B5" s="148"/>
      <c r="C5" s="337" t="s">
        <v>184</v>
      </c>
      <c r="D5" s="148"/>
      <c r="E5" s="148"/>
      <c r="F5" s="148"/>
      <c r="G5" s="148"/>
      <c r="H5" s="156" t="s">
        <v>69</v>
      </c>
      <c r="I5" s="147" t="s">
        <v>60</v>
      </c>
      <c r="J5" s="147"/>
      <c r="K5" s="147" t="s">
        <v>6</v>
      </c>
      <c r="L5" s="155" t="s">
        <v>57</v>
      </c>
      <c r="M5" s="148"/>
      <c r="N5" s="1594" t="s">
        <v>58</v>
      </c>
      <c r="O5" s="1594"/>
      <c r="P5" s="556" t="s">
        <v>304</v>
      </c>
      <c r="Q5" s="404" t="s">
        <v>1</v>
      </c>
      <c r="R5" s="1204" t="s">
        <v>1</v>
      </c>
      <c r="S5" s="1596" t="s">
        <v>17</v>
      </c>
      <c r="T5" s="1597"/>
      <c r="U5" s="1598"/>
      <c r="V5" s="813" t="s">
        <v>628</v>
      </c>
      <c r="W5" s="344" t="s">
        <v>23</v>
      </c>
      <c r="X5" s="813" t="s">
        <v>439</v>
      </c>
      <c r="Y5" s="687">
        <f>[2]ssr!$K$172</f>
        <v>0.25719999999999998</v>
      </c>
      <c r="Z5" s="370"/>
      <c r="AA5" s="707" t="s">
        <v>227</v>
      </c>
      <c r="AB5" s="92"/>
      <c r="AC5" s="92"/>
      <c r="AD5" s="92"/>
      <c r="AE5" s="92"/>
      <c r="AF5" s="92"/>
      <c r="AG5" s="148"/>
      <c r="AH5" s="152" t="s">
        <v>1</v>
      </c>
      <c r="AI5" s="1592" t="s">
        <v>627</v>
      </c>
      <c r="AJ5" s="1593"/>
      <c r="AK5" s="795"/>
      <c r="AL5" s="1416" t="s">
        <v>97</v>
      </c>
      <c r="AM5" s="148"/>
      <c r="AN5" s="148"/>
      <c r="AO5" s="148"/>
      <c r="AP5" s="148"/>
      <c r="AQ5" s="148"/>
      <c r="AR5" s="92"/>
      <c r="AS5" s="92"/>
      <c r="AT5" s="92"/>
      <c r="AU5" s="92"/>
      <c r="AV5" s="92"/>
      <c r="AW5" s="792"/>
      <c r="AX5" s="92"/>
      <c r="AY5" s="92"/>
      <c r="AZ5" s="92"/>
      <c r="BA5" s="92"/>
      <c r="BB5" s="92"/>
      <c r="BC5" s="92"/>
      <c r="BD5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</row>
    <row r="6" spans="1:81" s="1125" customFormat="1" ht="12.75" customHeight="1">
      <c r="A6" s="152"/>
      <c r="B6" s="153" t="s">
        <v>4</v>
      </c>
      <c r="C6" s="154" t="s">
        <v>5</v>
      </c>
      <c r="D6" s="1591" t="s">
        <v>70</v>
      </c>
      <c r="E6" s="1591"/>
      <c r="F6" s="1591"/>
      <c r="G6" s="1591"/>
      <c r="H6" s="155" t="s">
        <v>7</v>
      </c>
      <c r="I6" s="147" t="s">
        <v>61</v>
      </c>
      <c r="J6" s="147" t="s">
        <v>71</v>
      </c>
      <c r="K6" s="147" t="s">
        <v>61</v>
      </c>
      <c r="L6" s="155" t="s">
        <v>59</v>
      </c>
      <c r="M6" s="1426" t="s">
        <v>20</v>
      </c>
      <c r="N6" s="1595" t="s">
        <v>72</v>
      </c>
      <c r="O6" s="1595"/>
      <c r="P6" s="155" t="s">
        <v>0</v>
      </c>
      <c r="Q6" s="404" t="s">
        <v>6</v>
      </c>
      <c r="R6" s="1204" t="s">
        <v>6</v>
      </c>
      <c r="S6" s="1599" t="s">
        <v>241</v>
      </c>
      <c r="T6" s="1600"/>
      <c r="U6" s="1600"/>
      <c r="V6" s="404" t="s">
        <v>23</v>
      </c>
      <c r="W6" s="626" t="s">
        <v>312</v>
      </c>
      <c r="X6" s="351" t="s">
        <v>187</v>
      </c>
      <c r="Y6" s="350" t="s">
        <v>189</v>
      </c>
      <c r="Z6" s="350" t="s">
        <v>21</v>
      </c>
      <c r="AA6" s="92"/>
      <c r="AB6" s="351" t="s">
        <v>346</v>
      </c>
      <c r="AC6" s="358" t="s">
        <v>194</v>
      </c>
      <c r="AD6" s="658"/>
      <c r="AE6" s="92"/>
      <c r="AF6" s="92"/>
      <c r="AG6" s="148"/>
      <c r="AH6" s="152" t="s">
        <v>6</v>
      </c>
      <c r="AI6" s="152" t="s">
        <v>17</v>
      </c>
      <c r="AJ6" s="152" t="s">
        <v>17</v>
      </c>
      <c r="AK6" s="152" t="s">
        <v>392</v>
      </c>
      <c r="AL6" s="155" t="s">
        <v>73</v>
      </c>
      <c r="AM6" s="392" t="s">
        <v>79</v>
      </c>
      <c r="AN6" s="337" t="s">
        <v>115</v>
      </c>
      <c r="AO6" s="392" t="s">
        <v>81</v>
      </c>
      <c r="AP6" s="155"/>
      <c r="AQ6" s="155"/>
      <c r="AR6" s="1206"/>
      <c r="AS6" s="158"/>
      <c r="AT6" s="148"/>
      <c r="AU6" s="92"/>
      <c r="AV6" s="92"/>
      <c r="AW6" s="793"/>
      <c r="AX6" s="794"/>
      <c r="AY6" s="794"/>
      <c r="AZ6" s="794"/>
      <c r="BA6" s="357"/>
      <c r="BB6" s="357"/>
      <c r="BC6" s="357"/>
      <c r="BD6" s="92"/>
      <c r="BE6" s="92"/>
      <c r="BF6" s="92"/>
      <c r="BG6" s="92"/>
      <c r="BH6" s="92"/>
      <c r="BI6" s="357"/>
      <c r="BJ6" s="92"/>
      <c r="BK6" s="92"/>
      <c r="BL6" s="92"/>
      <c r="BM6" s="92"/>
      <c r="BN6" s="92"/>
      <c r="BO6" s="92"/>
    </row>
    <row r="7" spans="1:81" s="1125" customFormat="1" ht="13.5" customHeight="1" thickBot="1">
      <c r="A7" s="161" t="s">
        <v>10</v>
      </c>
      <c r="B7" s="160" t="s">
        <v>11</v>
      </c>
      <c r="C7" s="160" t="s">
        <v>12</v>
      </c>
      <c r="D7" s="162" t="s">
        <v>66</v>
      </c>
      <c r="E7" s="162" t="s">
        <v>2</v>
      </c>
      <c r="F7" s="162" t="s">
        <v>74</v>
      </c>
      <c r="G7" s="162" t="s">
        <v>3</v>
      </c>
      <c r="H7" s="162" t="s">
        <v>13</v>
      </c>
      <c r="I7" s="405" t="s">
        <v>62</v>
      </c>
      <c r="J7" s="163" t="s">
        <v>75</v>
      </c>
      <c r="K7" s="163" t="s">
        <v>62</v>
      </c>
      <c r="L7" s="162" t="s">
        <v>76</v>
      </c>
      <c r="M7" s="1427" t="s">
        <v>77</v>
      </c>
      <c r="N7" s="162" t="s">
        <v>60</v>
      </c>
      <c r="O7" s="162" t="s">
        <v>6</v>
      </c>
      <c r="P7" s="162" t="s">
        <v>66</v>
      </c>
      <c r="Q7" s="405" t="s">
        <v>16</v>
      </c>
      <c r="R7" s="1205" t="s">
        <v>409</v>
      </c>
      <c r="S7" s="162" t="s">
        <v>78</v>
      </c>
      <c r="T7" s="162" t="s">
        <v>236</v>
      </c>
      <c r="U7" s="162" t="s">
        <v>237</v>
      </c>
      <c r="V7" s="1424" t="s">
        <v>73</v>
      </c>
      <c r="W7" s="627" t="s">
        <v>313</v>
      </c>
      <c r="X7" s="352" t="s">
        <v>226</v>
      </c>
      <c r="Y7" s="352" t="s">
        <v>190</v>
      </c>
      <c r="Z7" s="94" t="s">
        <v>188</v>
      </c>
      <c r="AA7" s="479" t="s">
        <v>246</v>
      </c>
      <c r="AB7" s="343" t="s">
        <v>345</v>
      </c>
      <c r="AC7" s="359" t="s">
        <v>169</v>
      </c>
      <c r="AD7" s="659"/>
      <c r="AE7" s="92"/>
      <c r="AF7" s="92"/>
      <c r="AG7" s="157" t="s">
        <v>9</v>
      </c>
      <c r="AH7" s="1432" t="s">
        <v>567</v>
      </c>
      <c r="AI7" s="152" t="s">
        <v>236</v>
      </c>
      <c r="AJ7" s="152" t="s">
        <v>237</v>
      </c>
      <c r="AK7" s="152" t="s">
        <v>391</v>
      </c>
      <c r="AL7" s="152" t="s">
        <v>192</v>
      </c>
      <c r="AM7" s="152" t="s">
        <v>80</v>
      </c>
      <c r="AN7" s="152" t="s">
        <v>80</v>
      </c>
      <c r="AO7" s="154" t="s">
        <v>286</v>
      </c>
      <c r="AP7" s="152" t="s">
        <v>82</v>
      </c>
      <c r="AQ7" s="152" t="s">
        <v>83</v>
      </c>
      <c r="AR7" s="154" t="s">
        <v>565</v>
      </c>
      <c r="AS7" s="154" t="s">
        <v>564</v>
      </c>
      <c r="AT7" s="152" t="s">
        <v>84</v>
      </c>
      <c r="AU7" s="152" t="s">
        <v>195</v>
      </c>
      <c r="AV7" s="92"/>
      <c r="AW7" s="793"/>
      <c r="AX7" s="794"/>
      <c r="AY7"/>
      <c r="AZ7"/>
      <c r="BA7"/>
      <c r="BB7"/>
      <c r="BC7"/>
      <c r="BD7" s="92"/>
      <c r="BE7" s="92"/>
      <c r="BF7" s="92"/>
      <c r="BG7" s="92"/>
      <c r="BH7" s="92"/>
      <c r="BI7" s="1097" t="s">
        <v>126</v>
      </c>
      <c r="BJ7" s="461" t="s">
        <v>232</v>
      </c>
      <c r="BK7" s="460" t="s">
        <v>231</v>
      </c>
      <c r="BL7" s="460" t="s">
        <v>230</v>
      </c>
      <c r="BM7" s="440" t="s">
        <v>233</v>
      </c>
      <c r="BN7" s="467" t="s">
        <v>229</v>
      </c>
      <c r="BO7" s="118"/>
    </row>
    <row r="8" spans="1:81" s="109" customFormat="1" ht="13.5" thickBot="1">
      <c r="A8" s="96">
        <v>27409.333333333332</v>
      </c>
      <c r="B8" s="97" t="str">
        <f t="shared" ref="B8:B40" si="0">IF(WEEKDAY(A8)=1,"SUN",IF(WEEKDAY(A8)=2,"MON",IF(WEEKDAY(A8)=3,"TUE",IF(WEEKDAY(A8)=4,"WED",IF(WEEKDAY(A8)=5,"THU",IF(WEEKDAY(A8)=6,"FRI","SAT"))))))</f>
        <v>WED</v>
      </c>
      <c r="C8" s="861">
        <v>3010</v>
      </c>
      <c r="D8" s="99">
        <f>'[3]DSM Impacts'!R5</f>
        <v>0</v>
      </c>
      <c r="E8" s="99">
        <f>'[3]DSM Impacts'!J5</f>
        <v>0</v>
      </c>
      <c r="F8" s="99">
        <f>'[3]DSM Impacts'!N5</f>
        <v>0</v>
      </c>
      <c r="G8" s="99">
        <f>'[3]DSM Impacts'!V5</f>
        <v>0</v>
      </c>
      <c r="H8" s="99">
        <v>0</v>
      </c>
      <c r="I8" s="100">
        <f t="shared" ref="I8:I35" si="1">SUM(C8:H8)</f>
        <v>3010</v>
      </c>
      <c r="J8" s="100">
        <v>486</v>
      </c>
      <c r="K8" s="100">
        <f t="shared" ref="K8:K35" si="2">I8-J8</f>
        <v>2524</v>
      </c>
      <c r="L8" s="99">
        <f>'[3]DSM Impacts'!F5</f>
        <v>0</v>
      </c>
      <c r="M8" s="1428">
        <f>'[3]DSM Impacts'!G5</f>
        <v>0</v>
      </c>
      <c r="N8" s="99">
        <f>I8+L8</f>
        <v>3010</v>
      </c>
      <c r="O8" s="99">
        <f t="shared" ref="O8:O34" si="3">N8-J8</f>
        <v>2524</v>
      </c>
      <c r="P8" s="99">
        <f>'[3]DSM Impacts'!$Q5</f>
        <v>185</v>
      </c>
      <c r="Q8" s="100">
        <f t="shared" ref="Q8:Q36" si="4">O8-P8</f>
        <v>2339</v>
      </c>
      <c r="R8" s="1203">
        <f t="shared" ref="R8:R10" si="5">K8-P8</f>
        <v>2339</v>
      </c>
      <c r="S8" s="105"/>
      <c r="T8" s="105"/>
      <c r="U8" s="105"/>
      <c r="V8" s="349">
        <f>W8</f>
        <v>622858</v>
      </c>
      <c r="W8" s="102">
        <f>[4]Data!$I6</f>
        <v>622858</v>
      </c>
      <c r="X8" s="102"/>
      <c r="Y8" s="102"/>
      <c r="Z8" s="102"/>
      <c r="AA8" s="103"/>
      <c r="AB8" s="103"/>
      <c r="AC8" s="102"/>
      <c r="AD8" s="102"/>
      <c r="AE8" s="99"/>
      <c r="AF8" s="103"/>
      <c r="AG8" s="391"/>
      <c r="AH8" s="165"/>
      <c r="AI8" s="568"/>
      <c r="AJ8" s="568"/>
      <c r="AK8" s="568"/>
      <c r="AL8" s="165"/>
      <c r="AM8" s="391"/>
      <c r="AN8" s="391"/>
      <c r="AO8" s="466"/>
      <c r="AP8" s="676"/>
      <c r="AQ8" s="391"/>
      <c r="AR8" s="391"/>
      <c r="AS8" s="391"/>
      <c r="AT8" s="391"/>
      <c r="AU8" s="103"/>
      <c r="AV8" s="103"/>
      <c r="AW8" s="1346" t="s">
        <v>583</v>
      </c>
      <c r="AX8" s="779"/>
      <c r="AY8" s="779"/>
      <c r="AZ8" s="779"/>
      <c r="BA8" s="779"/>
      <c r="BB8" s="459"/>
      <c r="BC8"/>
      <c r="BD8" s="103"/>
      <c r="BE8" s="103"/>
      <c r="BF8" s="103"/>
      <c r="BG8" s="103"/>
      <c r="BH8" s="103"/>
      <c r="BI8"/>
      <c r="BJ8"/>
      <c r="BK8" s="102"/>
      <c r="BL8" s="102"/>
      <c r="BM8" s="103"/>
      <c r="BN8" s="1127"/>
      <c r="BO8" s="102"/>
      <c r="BP8" s="103"/>
      <c r="BQ8" s="103"/>
      <c r="BR8" s="103"/>
      <c r="BS8" s="103"/>
      <c r="BT8" s="103"/>
      <c r="BU8" s="103"/>
      <c r="BV8" s="103"/>
      <c r="BW8" s="103"/>
      <c r="BX8" s="103"/>
    </row>
    <row r="9" spans="1:81" s="109" customFormat="1">
      <c r="A9" s="96">
        <v>27778.333333333332</v>
      </c>
      <c r="B9" s="97" t="str">
        <f t="shared" si="0"/>
        <v>MON</v>
      </c>
      <c r="C9" s="861">
        <v>3530</v>
      </c>
      <c r="D9" s="99">
        <f>'[3]DSM Impacts'!R6</f>
        <v>140</v>
      </c>
      <c r="E9" s="99">
        <f>'[3]DSM Impacts'!J6</f>
        <v>0</v>
      </c>
      <c r="F9" s="99">
        <f>'[3]DSM Impacts'!N6</f>
        <v>0</v>
      </c>
      <c r="G9" s="99">
        <f>'[3]DSM Impacts'!V6</f>
        <v>0</v>
      </c>
      <c r="H9" s="99">
        <v>0</v>
      </c>
      <c r="I9" s="100">
        <f t="shared" si="1"/>
        <v>3670</v>
      </c>
      <c r="J9" s="100">
        <v>622</v>
      </c>
      <c r="K9" s="100">
        <f t="shared" si="2"/>
        <v>3048</v>
      </c>
      <c r="L9" s="99">
        <f>'[3]DSM Impacts'!F6</f>
        <v>0</v>
      </c>
      <c r="M9" s="1428">
        <f>'[3]DSM Impacts'!G6</f>
        <v>0</v>
      </c>
      <c r="N9" s="99">
        <f t="shared" ref="N9:N40" si="6">I9+L9</f>
        <v>3670</v>
      </c>
      <c r="O9" s="99">
        <f t="shared" si="3"/>
        <v>3048</v>
      </c>
      <c r="P9" s="99">
        <f>'[3]DSM Impacts'!$Q6</f>
        <v>305</v>
      </c>
      <c r="Q9" s="100">
        <f t="shared" si="4"/>
        <v>2743</v>
      </c>
      <c r="R9" s="1203">
        <f t="shared" si="5"/>
        <v>2743</v>
      </c>
      <c r="S9" s="105">
        <f>[5]Winter!L4</f>
        <v>34.700000000000003</v>
      </c>
      <c r="T9" s="105">
        <f>[5]Winter!J4</f>
        <v>33.200000000000003</v>
      </c>
      <c r="U9" s="105">
        <f>[5]Winter!K4</f>
        <v>37.9</v>
      </c>
      <c r="V9" s="349">
        <f t="shared" ref="V9:V29" si="7">W9</f>
        <v>642623</v>
      </c>
      <c r="W9" s="102">
        <f>[4]Data!$I7</f>
        <v>642623</v>
      </c>
      <c r="X9" s="102"/>
      <c r="Y9" s="102"/>
      <c r="Z9" s="102"/>
      <c r="AA9" s="103"/>
      <c r="AB9" s="103"/>
      <c r="AC9" s="102">
        <f t="shared" ref="AC9:AC20" si="8">V9-V8</f>
        <v>19765</v>
      </c>
      <c r="AD9" s="102"/>
      <c r="AE9" s="99"/>
      <c r="AF9" s="103"/>
      <c r="AG9" s="391">
        <f>1976</f>
        <v>1976</v>
      </c>
      <c r="AH9" s="165">
        <f t="shared" ref="AH9:AH12" si="9">Q9</f>
        <v>2743</v>
      </c>
      <c r="AI9" s="568">
        <f t="shared" ref="AI9:AI36" si="10">T9</f>
        <v>33.200000000000003</v>
      </c>
      <c r="AJ9" s="568">
        <f t="shared" ref="AJ9:AJ39" si="11">U9</f>
        <v>37.9</v>
      </c>
      <c r="AK9" s="568">
        <f>S9</f>
        <v>34.700000000000003</v>
      </c>
      <c r="AL9" s="165">
        <f t="shared" ref="AL9:AL12" si="12">V9</f>
        <v>642623</v>
      </c>
      <c r="AM9" s="391">
        <v>0</v>
      </c>
      <c r="AN9" s="391">
        <v>0</v>
      </c>
      <c r="AO9" s="391"/>
      <c r="AP9" s="676"/>
      <c r="AQ9" s="391"/>
      <c r="AR9" s="391"/>
      <c r="AS9" s="391"/>
      <c r="AT9" s="391"/>
      <c r="AU9" s="361">
        <f t="shared" ref="AU9:AU34" si="13">AH9-AH8</f>
        <v>2743</v>
      </c>
      <c r="AV9" s="103"/>
      <c r="AW9" s="1340" t="s">
        <v>575</v>
      </c>
      <c r="AX9" s="1341"/>
      <c r="AY9" s="28"/>
      <c r="AZ9" s="28"/>
      <c r="BA9" s="28"/>
      <c r="BB9" s="28"/>
      <c r="BC9" s="28"/>
      <c r="BD9" s="103"/>
      <c r="BE9" s="103"/>
      <c r="BF9" s="103"/>
      <c r="BG9" s="103"/>
      <c r="BH9" s="103"/>
      <c r="BI9" s="726"/>
      <c r="BJ9" s="823"/>
      <c r="BK9" s="1126"/>
      <c r="BL9" s="1126"/>
      <c r="BM9" s="767"/>
      <c r="BN9" s="1127"/>
      <c r="BO9" s="102"/>
      <c r="BP9" s="103"/>
      <c r="BQ9" s="103"/>
      <c r="BR9" s="103"/>
      <c r="BS9" s="103"/>
      <c r="BT9" s="103"/>
      <c r="BU9" s="103"/>
      <c r="BV9" s="103"/>
      <c r="BW9" s="103"/>
      <c r="BX9" s="103"/>
    </row>
    <row r="10" spans="1:81">
      <c r="A10" s="96">
        <v>28144.458333333332</v>
      </c>
      <c r="B10" s="97" t="str">
        <f t="shared" si="0"/>
        <v>WED</v>
      </c>
      <c r="C10" s="861">
        <v>3899</v>
      </c>
      <c r="D10" s="99">
        <f>'[3]DSM Impacts'!R7</f>
        <v>220</v>
      </c>
      <c r="E10" s="99">
        <f>'[3]DSM Impacts'!J7</f>
        <v>0</v>
      </c>
      <c r="F10" s="99">
        <f>'[3]DSM Impacts'!N7</f>
        <v>0</v>
      </c>
      <c r="G10" s="99">
        <f>'[3]DSM Impacts'!V7</f>
        <v>0</v>
      </c>
      <c r="H10" s="99">
        <v>250</v>
      </c>
      <c r="I10" s="100">
        <f t="shared" si="1"/>
        <v>4369</v>
      </c>
      <c r="J10" s="100">
        <v>676</v>
      </c>
      <c r="K10" s="100">
        <f t="shared" si="2"/>
        <v>3693</v>
      </c>
      <c r="L10" s="99">
        <f>'[3]DSM Impacts'!F7</f>
        <v>0</v>
      </c>
      <c r="M10" s="1428">
        <f>'[3]DSM Impacts'!G7</f>
        <v>0</v>
      </c>
      <c r="N10" s="99">
        <f t="shared" si="6"/>
        <v>4369</v>
      </c>
      <c r="O10" s="99">
        <f t="shared" si="3"/>
        <v>3693</v>
      </c>
      <c r="P10" s="99">
        <f>'[3]DSM Impacts'!$Q7</f>
        <v>254</v>
      </c>
      <c r="Q10" s="100">
        <f t="shared" si="4"/>
        <v>3439</v>
      </c>
      <c r="R10" s="1203">
        <f t="shared" si="5"/>
        <v>3439</v>
      </c>
      <c r="S10" s="105">
        <f>[5]Winter!L5</f>
        <v>31.7</v>
      </c>
      <c r="T10" s="105">
        <f>[5]Winter!J5</f>
        <v>29.1</v>
      </c>
      <c r="U10" s="105">
        <f>[5]Winter!K5</f>
        <v>37</v>
      </c>
      <c r="V10" s="349">
        <f t="shared" si="7"/>
        <v>667278</v>
      </c>
      <c r="W10" s="102">
        <f>[4]Data!$I8</f>
        <v>667278</v>
      </c>
      <c r="X10" s="102"/>
      <c r="Y10" s="102"/>
      <c r="Z10" s="102"/>
      <c r="AC10" s="102">
        <f t="shared" si="8"/>
        <v>24655</v>
      </c>
      <c r="AD10" s="102"/>
      <c r="AE10" s="99"/>
      <c r="AF10" s="102"/>
      <c r="AG10" s="391">
        <f t="shared" ref="AG10:AG58" si="14">AG9+1</f>
        <v>1977</v>
      </c>
      <c r="AH10" s="165">
        <f t="shared" si="9"/>
        <v>3439</v>
      </c>
      <c r="AI10" s="568">
        <f t="shared" si="10"/>
        <v>29.1</v>
      </c>
      <c r="AJ10" s="568">
        <f t="shared" si="11"/>
        <v>37</v>
      </c>
      <c r="AK10" s="568">
        <f t="shared" ref="AK10:AK41" si="15">S10</f>
        <v>31.7</v>
      </c>
      <c r="AL10" s="165">
        <f t="shared" si="12"/>
        <v>667278</v>
      </c>
      <c r="AM10" s="391">
        <v>0</v>
      </c>
      <c r="AN10" s="391">
        <v>0</v>
      </c>
      <c r="AO10" s="391"/>
      <c r="AP10" s="676"/>
      <c r="AQ10" s="391"/>
      <c r="AR10" s="28"/>
      <c r="AS10" s="28"/>
      <c r="AT10" s="28"/>
      <c r="AU10" s="361">
        <f t="shared" si="13"/>
        <v>696</v>
      </c>
      <c r="AV10" s="28"/>
      <c r="AW10" t="s">
        <v>19</v>
      </c>
      <c r="AX10"/>
      <c r="AY10"/>
      <c r="AZ10"/>
      <c r="BA10"/>
      <c r="BB10"/>
      <c r="BC10"/>
      <c r="BD10"/>
      <c r="BE10"/>
      <c r="BI10" s="726"/>
      <c r="BJ10" s="823"/>
      <c r="BK10" s="1126"/>
      <c r="BL10" s="1126"/>
      <c r="BM10" s="767"/>
      <c r="BN10" s="1127"/>
      <c r="BO10" s="102"/>
      <c r="BY10" s="109"/>
      <c r="BZ10" s="109"/>
      <c r="CA10" s="109"/>
      <c r="CB10" s="109"/>
      <c r="CC10" s="109"/>
    </row>
    <row r="11" spans="1:81" ht="13.5" thickBot="1">
      <c r="A11" s="96">
        <v>28528.375</v>
      </c>
      <c r="B11" s="97" t="str">
        <f t="shared" si="0"/>
        <v>TUE</v>
      </c>
      <c r="C11" s="861">
        <v>4135</v>
      </c>
      <c r="D11" s="99">
        <f>'[3]DSM Impacts'!R8</f>
        <v>0</v>
      </c>
      <c r="E11" s="99">
        <f>'[3]DSM Impacts'!J8</f>
        <v>0</v>
      </c>
      <c r="F11" s="99">
        <f>'[3]DSM Impacts'!N8</f>
        <v>0</v>
      </c>
      <c r="G11" s="99">
        <f>'[3]DSM Impacts'!V8</f>
        <v>0</v>
      </c>
      <c r="H11" s="99">
        <v>0</v>
      </c>
      <c r="I11" s="100">
        <f t="shared" si="1"/>
        <v>4135</v>
      </c>
      <c r="J11" s="100">
        <v>694</v>
      </c>
      <c r="K11" s="100">
        <f t="shared" si="2"/>
        <v>3441</v>
      </c>
      <c r="L11" s="99">
        <f>'[3]DSM Impacts'!F8</f>
        <v>0</v>
      </c>
      <c r="M11" s="1428">
        <f>'[3]DSM Impacts'!G8</f>
        <v>0</v>
      </c>
      <c r="N11" s="99">
        <f t="shared" si="6"/>
        <v>4135</v>
      </c>
      <c r="O11" s="99">
        <f t="shared" si="3"/>
        <v>3441</v>
      </c>
      <c r="P11" s="99">
        <f>'[3]DSM Impacts'!$Q8</f>
        <v>155</v>
      </c>
      <c r="Q11" s="100">
        <f t="shared" si="4"/>
        <v>3286</v>
      </c>
      <c r="R11" s="1203">
        <f>K11-P11-M11</f>
        <v>3286</v>
      </c>
      <c r="S11" s="105">
        <f>[5]Winter!L6</f>
        <v>36.4</v>
      </c>
      <c r="T11" s="105">
        <f>[5]Winter!J6</f>
        <v>34.299999999999997</v>
      </c>
      <c r="U11" s="105">
        <f>[5]Winter!K6</f>
        <v>40.9</v>
      </c>
      <c r="V11" s="349">
        <f t="shared" si="7"/>
        <v>695213</v>
      </c>
      <c r="W11" s="102">
        <f>[4]Data!$I9</f>
        <v>695213</v>
      </c>
      <c r="X11" s="102"/>
      <c r="Y11" s="102"/>
      <c r="Z11" s="102"/>
      <c r="AC11" s="102">
        <f t="shared" si="8"/>
        <v>27935</v>
      </c>
      <c r="AD11" s="102"/>
      <c r="AE11" s="99"/>
      <c r="AF11" s="102"/>
      <c r="AG11" s="391">
        <f t="shared" si="14"/>
        <v>1978</v>
      </c>
      <c r="AH11" s="165">
        <f t="shared" si="9"/>
        <v>3286</v>
      </c>
      <c r="AI11" s="568">
        <f t="shared" si="10"/>
        <v>34.299999999999997</v>
      </c>
      <c r="AJ11" s="568">
        <f t="shared" si="11"/>
        <v>40.9</v>
      </c>
      <c r="AK11" s="568">
        <f t="shared" si="15"/>
        <v>36.4</v>
      </c>
      <c r="AL11" s="165">
        <f t="shared" si="12"/>
        <v>695213</v>
      </c>
      <c r="AM11" s="391">
        <v>0</v>
      </c>
      <c r="AN11" s="391">
        <v>0</v>
      </c>
      <c r="AO11" s="391"/>
      <c r="AP11" s="676"/>
      <c r="AQ11" s="391"/>
      <c r="AR11" s="28"/>
      <c r="AS11" s="28"/>
      <c r="AT11" s="28"/>
      <c r="AU11" s="361">
        <f t="shared" si="13"/>
        <v>-153</v>
      </c>
      <c r="AV11" s="28"/>
      <c r="AW11"/>
      <c r="AX11"/>
      <c r="AY11"/>
      <c r="AZ11"/>
      <c r="BA11"/>
      <c r="BB11"/>
      <c r="BC11"/>
      <c r="BD11"/>
      <c r="BE11"/>
      <c r="BI11" s="726"/>
      <c r="BJ11" s="823"/>
      <c r="BK11" s="1126"/>
      <c r="BL11" s="1126"/>
      <c r="BM11" s="767"/>
      <c r="BN11" s="1127"/>
      <c r="BY11" s="119"/>
      <c r="BZ11" s="362"/>
      <c r="CA11" s="362"/>
      <c r="CB11" s="362"/>
      <c r="CC11" s="109"/>
    </row>
    <row r="12" spans="1:81">
      <c r="A12" s="96">
        <v>28859.333333333332</v>
      </c>
      <c r="B12" s="97" t="str">
        <f t="shared" si="0"/>
        <v>THU</v>
      </c>
      <c r="C12" s="861">
        <v>4224</v>
      </c>
      <c r="D12" s="99">
        <f>'[3]DSM Impacts'!R9</f>
        <v>30</v>
      </c>
      <c r="E12" s="99">
        <f>'[3]DSM Impacts'!J9</f>
        <v>0</v>
      </c>
      <c r="F12" s="99">
        <f>'[3]DSM Impacts'!N9</f>
        <v>0</v>
      </c>
      <c r="G12" s="99">
        <f>'[3]DSM Impacts'!V9</f>
        <v>0</v>
      </c>
      <c r="H12" s="99">
        <v>0</v>
      </c>
      <c r="I12" s="100">
        <f t="shared" si="1"/>
        <v>4254</v>
      </c>
      <c r="J12" s="100">
        <v>740</v>
      </c>
      <c r="K12" s="100">
        <f t="shared" si="2"/>
        <v>3514</v>
      </c>
      <c r="L12" s="99">
        <f>'[3]DSM Impacts'!F9</f>
        <v>0</v>
      </c>
      <c r="M12" s="1428">
        <f>'[3]DSM Impacts'!G9</f>
        <v>0</v>
      </c>
      <c r="N12" s="99">
        <f t="shared" si="6"/>
        <v>4254</v>
      </c>
      <c r="O12" s="99">
        <f t="shared" si="3"/>
        <v>3514</v>
      </c>
      <c r="P12" s="99">
        <f>'[3]DSM Impacts'!$Q9</f>
        <v>187</v>
      </c>
      <c r="Q12" s="100">
        <f t="shared" si="4"/>
        <v>3327</v>
      </c>
      <c r="R12" s="1203">
        <f t="shared" ref="R12:R46" si="16">K12-P12-M12</f>
        <v>3327</v>
      </c>
      <c r="S12" s="105">
        <f>[5]Winter!L7</f>
        <v>37</v>
      </c>
      <c r="T12" s="105">
        <f>[5]Winter!J7</f>
        <v>36.6</v>
      </c>
      <c r="U12" s="105">
        <f>[5]Winter!K7</f>
        <v>37.9</v>
      </c>
      <c r="V12" s="349">
        <f t="shared" si="7"/>
        <v>728366</v>
      </c>
      <c r="W12" s="102">
        <f>[4]Data!$I10</f>
        <v>728366</v>
      </c>
      <c r="X12" s="102"/>
      <c r="Y12" s="102"/>
      <c r="Z12" s="102"/>
      <c r="AC12" s="102">
        <f t="shared" si="8"/>
        <v>33153</v>
      </c>
      <c r="AD12" s="102"/>
      <c r="AE12" s="99"/>
      <c r="AF12" s="102"/>
      <c r="AG12" s="391">
        <f t="shared" si="14"/>
        <v>1979</v>
      </c>
      <c r="AH12" s="165">
        <f t="shared" si="9"/>
        <v>3327</v>
      </c>
      <c r="AI12" s="568">
        <f t="shared" si="10"/>
        <v>36.6</v>
      </c>
      <c r="AJ12" s="568">
        <f t="shared" si="11"/>
        <v>37.9</v>
      </c>
      <c r="AK12" s="568">
        <f t="shared" si="15"/>
        <v>37</v>
      </c>
      <c r="AL12" s="165">
        <f t="shared" si="12"/>
        <v>728366</v>
      </c>
      <c r="AM12" s="391">
        <v>0</v>
      </c>
      <c r="AN12" s="391">
        <v>0</v>
      </c>
      <c r="AO12" s="391"/>
      <c r="AP12" s="676"/>
      <c r="AQ12" s="391"/>
      <c r="AR12" s="798"/>
      <c r="AS12" s="798"/>
      <c r="AT12" s="28"/>
      <c r="AU12" s="390">
        <f t="shared" si="13"/>
        <v>41</v>
      </c>
      <c r="AV12" s="28"/>
      <c r="AW12" s="938" t="s">
        <v>369</v>
      </c>
      <c r="AX12" s="938"/>
      <c r="AY12"/>
      <c r="AZ12"/>
      <c r="BA12"/>
      <c r="BB12"/>
      <c r="BC12"/>
      <c r="BD12"/>
      <c r="BE12"/>
      <c r="BI12" s="1097" t="s">
        <v>126</v>
      </c>
      <c r="BJ12" s="461" t="s">
        <v>232</v>
      </c>
      <c r="BK12" s="1352" t="s">
        <v>584</v>
      </c>
      <c r="BL12" s="460" t="s">
        <v>230</v>
      </c>
      <c r="BM12" s="440" t="s">
        <v>233</v>
      </c>
      <c r="BN12" s="467" t="s">
        <v>229</v>
      </c>
      <c r="BY12" s="362"/>
      <c r="BZ12" s="362"/>
      <c r="CA12" s="362"/>
      <c r="CB12" s="362"/>
      <c r="CC12" s="109"/>
    </row>
    <row r="13" spans="1:81">
      <c r="A13" s="96">
        <v>29283.375</v>
      </c>
      <c r="B13" s="97" t="str">
        <f t="shared" si="0"/>
        <v>MON</v>
      </c>
      <c r="C13" s="98">
        <f>[6]Hist!$G$7</f>
        <v>4419</v>
      </c>
      <c r="D13" s="99">
        <f>'[3]DSM Impacts'!R10</f>
        <v>290</v>
      </c>
      <c r="E13" s="99">
        <f>'[3]DSM Impacts'!J10</f>
        <v>0</v>
      </c>
      <c r="F13" s="99">
        <f>'[3]DSM Impacts'!N10</f>
        <v>0</v>
      </c>
      <c r="G13" s="99">
        <f>'[3]DSM Impacts'!V10</f>
        <v>0</v>
      </c>
      <c r="H13" s="99">
        <v>141</v>
      </c>
      <c r="I13" s="100">
        <f t="shared" si="1"/>
        <v>4850</v>
      </c>
      <c r="J13" s="338">
        <f>[6]Hist!K$7</f>
        <v>788</v>
      </c>
      <c r="K13" s="100">
        <f t="shared" si="2"/>
        <v>4062</v>
      </c>
      <c r="L13" s="99">
        <f>'[3]DSM Impacts'!F10</f>
        <v>0</v>
      </c>
      <c r="M13" s="1428">
        <f>'[3]DSM Impacts'!G10</f>
        <v>0</v>
      </c>
      <c r="N13" s="99">
        <f t="shared" si="6"/>
        <v>4850</v>
      </c>
      <c r="O13" s="99">
        <f t="shared" si="3"/>
        <v>4062</v>
      </c>
      <c r="P13" s="99">
        <f>'[3]DSM Impacts'!$Q10</f>
        <v>311</v>
      </c>
      <c r="Q13" s="100">
        <f t="shared" si="4"/>
        <v>3751</v>
      </c>
      <c r="R13" s="1203">
        <f t="shared" si="16"/>
        <v>3751</v>
      </c>
      <c r="S13" s="105">
        <f>[5]Winter!L8</f>
        <v>33</v>
      </c>
      <c r="T13" s="105">
        <f>[5]Winter!J8</f>
        <v>31.7</v>
      </c>
      <c r="U13" s="105">
        <f>[5]Winter!K8</f>
        <v>35.6</v>
      </c>
      <c r="V13" s="349">
        <f t="shared" si="7"/>
        <v>765760</v>
      </c>
      <c r="W13" s="102">
        <f>[4]Data!$I11</f>
        <v>765760</v>
      </c>
      <c r="X13" s="102"/>
      <c r="Y13" s="102"/>
      <c r="Z13" s="102"/>
      <c r="AC13" s="102">
        <f t="shared" si="8"/>
        <v>37394</v>
      </c>
      <c r="AD13" s="102"/>
      <c r="AE13" s="99"/>
      <c r="AF13" s="102"/>
      <c r="AG13" s="264">
        <f t="shared" si="14"/>
        <v>1980</v>
      </c>
      <c r="AH13" s="819">
        <f t="shared" ref="AH13:AH45" si="17">R13</f>
        <v>3751</v>
      </c>
      <c r="AI13" s="1417">
        <f t="shared" si="10"/>
        <v>31.7</v>
      </c>
      <c r="AJ13" s="1417">
        <f t="shared" si="11"/>
        <v>35.6</v>
      </c>
      <c r="AK13" s="1417">
        <f t="shared" si="15"/>
        <v>33</v>
      </c>
      <c r="AL13" s="165">
        <f>W13</f>
        <v>765760</v>
      </c>
      <c r="AM13" s="700">
        <v>0</v>
      </c>
      <c r="AN13" s="391">
        <v>0</v>
      </c>
      <c r="AO13" s="391">
        <f t="shared" ref="AO13:AO44" si="18">ROUND($AX$26+$AX$27*$AK13+$AX$28*$AL13+$AX$29*$AM13+$AX$30*$AN13,0)</f>
        <v>4444</v>
      </c>
      <c r="AP13" s="676">
        <f t="shared" ref="AP13:AP40" si="19">AH13-AO13</f>
        <v>-693</v>
      </c>
      <c r="AQ13" s="391"/>
      <c r="AR13" s="1"/>
      <c r="AS13" s="1"/>
      <c r="AT13" s="28"/>
      <c r="AU13" s="361">
        <f t="shared" si="13"/>
        <v>424</v>
      </c>
      <c r="AV13" s="28"/>
      <c r="AW13" s="1" t="s">
        <v>370</v>
      </c>
      <c r="AX13" s="1">
        <v>0.98630466144495998</v>
      </c>
      <c r="AY13"/>
      <c r="AZ13"/>
      <c r="BA13"/>
      <c r="BB13"/>
      <c r="BC13"/>
      <c r="BD13"/>
      <c r="BE13"/>
      <c r="BI13" s="1124">
        <f t="shared" ref="BI13:BI41" si="20">AG13</f>
        <v>1980</v>
      </c>
      <c r="BJ13" s="391">
        <f>ROUND($AX$26+$AX$27*$AK$63+$AX$28*$AL13+$AX$29*AM13+AX$30*AN13,0)</f>
        <v>4005</v>
      </c>
      <c r="BK13" s="102">
        <f t="shared" ref="BK13:BK41" si="21">AH13</f>
        <v>3751</v>
      </c>
      <c r="BL13" s="102">
        <f t="shared" ref="BL13:BL36" si="22">BK13-BJ13</f>
        <v>-254</v>
      </c>
      <c r="BM13" s="103">
        <f t="shared" ref="BM13:BM41" si="23">AO13</f>
        <v>4444</v>
      </c>
      <c r="BN13" s="464">
        <f t="shared" ref="BN13:BN35" si="24">BJ13-BM13</f>
        <v>-439</v>
      </c>
      <c r="BY13" s="711"/>
      <c r="BZ13" s="111"/>
      <c r="CA13" s="109"/>
      <c r="CB13" s="109"/>
      <c r="CC13" s="109"/>
    </row>
    <row r="14" spans="1:81">
      <c r="A14" s="96">
        <v>29599.375</v>
      </c>
      <c r="B14" s="97" t="str">
        <f t="shared" si="0"/>
        <v>TUE</v>
      </c>
      <c r="C14" s="98">
        <f>[6]Hist!$G$17</f>
        <v>5088</v>
      </c>
      <c r="D14" s="99">
        <f>'[3]DSM Impacts'!R11</f>
        <v>250</v>
      </c>
      <c r="E14" s="99">
        <f>'[3]DSM Impacts'!J11</f>
        <v>0</v>
      </c>
      <c r="F14" s="99">
        <f>'[3]DSM Impacts'!N11</f>
        <v>0</v>
      </c>
      <c r="G14" s="99">
        <f>'[3]DSM Impacts'!V11</f>
        <v>0</v>
      </c>
      <c r="H14" s="99">
        <v>0</v>
      </c>
      <c r="I14" s="100">
        <f t="shared" si="1"/>
        <v>5338</v>
      </c>
      <c r="J14" s="338">
        <f>[6]Hist!K$17</f>
        <v>951</v>
      </c>
      <c r="K14" s="100">
        <f t="shared" si="2"/>
        <v>4387</v>
      </c>
      <c r="L14" s="99">
        <f>'[3]DSM Impacts'!F11</f>
        <v>0</v>
      </c>
      <c r="M14" s="1428">
        <f>'[3]DSM Impacts'!G11</f>
        <v>11</v>
      </c>
      <c r="N14" s="99">
        <f t="shared" si="6"/>
        <v>5338</v>
      </c>
      <c r="O14" s="99">
        <f t="shared" si="3"/>
        <v>4387</v>
      </c>
      <c r="P14" s="99">
        <f>'[3]DSM Impacts'!$Q11</f>
        <v>290</v>
      </c>
      <c r="Q14" s="100">
        <f t="shared" si="4"/>
        <v>4097</v>
      </c>
      <c r="R14" s="1203">
        <f t="shared" si="16"/>
        <v>4086</v>
      </c>
      <c r="S14" s="105">
        <f>[5]Winter!L9</f>
        <v>29</v>
      </c>
      <c r="T14" s="105">
        <f>[5]Winter!J9</f>
        <v>27.4</v>
      </c>
      <c r="U14" s="105">
        <f>[5]Winter!K9</f>
        <v>32.1</v>
      </c>
      <c r="V14" s="349">
        <f t="shared" si="7"/>
        <v>800266</v>
      </c>
      <c r="W14" s="102">
        <f>[4]Data!$I12</f>
        <v>800266</v>
      </c>
      <c r="X14" s="102"/>
      <c r="Y14" s="102"/>
      <c r="Z14" s="102"/>
      <c r="AC14" s="102">
        <f t="shared" si="8"/>
        <v>34506</v>
      </c>
      <c r="AD14" s="102"/>
      <c r="AE14" s="99"/>
      <c r="AF14" s="102"/>
      <c r="AG14" s="264">
        <f t="shared" si="14"/>
        <v>1981</v>
      </c>
      <c r="AH14" s="819">
        <f t="shared" si="17"/>
        <v>4086</v>
      </c>
      <c r="AI14" s="1417">
        <f t="shared" si="10"/>
        <v>27.4</v>
      </c>
      <c r="AJ14" s="1417">
        <f t="shared" si="11"/>
        <v>32.1</v>
      </c>
      <c r="AK14" s="1417">
        <f t="shared" si="15"/>
        <v>29</v>
      </c>
      <c r="AL14" s="165">
        <f t="shared" ref="AL14:AL73" si="25">W14</f>
        <v>800266</v>
      </c>
      <c r="AM14" s="391">
        <v>1</v>
      </c>
      <c r="AN14" s="391">
        <v>0</v>
      </c>
      <c r="AO14" s="391">
        <f t="shared" si="18"/>
        <v>4036</v>
      </c>
      <c r="AP14" s="462">
        <f t="shared" si="19"/>
        <v>50</v>
      </c>
      <c r="AQ14" s="391"/>
      <c r="AR14" s="1"/>
      <c r="AS14" s="1"/>
      <c r="AT14" s="28"/>
      <c r="AU14" s="361">
        <f t="shared" si="13"/>
        <v>335</v>
      </c>
      <c r="AV14" s="28"/>
      <c r="AW14" s="1" t="s">
        <v>371</v>
      </c>
      <c r="AX14" s="1">
        <v>0.97279688518805707</v>
      </c>
      <c r="AY14"/>
      <c r="AZ14"/>
      <c r="BA14"/>
      <c r="BB14"/>
      <c r="BC14"/>
      <c r="BD14"/>
      <c r="BE14"/>
      <c r="BI14" s="1124">
        <f t="shared" si="20"/>
        <v>1981</v>
      </c>
      <c r="BJ14" s="391">
        <f t="shared" ref="BJ14:BJ45" si="26">ROUND($AX$26+$AX$27*$AK$63+$AX$28*$AL14+$AX$29*AM14+AX$30*AN14,0)</f>
        <v>2760</v>
      </c>
      <c r="BK14" s="102">
        <f t="shared" si="21"/>
        <v>4086</v>
      </c>
      <c r="BL14" s="102">
        <f t="shared" si="22"/>
        <v>1326</v>
      </c>
      <c r="BM14" s="103">
        <f t="shared" si="23"/>
        <v>4036</v>
      </c>
      <c r="BN14" s="464">
        <f t="shared" si="24"/>
        <v>-1276</v>
      </c>
      <c r="BY14" s="363"/>
      <c r="BZ14" s="109"/>
      <c r="CA14" s="109"/>
      <c r="CB14" s="109"/>
      <c r="CC14" s="109"/>
    </row>
    <row r="15" spans="1:81">
      <c r="A15" s="96">
        <v>29963.333333333332</v>
      </c>
      <c r="B15" s="97" t="str">
        <f t="shared" si="0"/>
        <v>TUE</v>
      </c>
      <c r="C15" s="98">
        <f>[6]Hist!$G$29</f>
        <v>5347</v>
      </c>
      <c r="D15" s="99">
        <f>'[3]DSM Impacts'!R12</f>
        <v>0</v>
      </c>
      <c r="E15" s="99">
        <f>'[3]DSM Impacts'!J12</f>
        <v>0</v>
      </c>
      <c r="F15" s="99">
        <f>'[3]DSM Impacts'!N12</f>
        <v>0</v>
      </c>
      <c r="G15" s="99">
        <f>'[3]DSM Impacts'!V12</f>
        <v>0</v>
      </c>
      <c r="H15" s="99">
        <v>0</v>
      </c>
      <c r="I15" s="100">
        <f t="shared" si="1"/>
        <v>5347</v>
      </c>
      <c r="J15" s="338">
        <f>[6]Hist!K$29</f>
        <v>870</v>
      </c>
      <c r="K15" s="100">
        <f t="shared" si="2"/>
        <v>4477</v>
      </c>
      <c r="L15" s="99">
        <f>'[3]DSM Impacts'!F12</f>
        <v>9.68</v>
      </c>
      <c r="M15" s="1428">
        <f>'[3]DSM Impacts'!G12</f>
        <v>12</v>
      </c>
      <c r="N15" s="99">
        <f t="shared" si="6"/>
        <v>5356.68</v>
      </c>
      <c r="O15" s="99">
        <f t="shared" si="3"/>
        <v>4486.68</v>
      </c>
      <c r="P15" s="99">
        <f>'[3]DSM Impacts'!$Q12</f>
        <v>139</v>
      </c>
      <c r="Q15" s="100">
        <f t="shared" si="4"/>
        <v>4347.68</v>
      </c>
      <c r="R15" s="1203">
        <f t="shared" si="16"/>
        <v>4326</v>
      </c>
      <c r="S15" s="105">
        <f>[5]Winter!L10</f>
        <v>26.4</v>
      </c>
      <c r="T15" s="105">
        <f>[5]Winter!J10</f>
        <v>23.9</v>
      </c>
      <c r="U15" s="105">
        <f>[5]Winter!K10</f>
        <v>31.5</v>
      </c>
      <c r="V15" s="349">
        <f t="shared" si="7"/>
        <v>828674</v>
      </c>
      <c r="W15" s="102">
        <f>[4]Data!$I13</f>
        <v>828674</v>
      </c>
      <c r="X15" s="102"/>
      <c r="Y15" s="102"/>
      <c r="Z15" s="102"/>
      <c r="AC15" s="102">
        <f t="shared" si="8"/>
        <v>28408</v>
      </c>
      <c r="AD15" s="102"/>
      <c r="AE15" s="99"/>
      <c r="AF15" s="102"/>
      <c r="AG15" s="264">
        <f t="shared" si="14"/>
        <v>1982</v>
      </c>
      <c r="AH15" s="819">
        <f t="shared" si="17"/>
        <v>4326</v>
      </c>
      <c r="AI15" s="1417">
        <f t="shared" si="10"/>
        <v>23.9</v>
      </c>
      <c r="AJ15" s="1417">
        <f t="shared" si="11"/>
        <v>31.5</v>
      </c>
      <c r="AK15" s="1417">
        <f t="shared" si="15"/>
        <v>26.4</v>
      </c>
      <c r="AL15" s="165">
        <f t="shared" si="25"/>
        <v>828674</v>
      </c>
      <c r="AM15" s="391">
        <v>1</v>
      </c>
      <c r="AN15" s="391">
        <v>0</v>
      </c>
      <c r="AO15" s="391">
        <f t="shared" si="18"/>
        <v>4747</v>
      </c>
      <c r="AP15" s="462">
        <f t="shared" si="19"/>
        <v>-421</v>
      </c>
      <c r="AQ15" s="391"/>
      <c r="AR15" s="1"/>
      <c r="AS15" s="1"/>
      <c r="AT15" s="28"/>
      <c r="AU15" s="361">
        <f t="shared" si="13"/>
        <v>240</v>
      </c>
      <c r="AV15" s="28"/>
      <c r="AW15" s="1" t="s">
        <v>372</v>
      </c>
      <c r="AX15" s="1">
        <v>0.9663961522911293</v>
      </c>
      <c r="AY15"/>
      <c r="AZ15"/>
      <c r="BA15"/>
      <c r="BB15"/>
      <c r="BC15"/>
      <c r="BD15"/>
      <c r="BE15"/>
      <c r="BI15" s="1124">
        <f t="shared" si="20"/>
        <v>1982</v>
      </c>
      <c r="BJ15" s="391">
        <f t="shared" si="26"/>
        <v>2927</v>
      </c>
      <c r="BK15" s="102">
        <f t="shared" si="21"/>
        <v>4326</v>
      </c>
      <c r="BL15" s="102">
        <f t="shared" si="22"/>
        <v>1399</v>
      </c>
      <c r="BM15" s="103">
        <f t="shared" si="23"/>
        <v>4747</v>
      </c>
      <c r="BN15" s="464">
        <f t="shared" si="24"/>
        <v>-1820</v>
      </c>
      <c r="BO15" s="102"/>
      <c r="BY15" s="109"/>
      <c r="BZ15" s="109"/>
      <c r="CA15" s="109"/>
      <c r="CB15" s="109"/>
      <c r="CC15" s="109"/>
    </row>
    <row r="16" spans="1:81">
      <c r="A16" s="96">
        <v>30330.333333333332</v>
      </c>
      <c r="B16" s="97" t="str">
        <f t="shared" si="0"/>
        <v>FRI</v>
      </c>
      <c r="C16" s="98">
        <f>[6]Hist!$G$41</f>
        <v>4701</v>
      </c>
      <c r="D16" s="99">
        <f>'[3]DSM Impacts'!R13</f>
        <v>0</v>
      </c>
      <c r="E16" s="99">
        <f>'[3]DSM Impacts'!J13</f>
        <v>27</v>
      </c>
      <c r="F16" s="99">
        <f>'[3]DSM Impacts'!N13</f>
        <v>0</v>
      </c>
      <c r="G16" s="99">
        <f>'[3]DSM Impacts'!V13</f>
        <v>49</v>
      </c>
      <c r="H16" s="99">
        <v>0</v>
      </c>
      <c r="I16" s="100">
        <f t="shared" si="1"/>
        <v>4777</v>
      </c>
      <c r="J16" s="338">
        <f>[6]Hist!K$41</f>
        <v>824</v>
      </c>
      <c r="K16" s="100">
        <f t="shared" si="2"/>
        <v>3953</v>
      </c>
      <c r="L16" s="99">
        <f>'[3]DSM Impacts'!F13</f>
        <v>21.597000000000001</v>
      </c>
      <c r="M16" s="1428">
        <f>'[3]DSM Impacts'!G13</f>
        <v>36</v>
      </c>
      <c r="N16" s="99">
        <f t="shared" si="6"/>
        <v>4798.5969999999998</v>
      </c>
      <c r="O16" s="99">
        <f t="shared" si="3"/>
        <v>3974.5969999999998</v>
      </c>
      <c r="P16" s="99">
        <f>'[3]DSM Impacts'!$Q13</f>
        <v>149</v>
      </c>
      <c r="Q16" s="100">
        <f t="shared" si="4"/>
        <v>3825.5969999999998</v>
      </c>
      <c r="R16" s="1203">
        <f t="shared" si="16"/>
        <v>3768</v>
      </c>
      <c r="S16" s="105">
        <f>[5]Winter!L11</f>
        <v>38</v>
      </c>
      <c r="T16" s="105">
        <f>[5]Winter!J11</f>
        <v>35.200000000000003</v>
      </c>
      <c r="U16" s="105">
        <f>[5]Winter!K11</f>
        <v>43.6</v>
      </c>
      <c r="V16" s="349">
        <f t="shared" si="7"/>
        <v>858347</v>
      </c>
      <c r="W16" s="102">
        <f>[4]Data!$I14</f>
        <v>858347</v>
      </c>
      <c r="X16" s="102"/>
      <c r="Y16" s="102"/>
      <c r="Z16" s="102"/>
      <c r="AC16" s="102">
        <f t="shared" si="8"/>
        <v>29673</v>
      </c>
      <c r="AD16" s="102"/>
      <c r="AE16" s="99"/>
      <c r="AF16" s="102"/>
      <c r="AG16" s="264">
        <f t="shared" si="14"/>
        <v>1983</v>
      </c>
      <c r="AH16" s="819">
        <f t="shared" si="17"/>
        <v>3768</v>
      </c>
      <c r="AI16" s="1417">
        <f t="shared" si="10"/>
        <v>35.200000000000003</v>
      </c>
      <c r="AJ16" s="1417">
        <f t="shared" si="11"/>
        <v>43.6</v>
      </c>
      <c r="AK16" s="1417">
        <f t="shared" si="15"/>
        <v>38</v>
      </c>
      <c r="AL16" s="165">
        <f t="shared" si="25"/>
        <v>858347</v>
      </c>
      <c r="AM16" s="391">
        <v>0</v>
      </c>
      <c r="AN16" s="391">
        <v>0</v>
      </c>
      <c r="AO16" s="391">
        <f t="shared" si="18"/>
        <v>3941</v>
      </c>
      <c r="AP16" s="462">
        <f t="shared" si="19"/>
        <v>-173</v>
      </c>
      <c r="AQ16" s="391"/>
      <c r="AR16" s="1"/>
      <c r="AS16" s="1"/>
      <c r="AT16" s="28"/>
      <c r="AU16" s="361">
        <f t="shared" si="13"/>
        <v>-558</v>
      </c>
      <c r="AV16" s="28"/>
      <c r="AW16" s="1" t="s">
        <v>373</v>
      </c>
      <c r="AX16" s="1">
        <v>209.13465627844809</v>
      </c>
      <c r="AY16"/>
      <c r="AZ16"/>
      <c r="BA16"/>
      <c r="BB16"/>
      <c r="BC16"/>
      <c r="BD16"/>
      <c r="BE16"/>
      <c r="BI16" s="1124">
        <f t="shared" si="20"/>
        <v>1983</v>
      </c>
      <c r="BJ16" s="391">
        <f t="shared" si="26"/>
        <v>4548</v>
      </c>
      <c r="BK16" s="102">
        <f t="shared" si="21"/>
        <v>3768</v>
      </c>
      <c r="BL16" s="102">
        <f t="shared" si="22"/>
        <v>-780</v>
      </c>
      <c r="BM16" s="103">
        <f t="shared" si="23"/>
        <v>3941</v>
      </c>
      <c r="BN16" s="464">
        <f t="shared" si="24"/>
        <v>607</v>
      </c>
      <c r="BO16" s="102"/>
      <c r="BY16" s="109"/>
      <c r="BZ16" s="109"/>
      <c r="CA16" s="109"/>
      <c r="CB16" s="109"/>
      <c r="CC16" s="109"/>
    </row>
    <row r="17" spans="1:81" ht="13.5" thickBot="1">
      <c r="A17" s="96">
        <v>30677.375</v>
      </c>
      <c r="B17" s="97" t="str">
        <f t="shared" si="0"/>
        <v>TUE</v>
      </c>
      <c r="C17" s="98">
        <f>[6]Hist!$G$52</f>
        <v>4913</v>
      </c>
      <c r="D17" s="99">
        <f>'[3]DSM Impacts'!R14</f>
        <v>50</v>
      </c>
      <c r="E17" s="99">
        <f>'[3]DSM Impacts'!J14</f>
        <v>93</v>
      </c>
      <c r="F17" s="99">
        <f>'[3]DSM Impacts'!N14</f>
        <v>0</v>
      </c>
      <c r="G17" s="99">
        <f>'[3]DSM Impacts'!V14</f>
        <v>63</v>
      </c>
      <c r="H17" s="99">
        <v>0</v>
      </c>
      <c r="I17" s="100">
        <f t="shared" si="1"/>
        <v>5119</v>
      </c>
      <c r="J17" s="338">
        <f>[6]Hist!K$52</f>
        <v>857</v>
      </c>
      <c r="K17" s="100">
        <f t="shared" si="2"/>
        <v>4262</v>
      </c>
      <c r="L17" s="99">
        <f>'[3]DSM Impacts'!F14</f>
        <v>39.299999999999997</v>
      </c>
      <c r="M17" s="1428">
        <f>'[3]DSM Impacts'!G14</f>
        <v>36</v>
      </c>
      <c r="N17" s="99">
        <f t="shared" si="6"/>
        <v>5158.3</v>
      </c>
      <c r="O17" s="99">
        <f t="shared" si="3"/>
        <v>4301.3</v>
      </c>
      <c r="P17" s="99">
        <f>'[3]DSM Impacts'!$Q14</f>
        <v>168</v>
      </c>
      <c r="Q17" s="100">
        <f t="shared" si="4"/>
        <v>4133.3</v>
      </c>
      <c r="R17" s="1203">
        <f t="shared" si="16"/>
        <v>4058</v>
      </c>
      <c r="S17" s="105">
        <f>[5]Winter!L12</f>
        <v>36.299999999999997</v>
      </c>
      <c r="T17" s="105">
        <f>[5]Winter!J12</f>
        <v>37.1</v>
      </c>
      <c r="U17" s="105">
        <f>[5]Winter!K12</f>
        <v>34.6</v>
      </c>
      <c r="V17" s="349">
        <f t="shared" si="7"/>
        <v>893529</v>
      </c>
      <c r="W17" s="102">
        <f>[4]Data!$I15</f>
        <v>893529</v>
      </c>
      <c r="X17" s="102"/>
      <c r="Y17" s="102"/>
      <c r="Z17" s="102"/>
      <c r="AC17" s="102">
        <f t="shared" si="8"/>
        <v>35182</v>
      </c>
      <c r="AD17" s="102"/>
      <c r="AE17" s="99"/>
      <c r="AF17" s="102"/>
      <c r="AG17" s="264">
        <f t="shared" si="14"/>
        <v>1984</v>
      </c>
      <c r="AH17" s="819">
        <f t="shared" si="17"/>
        <v>4058</v>
      </c>
      <c r="AI17" s="1417">
        <f t="shared" si="10"/>
        <v>37.1</v>
      </c>
      <c r="AJ17" s="1417">
        <f t="shared" si="11"/>
        <v>34.6</v>
      </c>
      <c r="AK17" s="1417">
        <f t="shared" si="15"/>
        <v>36.299999999999997</v>
      </c>
      <c r="AL17" s="165">
        <f t="shared" si="25"/>
        <v>893529</v>
      </c>
      <c r="AM17" s="391">
        <v>0</v>
      </c>
      <c r="AN17" s="391">
        <v>0</v>
      </c>
      <c r="AO17" s="391">
        <f t="shared" si="18"/>
        <v>4503</v>
      </c>
      <c r="AP17" s="462">
        <f t="shared" si="19"/>
        <v>-445</v>
      </c>
      <c r="AQ17" s="391"/>
      <c r="AR17" s="1"/>
      <c r="AS17" s="1"/>
      <c r="AT17" s="28"/>
      <c r="AU17" s="361">
        <f t="shared" si="13"/>
        <v>290</v>
      </c>
      <c r="AV17" s="28"/>
      <c r="AW17" s="796" t="s">
        <v>374</v>
      </c>
      <c r="AX17" s="796">
        <v>22</v>
      </c>
      <c r="AY17"/>
      <c r="AZ17"/>
      <c r="BA17"/>
      <c r="BB17"/>
      <c r="BC17"/>
      <c r="BD17"/>
      <c r="BE17"/>
      <c r="BI17" s="1124">
        <f t="shared" si="20"/>
        <v>1984</v>
      </c>
      <c r="BJ17" s="391">
        <f t="shared" si="26"/>
        <v>4754</v>
      </c>
      <c r="BK17" s="102">
        <f t="shared" si="21"/>
        <v>4058</v>
      </c>
      <c r="BL17" s="102">
        <f t="shared" si="22"/>
        <v>-696</v>
      </c>
      <c r="BM17" s="103">
        <f t="shared" si="23"/>
        <v>4503</v>
      </c>
      <c r="BN17" s="464">
        <f t="shared" si="24"/>
        <v>251</v>
      </c>
      <c r="BO17" s="102"/>
      <c r="BY17" s="109"/>
      <c r="BZ17" s="109"/>
      <c r="CA17" s="109"/>
      <c r="CB17" s="109"/>
      <c r="CC17" s="109"/>
    </row>
    <row r="18" spans="1:81">
      <c r="A18" s="96">
        <v>31069.375</v>
      </c>
      <c r="B18" s="97" t="str">
        <f t="shared" si="0"/>
        <v>TUE</v>
      </c>
      <c r="C18" s="98">
        <f>[6]Hist!$G$65</f>
        <v>5813</v>
      </c>
      <c r="D18" s="99">
        <f>'[3]DSM Impacts'!R15</f>
        <v>137</v>
      </c>
      <c r="E18" s="99">
        <f>'[3]DSM Impacts'!J15</f>
        <v>135</v>
      </c>
      <c r="F18" s="99">
        <f>'[3]DSM Impacts'!N15</f>
        <v>0</v>
      </c>
      <c r="G18" s="99">
        <f>'[3]DSM Impacts'!V15</f>
        <v>0</v>
      </c>
      <c r="H18" s="99">
        <v>0</v>
      </c>
      <c r="I18" s="100">
        <f t="shared" si="1"/>
        <v>6085</v>
      </c>
      <c r="J18" s="338">
        <f>[6]Hist!K$65</f>
        <v>711</v>
      </c>
      <c r="K18" s="100">
        <f t="shared" si="2"/>
        <v>5374</v>
      </c>
      <c r="L18" s="99">
        <f>'[3]DSM Impacts'!F15</f>
        <v>60.232999999999997</v>
      </c>
      <c r="M18" s="1428">
        <f>'[3]DSM Impacts'!G15</f>
        <v>42</v>
      </c>
      <c r="N18" s="99">
        <f t="shared" si="6"/>
        <v>6145.2330000000002</v>
      </c>
      <c r="O18" s="99">
        <f t="shared" si="3"/>
        <v>5434.2330000000002</v>
      </c>
      <c r="P18" s="99">
        <f>'[3]DSM Impacts'!$Q15</f>
        <v>177</v>
      </c>
      <c r="Q18" s="100">
        <f t="shared" si="4"/>
        <v>5257.2330000000002</v>
      </c>
      <c r="R18" s="1203">
        <f t="shared" si="16"/>
        <v>5155</v>
      </c>
      <c r="S18" s="105">
        <f>[5]Winter!L13</f>
        <v>25.6</v>
      </c>
      <c r="T18" s="105">
        <f>[5]Winter!J13</f>
        <v>24.1</v>
      </c>
      <c r="U18" s="105">
        <f>[5]Winter!K13</f>
        <v>28.7</v>
      </c>
      <c r="V18" s="349">
        <f t="shared" si="7"/>
        <v>934472</v>
      </c>
      <c r="W18" s="102">
        <f>[4]Data!$I16</f>
        <v>934472</v>
      </c>
      <c r="X18" s="102"/>
      <c r="Y18" s="102"/>
      <c r="Z18" s="102"/>
      <c r="AC18" s="102">
        <f t="shared" si="8"/>
        <v>40943</v>
      </c>
      <c r="AD18" s="102"/>
      <c r="AE18" s="99"/>
      <c r="AF18" s="102"/>
      <c r="AG18" s="264">
        <f t="shared" si="14"/>
        <v>1985</v>
      </c>
      <c r="AH18" s="819">
        <f t="shared" si="17"/>
        <v>5155</v>
      </c>
      <c r="AI18" s="1417">
        <f t="shared" si="10"/>
        <v>24.1</v>
      </c>
      <c r="AJ18" s="1417">
        <f t="shared" si="11"/>
        <v>28.7</v>
      </c>
      <c r="AK18" s="1417">
        <f t="shared" si="15"/>
        <v>25.6</v>
      </c>
      <c r="AL18" s="165">
        <f t="shared" si="25"/>
        <v>934472</v>
      </c>
      <c r="AM18" s="391">
        <v>1</v>
      </c>
      <c r="AN18" s="391">
        <v>0</v>
      </c>
      <c r="AO18" s="391">
        <f>ROUND($AX$26+$AX$27*$AK18+$AX$28*$AL18+$AX$29*$AM18+$AX$30*$AN18,0)</f>
        <v>5534</v>
      </c>
      <c r="AP18" s="462">
        <f t="shared" si="19"/>
        <v>-379</v>
      </c>
      <c r="AQ18" s="391"/>
      <c r="AR18" s="28"/>
      <c r="AS18" s="28"/>
      <c r="AT18" s="28"/>
      <c r="AU18" s="361">
        <f t="shared" si="13"/>
        <v>1097</v>
      </c>
      <c r="AV18" s="28"/>
      <c r="AW18"/>
      <c r="AX18"/>
      <c r="AY18"/>
      <c r="AZ18"/>
      <c r="BA18"/>
      <c r="BB18"/>
      <c r="BC18"/>
      <c r="BD18"/>
      <c r="BE18"/>
      <c r="BI18" s="1124">
        <f t="shared" si="20"/>
        <v>1985</v>
      </c>
      <c r="BJ18" s="391">
        <f t="shared" si="26"/>
        <v>3547</v>
      </c>
      <c r="BK18" s="102">
        <f t="shared" si="21"/>
        <v>5155</v>
      </c>
      <c r="BL18" s="102">
        <f t="shared" si="22"/>
        <v>1608</v>
      </c>
      <c r="BM18" s="103">
        <f t="shared" si="23"/>
        <v>5534</v>
      </c>
      <c r="BN18" s="464">
        <f t="shared" si="24"/>
        <v>-1987</v>
      </c>
      <c r="BO18" s="102"/>
      <c r="BY18" s="365"/>
      <c r="BZ18" s="365"/>
      <c r="CA18" s="365"/>
      <c r="CB18" s="109"/>
      <c r="CC18" s="109"/>
    </row>
    <row r="19" spans="1:81" ht="13.5" thickBot="1">
      <c r="A19" s="96">
        <v>31440.333333333332</v>
      </c>
      <c r="B19" s="97" t="str">
        <f t="shared" si="0"/>
        <v>TUE</v>
      </c>
      <c r="C19" s="98">
        <f>[6]Hist!$G$77</f>
        <v>5977</v>
      </c>
      <c r="D19" s="99">
        <f>'[3]DSM Impacts'!R16</f>
        <v>0</v>
      </c>
      <c r="E19" s="99">
        <f>'[3]DSM Impacts'!J16</f>
        <v>181</v>
      </c>
      <c r="F19" s="99">
        <f>'[3]DSM Impacts'!N16</f>
        <v>0</v>
      </c>
      <c r="G19" s="99">
        <f>'[3]DSM Impacts'!V16</f>
        <v>72</v>
      </c>
      <c r="H19" s="99">
        <v>0</v>
      </c>
      <c r="I19" s="100">
        <f t="shared" si="1"/>
        <v>6230</v>
      </c>
      <c r="J19" s="338">
        <f>[6]Hist!K$77</f>
        <v>776</v>
      </c>
      <c r="K19" s="100">
        <f t="shared" si="2"/>
        <v>5454</v>
      </c>
      <c r="L19" s="99">
        <f>'[3]DSM Impacts'!F16</f>
        <v>74.858999999999995</v>
      </c>
      <c r="M19" s="1428">
        <f>'[3]DSM Impacts'!G16</f>
        <v>51</v>
      </c>
      <c r="N19" s="99">
        <f t="shared" si="6"/>
        <v>6304.8590000000004</v>
      </c>
      <c r="O19" s="99">
        <f t="shared" si="3"/>
        <v>5528.8590000000004</v>
      </c>
      <c r="P19" s="99">
        <f>'[3]DSM Impacts'!$Q16</f>
        <v>146</v>
      </c>
      <c r="Q19" s="100">
        <f t="shared" si="4"/>
        <v>5382.8590000000004</v>
      </c>
      <c r="R19" s="1203">
        <f t="shared" si="16"/>
        <v>5257</v>
      </c>
      <c r="S19" s="105">
        <f>[5]Winter!L14</f>
        <v>30.2</v>
      </c>
      <c r="T19" s="105">
        <f>[5]Winter!J14</f>
        <v>25.9</v>
      </c>
      <c r="U19" s="105">
        <f>[5]Winter!K14</f>
        <v>39</v>
      </c>
      <c r="V19" s="349">
        <f t="shared" si="7"/>
        <v>974757</v>
      </c>
      <c r="W19" s="102">
        <f>[4]Data!$I17</f>
        <v>974757</v>
      </c>
      <c r="X19" s="102"/>
      <c r="Y19" s="102"/>
      <c r="Z19" s="102"/>
      <c r="AC19" s="102">
        <f t="shared" si="8"/>
        <v>40285</v>
      </c>
      <c r="AD19" s="102"/>
      <c r="AE19" s="99"/>
      <c r="AF19" s="102"/>
      <c r="AG19" s="264">
        <f t="shared" si="14"/>
        <v>1986</v>
      </c>
      <c r="AH19" s="819">
        <f t="shared" si="17"/>
        <v>5257</v>
      </c>
      <c r="AI19" s="1417">
        <f t="shared" si="10"/>
        <v>25.9</v>
      </c>
      <c r="AJ19" s="1417">
        <f t="shared" si="11"/>
        <v>39</v>
      </c>
      <c r="AK19" s="1417">
        <f t="shared" si="15"/>
        <v>30.2</v>
      </c>
      <c r="AL19" s="165">
        <f t="shared" si="25"/>
        <v>974757</v>
      </c>
      <c r="AM19" s="391">
        <v>0</v>
      </c>
      <c r="AN19" s="391">
        <v>0</v>
      </c>
      <c r="AO19" s="391">
        <f t="shared" si="18"/>
        <v>6255</v>
      </c>
      <c r="AP19" s="462">
        <f t="shared" si="19"/>
        <v>-998</v>
      </c>
      <c r="AQ19" s="391"/>
      <c r="AR19" s="28"/>
      <c r="AS19" s="28"/>
      <c r="AT19" s="28"/>
      <c r="AU19" s="361">
        <f t="shared" si="13"/>
        <v>102</v>
      </c>
      <c r="AV19" s="28"/>
      <c r="AW19" t="s">
        <v>375</v>
      </c>
      <c r="AX19"/>
      <c r="AY19"/>
      <c r="AZ19"/>
      <c r="BA19"/>
      <c r="BB19"/>
      <c r="BC19"/>
      <c r="BD19"/>
      <c r="BE19"/>
      <c r="BI19" s="1124">
        <f t="shared" si="20"/>
        <v>1986</v>
      </c>
      <c r="BJ19" s="391">
        <f t="shared" si="26"/>
        <v>5230</v>
      </c>
      <c r="BK19" s="102">
        <f t="shared" si="21"/>
        <v>5257</v>
      </c>
      <c r="BL19" s="102">
        <f t="shared" si="22"/>
        <v>27</v>
      </c>
      <c r="BM19" s="103">
        <f t="shared" si="23"/>
        <v>6255</v>
      </c>
      <c r="BN19" s="464">
        <f t="shared" si="24"/>
        <v>-1025</v>
      </c>
      <c r="BO19" s="102"/>
      <c r="BY19" s="109"/>
      <c r="BZ19" s="109"/>
      <c r="CA19" s="109"/>
      <c r="CB19" s="109"/>
      <c r="CC19" s="109"/>
    </row>
    <row r="20" spans="1:81">
      <c r="A20" s="96">
        <v>31818.333333333332</v>
      </c>
      <c r="B20" s="97" t="str">
        <f t="shared" si="0"/>
        <v>TUE</v>
      </c>
      <c r="C20" s="98">
        <f>[6]Hist!$G$90</f>
        <v>5087</v>
      </c>
      <c r="D20" s="99">
        <f>'[3]DSM Impacts'!R17</f>
        <v>0</v>
      </c>
      <c r="E20" s="99">
        <f>'[3]DSM Impacts'!J17</f>
        <v>200</v>
      </c>
      <c r="F20" s="99">
        <f>'[3]DSM Impacts'!N17</f>
        <v>0</v>
      </c>
      <c r="G20" s="99">
        <f>'[3]DSM Impacts'!V17</f>
        <v>0</v>
      </c>
      <c r="H20" s="99">
        <v>0</v>
      </c>
      <c r="I20" s="100">
        <f t="shared" si="1"/>
        <v>5287</v>
      </c>
      <c r="J20" s="338">
        <f>[6]Hist!K$90</f>
        <v>522</v>
      </c>
      <c r="K20" s="100">
        <f t="shared" si="2"/>
        <v>4765</v>
      </c>
      <c r="L20" s="99">
        <f>'[3]DSM Impacts'!F17</f>
        <v>84.697000000000003</v>
      </c>
      <c r="M20" s="1428">
        <f>'[3]DSM Impacts'!G17</f>
        <v>58</v>
      </c>
      <c r="N20" s="99">
        <f t="shared" si="6"/>
        <v>5371.6970000000001</v>
      </c>
      <c r="O20" s="99">
        <f t="shared" si="3"/>
        <v>4849.6970000000001</v>
      </c>
      <c r="P20" s="99">
        <f>'[3]DSM Impacts'!$Q17</f>
        <v>167</v>
      </c>
      <c r="Q20" s="100">
        <f t="shared" si="4"/>
        <v>4682.6970000000001</v>
      </c>
      <c r="R20" s="1203">
        <f t="shared" si="16"/>
        <v>4540</v>
      </c>
      <c r="S20" s="105">
        <f>[5]Winter!L15</f>
        <v>40.6</v>
      </c>
      <c r="T20" s="105">
        <f>[5]Winter!J15</f>
        <v>38</v>
      </c>
      <c r="U20" s="105">
        <f>[5]Winter!K15</f>
        <v>46</v>
      </c>
      <c r="V20" s="349">
        <f t="shared" si="7"/>
        <v>1016688</v>
      </c>
      <c r="W20" s="102">
        <f>[4]Data!$I18</f>
        <v>1016688</v>
      </c>
      <c r="X20" s="102"/>
      <c r="Y20" s="102"/>
      <c r="Z20" s="102"/>
      <c r="AC20" s="102">
        <f t="shared" si="8"/>
        <v>41931</v>
      </c>
      <c r="AD20" s="102"/>
      <c r="AE20" s="99"/>
      <c r="AF20" s="102"/>
      <c r="AG20" s="264">
        <f t="shared" si="14"/>
        <v>1987</v>
      </c>
      <c r="AH20" s="819">
        <f t="shared" si="17"/>
        <v>4540</v>
      </c>
      <c r="AI20" s="1417">
        <f t="shared" si="10"/>
        <v>38</v>
      </c>
      <c r="AJ20" s="1417">
        <f t="shared" si="11"/>
        <v>46</v>
      </c>
      <c r="AK20" s="1417">
        <f t="shared" si="15"/>
        <v>40.6</v>
      </c>
      <c r="AL20" s="165">
        <f t="shared" si="25"/>
        <v>1016688</v>
      </c>
      <c r="AM20" s="391">
        <v>0</v>
      </c>
      <c r="AN20" s="391">
        <v>0</v>
      </c>
      <c r="AO20" s="391">
        <f t="shared" si="18"/>
        <v>4326</v>
      </c>
      <c r="AP20" s="462">
        <f t="shared" si="19"/>
        <v>214</v>
      </c>
      <c r="AQ20" s="391"/>
      <c r="AR20" s="799"/>
      <c r="AS20" s="799"/>
      <c r="AT20" s="799"/>
      <c r="AU20" s="361">
        <f t="shared" si="13"/>
        <v>-717</v>
      </c>
      <c r="AV20" s="799"/>
      <c r="AW20" s="937"/>
      <c r="AX20" s="937" t="s">
        <v>378</v>
      </c>
      <c r="AY20" s="937" t="s">
        <v>20</v>
      </c>
      <c r="AZ20" s="937" t="s">
        <v>379</v>
      </c>
      <c r="BA20" s="937" t="s">
        <v>273</v>
      </c>
      <c r="BB20" s="937" t="s">
        <v>380</v>
      </c>
      <c r="BC20"/>
      <c r="BD20"/>
      <c r="BE20"/>
      <c r="BI20" s="1124">
        <f t="shared" si="20"/>
        <v>1987</v>
      </c>
      <c r="BJ20" s="391">
        <f t="shared" si="26"/>
        <v>5476</v>
      </c>
      <c r="BK20" s="102">
        <f t="shared" si="21"/>
        <v>4540</v>
      </c>
      <c r="BL20" s="102">
        <f t="shared" si="22"/>
        <v>-936</v>
      </c>
      <c r="BM20" s="103">
        <f t="shared" si="23"/>
        <v>4326</v>
      </c>
      <c r="BN20" s="464">
        <f t="shared" si="24"/>
        <v>1150</v>
      </c>
      <c r="BO20" s="102"/>
      <c r="BY20" s="109"/>
      <c r="BZ20" s="109"/>
      <c r="CA20" s="109"/>
      <c r="CB20" s="109"/>
      <c r="CC20" s="109"/>
    </row>
    <row r="21" spans="1:81">
      <c r="A21" s="96">
        <v>32170.333333333332</v>
      </c>
      <c r="B21" s="97" t="str">
        <f t="shared" si="0"/>
        <v>THU</v>
      </c>
      <c r="C21" s="98">
        <f>[6]Hist!$G$101</f>
        <v>6188</v>
      </c>
      <c r="D21" s="99">
        <f>'[3]DSM Impacts'!R18</f>
        <v>0</v>
      </c>
      <c r="E21" s="99">
        <f>'[3]DSM Impacts'!J18</f>
        <v>0</v>
      </c>
      <c r="F21" s="99">
        <f>'[3]DSM Impacts'!N18</f>
        <v>0</v>
      </c>
      <c r="G21" s="99">
        <f>'[3]DSM Impacts'!V18</f>
        <v>0</v>
      </c>
      <c r="H21" s="99">
        <v>0</v>
      </c>
      <c r="I21" s="100">
        <f t="shared" si="1"/>
        <v>6188</v>
      </c>
      <c r="J21" s="338">
        <f>[6]Hist!K$101</f>
        <v>936</v>
      </c>
      <c r="K21" s="100">
        <f t="shared" si="2"/>
        <v>5252</v>
      </c>
      <c r="L21" s="99">
        <f>'[3]DSM Impacts'!F18</f>
        <v>90.075000000000003</v>
      </c>
      <c r="M21" s="1428">
        <f>'[3]DSM Impacts'!G18</f>
        <v>61</v>
      </c>
      <c r="N21" s="99">
        <f t="shared" si="6"/>
        <v>6278.0749999999998</v>
      </c>
      <c r="O21" s="99">
        <f t="shared" si="3"/>
        <v>5342.0749999999998</v>
      </c>
      <c r="P21" s="99">
        <f>'[3]DSM Impacts'!$Q18</f>
        <v>183</v>
      </c>
      <c r="Q21" s="100">
        <f t="shared" si="4"/>
        <v>5159.0749999999998</v>
      </c>
      <c r="R21" s="1203">
        <f t="shared" si="16"/>
        <v>5008</v>
      </c>
      <c r="S21" s="105">
        <f>[5]Winter!L16</f>
        <v>38.1</v>
      </c>
      <c r="T21" s="105">
        <f>[5]Winter!J16</f>
        <v>35.5</v>
      </c>
      <c r="U21" s="105">
        <f>[5]Winter!K16</f>
        <v>43.3</v>
      </c>
      <c r="V21" s="349">
        <f t="shared" si="7"/>
        <v>1056780</v>
      </c>
      <c r="W21" s="102">
        <f>[4]Data!$I19</f>
        <v>1056780</v>
      </c>
      <c r="X21" s="102"/>
      <c r="Y21" s="102"/>
      <c r="Z21" s="102"/>
      <c r="AC21" s="102">
        <f t="shared" ref="AC21:AC58" si="27">V21-V20</f>
        <v>40092</v>
      </c>
      <c r="AD21" s="102"/>
      <c r="AE21" s="99"/>
      <c r="AF21" s="102"/>
      <c r="AG21" s="264">
        <f t="shared" si="14"/>
        <v>1988</v>
      </c>
      <c r="AH21" s="819">
        <f t="shared" si="17"/>
        <v>5008</v>
      </c>
      <c r="AI21" s="1417">
        <f t="shared" si="10"/>
        <v>35.5</v>
      </c>
      <c r="AJ21" s="1417">
        <f t="shared" si="11"/>
        <v>43.3</v>
      </c>
      <c r="AK21" s="1417">
        <f t="shared" si="15"/>
        <v>38.1</v>
      </c>
      <c r="AL21" s="165">
        <f t="shared" si="25"/>
        <v>1056780</v>
      </c>
      <c r="AM21" s="391">
        <v>0</v>
      </c>
      <c r="AN21" s="391">
        <v>0</v>
      </c>
      <c r="AO21" s="391">
        <f t="shared" si="18"/>
        <v>5084</v>
      </c>
      <c r="AP21" s="462">
        <f t="shared" si="19"/>
        <v>-76</v>
      </c>
      <c r="AQ21" s="391"/>
      <c r="AR21" s="1"/>
      <c r="AS21" s="1"/>
      <c r="AT21" s="1"/>
      <c r="AU21" s="361">
        <f t="shared" si="13"/>
        <v>468</v>
      </c>
      <c r="AV21" s="1"/>
      <c r="AW21" s="1" t="s">
        <v>376</v>
      </c>
      <c r="AX21" s="1">
        <v>4</v>
      </c>
      <c r="AY21" s="1">
        <v>26589151.103259552</v>
      </c>
      <c r="AZ21" s="1">
        <v>6647287.7758148881</v>
      </c>
      <c r="BA21" s="1">
        <v>151.98210905738398</v>
      </c>
      <c r="BB21" s="1">
        <v>4.5843805755064317E-13</v>
      </c>
      <c r="BC21"/>
      <c r="BD21"/>
      <c r="BE21"/>
      <c r="BI21" s="1124">
        <f t="shared" si="20"/>
        <v>1988</v>
      </c>
      <c r="BJ21" s="391">
        <f t="shared" si="26"/>
        <v>5711</v>
      </c>
      <c r="BK21" s="102">
        <f t="shared" si="21"/>
        <v>5008</v>
      </c>
      <c r="BL21" s="102">
        <f t="shared" si="22"/>
        <v>-703</v>
      </c>
      <c r="BM21" s="103">
        <f t="shared" si="23"/>
        <v>5084</v>
      </c>
      <c r="BN21" s="464">
        <f t="shared" si="24"/>
        <v>627</v>
      </c>
      <c r="BO21" s="102"/>
      <c r="BY21" s="109"/>
      <c r="BZ21" s="109"/>
      <c r="CA21" s="109"/>
      <c r="CB21" s="109"/>
      <c r="CC21" s="109"/>
    </row>
    <row r="22" spans="1:81">
      <c r="A22" s="96">
        <v>32563.333333333332</v>
      </c>
      <c r="B22" s="97" t="str">
        <f t="shared" si="0"/>
        <v>FRI</v>
      </c>
      <c r="C22" s="98">
        <f>[6]Hist!$G$114</f>
        <v>6137</v>
      </c>
      <c r="D22" s="99">
        <f>'[3]DSM Impacts'!R19</f>
        <v>0</v>
      </c>
      <c r="E22" s="99">
        <f>'[3]DSM Impacts'!J19</f>
        <v>493</v>
      </c>
      <c r="F22" s="99">
        <f>'[3]DSM Impacts'!N19</f>
        <v>0</v>
      </c>
      <c r="G22" s="99">
        <f>'[3]DSM Impacts'!V19</f>
        <v>0</v>
      </c>
      <c r="H22" s="99">
        <v>0</v>
      </c>
      <c r="I22" s="100">
        <f t="shared" si="1"/>
        <v>6630</v>
      </c>
      <c r="J22" s="338">
        <f>[6]Hist!K$114</f>
        <v>583</v>
      </c>
      <c r="K22" s="100">
        <f t="shared" si="2"/>
        <v>6047</v>
      </c>
      <c r="L22" s="99">
        <f>'[3]DSM Impacts'!F19</f>
        <v>95.531999999999996</v>
      </c>
      <c r="M22" s="1428">
        <f>'[3]DSM Impacts'!G19</f>
        <v>66</v>
      </c>
      <c r="N22" s="99">
        <f t="shared" si="6"/>
        <v>6725.5320000000002</v>
      </c>
      <c r="O22" s="99">
        <f t="shared" si="3"/>
        <v>6142.5320000000002</v>
      </c>
      <c r="P22" s="99">
        <f>'[3]DSM Impacts'!$Q19</f>
        <v>202</v>
      </c>
      <c r="Q22" s="100">
        <f t="shared" si="4"/>
        <v>5940.5320000000002</v>
      </c>
      <c r="R22" s="1203">
        <f t="shared" si="16"/>
        <v>5779</v>
      </c>
      <c r="S22" s="105">
        <f>[5]Winter!L17</f>
        <v>35.6</v>
      </c>
      <c r="T22" s="105">
        <f>[5]Winter!J17</f>
        <v>33.200000000000003</v>
      </c>
      <c r="U22" s="105">
        <f>[5]Winter!K17</f>
        <v>40.299999999999997</v>
      </c>
      <c r="V22" s="349">
        <f t="shared" si="7"/>
        <v>1095949</v>
      </c>
      <c r="W22" s="102">
        <f>[4]Data!$I20</f>
        <v>1095949</v>
      </c>
      <c r="X22" s="102"/>
      <c r="Y22" s="102"/>
      <c r="Z22" s="102"/>
      <c r="AC22" s="102">
        <f t="shared" si="27"/>
        <v>39169</v>
      </c>
      <c r="AD22" s="102"/>
      <c r="AE22" s="99"/>
      <c r="AF22" s="102"/>
      <c r="AG22" s="264">
        <f t="shared" si="14"/>
        <v>1989</v>
      </c>
      <c r="AH22" s="819">
        <f t="shared" si="17"/>
        <v>5779</v>
      </c>
      <c r="AI22" s="1417">
        <f t="shared" si="10"/>
        <v>33.200000000000003</v>
      </c>
      <c r="AJ22" s="1417">
        <f t="shared" si="11"/>
        <v>40.299999999999997</v>
      </c>
      <c r="AK22" s="1417">
        <f t="shared" si="15"/>
        <v>35.6</v>
      </c>
      <c r="AL22" s="165">
        <f t="shared" si="25"/>
        <v>1095949</v>
      </c>
      <c r="AM22" s="391">
        <v>0</v>
      </c>
      <c r="AN22" s="391">
        <v>0</v>
      </c>
      <c r="AO22" s="391">
        <f t="shared" si="18"/>
        <v>5836</v>
      </c>
      <c r="AP22" s="462">
        <f t="shared" si="19"/>
        <v>-57</v>
      </c>
      <c r="AQ22" s="391"/>
      <c r="AR22" s="1"/>
      <c r="AS22" s="1"/>
      <c r="AT22" s="1"/>
      <c r="AU22" s="361">
        <f t="shared" si="13"/>
        <v>771</v>
      </c>
      <c r="AV22" s="1"/>
      <c r="AW22" s="1" t="s">
        <v>377</v>
      </c>
      <c r="AX22" s="1">
        <v>17</v>
      </c>
      <c r="AY22" s="1">
        <v>743534.17576397862</v>
      </c>
      <c r="AZ22" s="1">
        <v>43737.304456704624</v>
      </c>
      <c r="BA22" s="1"/>
      <c r="BB22" s="1"/>
      <c r="BC22"/>
      <c r="BD22"/>
      <c r="BE22"/>
      <c r="BI22" s="1124">
        <f t="shared" si="20"/>
        <v>1989</v>
      </c>
      <c r="BJ22" s="391">
        <f t="shared" si="26"/>
        <v>5941</v>
      </c>
      <c r="BK22" s="102">
        <f t="shared" si="21"/>
        <v>5779</v>
      </c>
      <c r="BL22" s="102">
        <f t="shared" si="22"/>
        <v>-162</v>
      </c>
      <c r="BM22" s="103">
        <f t="shared" si="23"/>
        <v>5836</v>
      </c>
      <c r="BN22" s="464">
        <f t="shared" si="24"/>
        <v>105</v>
      </c>
      <c r="BO22" s="102"/>
    </row>
    <row r="23" spans="1:81" ht="13.5" thickBot="1">
      <c r="A23" s="96">
        <v>32865.75</v>
      </c>
      <c r="B23" s="867" t="str">
        <f t="shared" si="0"/>
        <v>SAT</v>
      </c>
      <c r="C23" s="98">
        <f>[6]Hist!$G$124</f>
        <v>6817</v>
      </c>
      <c r="D23" s="99">
        <f>'[3]DSM Impacts'!R20</f>
        <v>230</v>
      </c>
      <c r="E23" s="99">
        <f>'[3]DSM Impacts'!J20</f>
        <v>300</v>
      </c>
      <c r="F23" s="99">
        <f>'[3]DSM Impacts'!N20</f>
        <v>0</v>
      </c>
      <c r="G23" s="99">
        <f>'[3]DSM Impacts'!V20</f>
        <v>84</v>
      </c>
      <c r="H23" s="99">
        <v>0</v>
      </c>
      <c r="I23" s="100">
        <f t="shared" si="1"/>
        <v>7431</v>
      </c>
      <c r="J23" s="338">
        <f>[6]Hist!K$124</f>
        <v>875</v>
      </c>
      <c r="K23" s="100">
        <f t="shared" si="2"/>
        <v>6556</v>
      </c>
      <c r="L23" s="99">
        <f>'[3]DSM Impacts'!F20</f>
        <v>99.429000000000002</v>
      </c>
      <c r="M23" s="1428">
        <f>'[3]DSM Impacts'!G20</f>
        <v>66</v>
      </c>
      <c r="N23" s="99">
        <f t="shared" si="6"/>
        <v>7530.4290000000001</v>
      </c>
      <c r="O23" s="99">
        <f t="shared" si="3"/>
        <v>6655.4290000000001</v>
      </c>
      <c r="P23" s="99">
        <f>'[3]DSM Impacts'!$Q20</f>
        <v>230</v>
      </c>
      <c r="Q23" s="100">
        <f t="shared" si="4"/>
        <v>6425.4290000000001</v>
      </c>
      <c r="R23" s="1203">
        <f t="shared" si="16"/>
        <v>6260</v>
      </c>
      <c r="S23" s="105">
        <f>[5]Winter!L18</f>
        <v>33</v>
      </c>
      <c r="T23" s="105">
        <f>[5]Winter!J18</f>
        <v>30.3</v>
      </c>
      <c r="U23" s="105">
        <f>[5]Winter!K18</f>
        <v>38.5</v>
      </c>
      <c r="V23" s="349">
        <f t="shared" si="7"/>
        <v>1134404</v>
      </c>
      <c r="W23" s="102">
        <f>[4]Data!$I21</f>
        <v>1134404</v>
      </c>
      <c r="X23" s="102"/>
      <c r="Y23" s="102"/>
      <c r="Z23" s="102"/>
      <c r="AC23" s="102">
        <f t="shared" si="27"/>
        <v>38455</v>
      </c>
      <c r="AD23" s="102"/>
      <c r="AE23" s="99"/>
      <c r="AF23" s="102"/>
      <c r="AG23" s="264">
        <f t="shared" si="14"/>
        <v>1990</v>
      </c>
      <c r="AH23" s="819">
        <f t="shared" si="17"/>
        <v>6260</v>
      </c>
      <c r="AI23" s="1417">
        <f t="shared" si="10"/>
        <v>30.3</v>
      </c>
      <c r="AJ23" s="1417">
        <f t="shared" si="11"/>
        <v>38.5</v>
      </c>
      <c r="AK23" s="1417">
        <f t="shared" si="15"/>
        <v>33</v>
      </c>
      <c r="AL23" s="165">
        <f t="shared" si="25"/>
        <v>1134404</v>
      </c>
      <c r="AM23" s="391">
        <v>0</v>
      </c>
      <c r="AN23" s="391">
        <v>0</v>
      </c>
      <c r="AO23" s="391">
        <f t="shared" si="18"/>
        <v>6606</v>
      </c>
      <c r="AP23" s="462">
        <f t="shared" si="19"/>
        <v>-346</v>
      </c>
      <c r="AQ23" s="391"/>
      <c r="AR23" s="1"/>
      <c r="AS23" s="1"/>
      <c r="AT23" s="1"/>
      <c r="AU23" s="361">
        <f t="shared" si="13"/>
        <v>481</v>
      </c>
      <c r="AV23" s="1"/>
      <c r="AW23" s="796" t="s">
        <v>21</v>
      </c>
      <c r="AX23" s="796">
        <v>21</v>
      </c>
      <c r="AY23" s="796">
        <v>27332685.279023532</v>
      </c>
      <c r="AZ23" s="796"/>
      <c r="BA23" s="796"/>
      <c r="BB23" s="796"/>
      <c r="BC23"/>
      <c r="BD23"/>
      <c r="BE23"/>
      <c r="BI23" s="1124">
        <f t="shared" si="20"/>
        <v>1990</v>
      </c>
      <c r="BJ23" s="391">
        <f t="shared" si="26"/>
        <v>6167</v>
      </c>
      <c r="BK23" s="102">
        <f t="shared" si="21"/>
        <v>6260</v>
      </c>
      <c r="BL23" s="102">
        <f t="shared" si="22"/>
        <v>93</v>
      </c>
      <c r="BM23" s="103">
        <f t="shared" si="23"/>
        <v>6606</v>
      </c>
      <c r="BN23" s="464">
        <f t="shared" si="24"/>
        <v>-439</v>
      </c>
      <c r="BO23" s="102"/>
    </row>
    <row r="24" spans="1:81" ht="13.5" thickBot="1">
      <c r="A24" s="96">
        <v>33285.375</v>
      </c>
      <c r="B24" s="867" t="str">
        <f t="shared" si="0"/>
        <v>SAT</v>
      </c>
      <c r="C24" s="98">
        <f>[7]MoCoinMW!$F$18</f>
        <v>6056</v>
      </c>
      <c r="D24" s="99">
        <f>'[3]DSM Impacts'!R21</f>
        <v>0</v>
      </c>
      <c r="E24" s="99">
        <f>'[3]DSM Impacts'!J21</f>
        <v>0</v>
      </c>
      <c r="F24" s="99">
        <f>'[3]DSM Impacts'!N21</f>
        <v>0</v>
      </c>
      <c r="G24" s="99">
        <f>'[3]DSM Impacts'!V21</f>
        <v>0</v>
      </c>
      <c r="H24" s="99">
        <v>0</v>
      </c>
      <c r="I24" s="100">
        <f t="shared" si="1"/>
        <v>6056</v>
      </c>
      <c r="J24" s="338">
        <f>[7]MoCoinMW!$H$18</f>
        <v>773.51159167538663</v>
      </c>
      <c r="K24" s="100">
        <f t="shared" si="2"/>
        <v>5282.4884083246134</v>
      </c>
      <c r="L24" s="99">
        <f>'[3]DSM Impacts'!F21</f>
        <v>103.31</v>
      </c>
      <c r="M24" s="1428">
        <f>'[3]DSM Impacts'!G21</f>
        <v>65.5</v>
      </c>
      <c r="N24" s="99">
        <f t="shared" si="6"/>
        <v>6159.31</v>
      </c>
      <c r="O24" s="99">
        <f t="shared" si="3"/>
        <v>5385.7984083246138</v>
      </c>
      <c r="P24" s="99">
        <f>'[3]DSM Impacts'!$Q21</f>
        <v>163</v>
      </c>
      <c r="Q24" s="100">
        <f t="shared" si="4"/>
        <v>5222.7984083246138</v>
      </c>
      <c r="R24" s="1203">
        <f t="shared" si="16"/>
        <v>5053.9884083246134</v>
      </c>
      <c r="S24" s="105">
        <f>[5]Winter!L19</f>
        <v>38.6</v>
      </c>
      <c r="T24" s="105">
        <f>[5]Winter!J19</f>
        <v>34.1</v>
      </c>
      <c r="U24" s="105">
        <f>[5]Winter!K19</f>
        <v>47.7</v>
      </c>
      <c r="V24" s="349">
        <f t="shared" si="7"/>
        <v>1162784</v>
      </c>
      <c r="W24" s="102">
        <f>[4]Data!$I22</f>
        <v>1162784</v>
      </c>
      <c r="X24" s="102"/>
      <c r="Y24" s="102"/>
      <c r="Z24" s="102"/>
      <c r="AC24" s="102">
        <f t="shared" si="27"/>
        <v>28380</v>
      </c>
      <c r="AD24" s="102"/>
      <c r="AE24" s="99"/>
      <c r="AF24" s="102"/>
      <c r="AG24" s="1418">
        <f t="shared" si="14"/>
        <v>1991</v>
      </c>
      <c r="AH24" s="1419">
        <f t="shared" si="17"/>
        <v>5053.9884083246134</v>
      </c>
      <c r="AI24" s="1420">
        <f t="shared" si="10"/>
        <v>34.1</v>
      </c>
      <c r="AJ24" s="1420">
        <f t="shared" si="11"/>
        <v>47.7</v>
      </c>
      <c r="AK24" s="1420">
        <f t="shared" si="15"/>
        <v>38.6</v>
      </c>
      <c r="AL24" s="868">
        <f t="shared" si="25"/>
        <v>1162784</v>
      </c>
      <c r="AM24" s="712">
        <v>0</v>
      </c>
      <c r="AN24" s="712">
        <v>1</v>
      </c>
      <c r="AO24" s="712">
        <f t="shared" si="18"/>
        <v>4647</v>
      </c>
      <c r="AP24" s="1329">
        <f t="shared" si="19"/>
        <v>406.98840832461337</v>
      </c>
      <c r="AQ24" s="712"/>
      <c r="AR24" s="869"/>
      <c r="AS24" s="869"/>
      <c r="AT24" s="869"/>
      <c r="AU24" s="527">
        <f t="shared" si="13"/>
        <v>-1206.0115916753866</v>
      </c>
      <c r="AV24" s="28"/>
      <c r="AW24"/>
      <c r="AX24"/>
      <c r="AY24"/>
      <c r="AZ24"/>
      <c r="BA24"/>
      <c r="BB24"/>
      <c r="BC24"/>
      <c r="BD24"/>
      <c r="BE24"/>
      <c r="BI24" s="1124">
        <f t="shared" si="20"/>
        <v>1991</v>
      </c>
      <c r="BJ24" s="391">
        <f t="shared" si="26"/>
        <v>5379</v>
      </c>
      <c r="BK24" s="102">
        <f t="shared" si="21"/>
        <v>5053.9884083246134</v>
      </c>
      <c r="BL24" s="102">
        <f t="shared" si="22"/>
        <v>-325.01159167538663</v>
      </c>
      <c r="BM24" s="103">
        <f t="shared" si="23"/>
        <v>4647</v>
      </c>
      <c r="BN24" s="464">
        <f t="shared" si="24"/>
        <v>732</v>
      </c>
      <c r="BO24" s="102"/>
    </row>
    <row r="25" spans="1:81">
      <c r="A25" s="96">
        <v>33620.333333333336</v>
      </c>
      <c r="B25" s="97" t="str">
        <f t="shared" si="0"/>
        <v>FRI</v>
      </c>
      <c r="C25" s="98">
        <f>[7]MoCoinMW!$F$29</f>
        <v>6982</v>
      </c>
      <c r="D25" s="99">
        <f>'[3]DSM Impacts'!R22</f>
        <v>0</v>
      </c>
      <c r="E25" s="99">
        <f>'[3]DSM Impacts'!J22</f>
        <v>0</v>
      </c>
      <c r="F25" s="99">
        <f>'[3]DSM Impacts'!N22</f>
        <v>0</v>
      </c>
      <c r="G25" s="99">
        <f>'[3]DSM Impacts'!V22</f>
        <v>0</v>
      </c>
      <c r="H25" s="99">
        <v>0</v>
      </c>
      <c r="I25" s="100">
        <f t="shared" si="1"/>
        <v>6982</v>
      </c>
      <c r="J25" s="338">
        <f>[7]MoCoinMW!$H$29</f>
        <v>972.25656121435668</v>
      </c>
      <c r="K25" s="100">
        <f t="shared" si="2"/>
        <v>6009.7434387856429</v>
      </c>
      <c r="L25" s="99">
        <f>'[3]DSM Impacts'!F22</f>
        <v>115.259</v>
      </c>
      <c r="M25" s="1428">
        <f>'[3]DSM Impacts'!G22</f>
        <v>65.5</v>
      </c>
      <c r="N25" s="99">
        <f t="shared" si="6"/>
        <v>7097.259</v>
      </c>
      <c r="O25" s="99">
        <f t="shared" si="3"/>
        <v>6125.0024387856429</v>
      </c>
      <c r="P25" s="99">
        <f>'[3]DSM Impacts'!$Q22</f>
        <v>181</v>
      </c>
      <c r="Q25" s="100">
        <f t="shared" si="4"/>
        <v>5944.0024387856429</v>
      </c>
      <c r="R25" s="1203">
        <f t="shared" si="16"/>
        <v>5763.2434387856429</v>
      </c>
      <c r="S25" s="105">
        <f>[5]Winter!L20</f>
        <v>37.9</v>
      </c>
      <c r="T25" s="105">
        <f>[5]Winter!J20</f>
        <v>35</v>
      </c>
      <c r="U25" s="105">
        <f>[5]Winter!K20</f>
        <v>43.8</v>
      </c>
      <c r="V25" s="349">
        <f t="shared" si="7"/>
        <v>1184561</v>
      </c>
      <c r="W25" s="102">
        <f>[4]Data!$I23</f>
        <v>1184561</v>
      </c>
      <c r="X25" s="102"/>
      <c r="Y25" s="102"/>
      <c r="Z25" s="102"/>
      <c r="AC25" s="102">
        <f t="shared" si="27"/>
        <v>21777</v>
      </c>
      <c r="AD25" s="102"/>
      <c r="AE25" s="99"/>
      <c r="AF25" s="102"/>
      <c r="AG25" s="870">
        <f t="shared" si="14"/>
        <v>1992</v>
      </c>
      <c r="AH25" s="165">
        <f t="shared" si="17"/>
        <v>5763.2434387856429</v>
      </c>
      <c r="AI25" s="568">
        <f t="shared" si="10"/>
        <v>35</v>
      </c>
      <c r="AJ25" s="568">
        <f t="shared" si="11"/>
        <v>43.8</v>
      </c>
      <c r="AK25" s="896">
        <f t="shared" si="15"/>
        <v>37.9</v>
      </c>
      <c r="AL25" s="165">
        <f t="shared" si="25"/>
        <v>1184561</v>
      </c>
      <c r="AM25" s="264">
        <v>0</v>
      </c>
      <c r="AN25" s="391">
        <v>0</v>
      </c>
      <c r="AO25" s="391">
        <f t="shared" si="18"/>
        <v>5875</v>
      </c>
      <c r="AP25" s="462">
        <f t="shared" si="19"/>
        <v>-111.75656121435713</v>
      </c>
      <c r="AQ25" s="391"/>
      <c r="AR25" s="28"/>
      <c r="AS25" s="28"/>
      <c r="AT25" s="28"/>
      <c r="AU25" s="361">
        <f t="shared" si="13"/>
        <v>709.25503046102949</v>
      </c>
      <c r="AV25" s="28"/>
      <c r="AW25" s="802" t="s">
        <v>393</v>
      </c>
      <c r="AX25" s="937" t="s">
        <v>381</v>
      </c>
      <c r="AY25" s="937" t="s">
        <v>373</v>
      </c>
      <c r="AZ25" s="937" t="s">
        <v>382</v>
      </c>
      <c r="BA25" s="937" t="s">
        <v>383</v>
      </c>
      <c r="BB25" s="937" t="s">
        <v>384</v>
      </c>
      <c r="BC25" s="937" t="s">
        <v>385</v>
      </c>
      <c r="BD25" s="937" t="s">
        <v>386</v>
      </c>
      <c r="BE25" s="937" t="s">
        <v>387</v>
      </c>
      <c r="BI25" s="1124">
        <f t="shared" si="20"/>
        <v>1992</v>
      </c>
      <c r="BJ25" s="391">
        <f t="shared" si="26"/>
        <v>6461</v>
      </c>
      <c r="BK25" s="102">
        <f t="shared" si="21"/>
        <v>5763.2434387856429</v>
      </c>
      <c r="BL25" s="102">
        <f t="shared" si="22"/>
        <v>-697.75656121435713</v>
      </c>
      <c r="BM25" s="103">
        <f t="shared" si="23"/>
        <v>5875</v>
      </c>
      <c r="BN25" s="464">
        <f t="shared" si="24"/>
        <v>586</v>
      </c>
      <c r="BO25" s="102"/>
    </row>
    <row r="26" spans="1:81">
      <c r="A26" s="96">
        <v>34043.291666666664</v>
      </c>
      <c r="B26" s="97" t="str">
        <f t="shared" si="0"/>
        <v>MON</v>
      </c>
      <c r="C26" s="98">
        <f>[7]MoCoinMW!$F$43</f>
        <v>6219</v>
      </c>
      <c r="D26" s="99">
        <f>'[3]DSM Impacts'!R23</f>
        <v>0</v>
      </c>
      <c r="E26" s="99">
        <f>'[3]DSM Impacts'!J23</f>
        <v>96</v>
      </c>
      <c r="F26" s="99">
        <f>'[3]DSM Impacts'!N23</f>
        <v>11</v>
      </c>
      <c r="G26" s="99">
        <f>'[3]DSM Impacts'!V23</f>
        <v>0</v>
      </c>
      <c r="H26" s="99">
        <v>675</v>
      </c>
      <c r="I26" s="100">
        <f t="shared" si="1"/>
        <v>7001</v>
      </c>
      <c r="J26" s="338">
        <f>[7]MoCoinMW!$H$43</f>
        <v>851.03256043863507</v>
      </c>
      <c r="K26" s="100">
        <f t="shared" si="2"/>
        <v>6149.9674395613647</v>
      </c>
      <c r="L26" s="99">
        <f>'[3]DSM Impacts'!F23</f>
        <v>124.03700000000001</v>
      </c>
      <c r="M26" s="1428">
        <f>'[3]DSM Impacts'!G23</f>
        <v>65.5</v>
      </c>
      <c r="N26" s="99">
        <f t="shared" si="6"/>
        <v>7125.0370000000003</v>
      </c>
      <c r="O26" s="99">
        <f t="shared" si="3"/>
        <v>6274.004439561365</v>
      </c>
      <c r="P26" s="99">
        <f>'[3]DSM Impacts'!$Q23</f>
        <v>155</v>
      </c>
      <c r="Q26" s="100">
        <f t="shared" si="4"/>
        <v>6119.004439561365</v>
      </c>
      <c r="R26" s="1203">
        <f t="shared" si="16"/>
        <v>5929.4674395613647</v>
      </c>
      <c r="S26" s="105">
        <f>[5]Winter!L21</f>
        <v>37.1</v>
      </c>
      <c r="T26" s="105">
        <f>[5]Winter!J21</f>
        <v>34.9</v>
      </c>
      <c r="U26" s="105">
        <f>[5]Winter!K21</f>
        <v>41.7</v>
      </c>
      <c r="V26" s="349">
        <f t="shared" si="7"/>
        <v>1209555</v>
      </c>
      <c r="W26" s="102">
        <f>[4]Data!$I24</f>
        <v>1209555</v>
      </c>
      <c r="X26" s="102"/>
      <c r="Y26" s="102"/>
      <c r="Z26" s="102"/>
      <c r="AC26" s="102">
        <f t="shared" si="27"/>
        <v>24994</v>
      </c>
      <c r="AD26" s="102"/>
      <c r="AE26" s="99"/>
      <c r="AF26" s="102"/>
      <c r="AG26" s="870">
        <f t="shared" si="14"/>
        <v>1993</v>
      </c>
      <c r="AH26" s="165">
        <f t="shared" si="17"/>
        <v>5929.4674395613647</v>
      </c>
      <c r="AI26" s="568">
        <f t="shared" si="10"/>
        <v>34.9</v>
      </c>
      <c r="AJ26" s="568">
        <f t="shared" si="11"/>
        <v>41.7</v>
      </c>
      <c r="AK26" s="896">
        <f t="shared" si="15"/>
        <v>37.1</v>
      </c>
      <c r="AL26" s="165">
        <f t="shared" si="25"/>
        <v>1209555</v>
      </c>
      <c r="AM26" s="391">
        <v>0</v>
      </c>
      <c r="AN26" s="391">
        <v>0</v>
      </c>
      <c r="AO26" s="391">
        <f t="shared" si="18"/>
        <v>6189</v>
      </c>
      <c r="AP26" s="462">
        <f t="shared" si="19"/>
        <v>-259.5325604386353</v>
      </c>
      <c r="AQ26" s="391"/>
      <c r="AR26" s="28"/>
      <c r="AS26" s="28"/>
      <c r="AT26" s="28"/>
      <c r="AU26" s="361">
        <f t="shared" si="13"/>
        <v>166.22400077572183</v>
      </c>
      <c r="AV26" s="28"/>
      <c r="AW26" s="800" t="s">
        <v>22</v>
      </c>
      <c r="AX26" s="1137">
        <v>6855.3583513361418</v>
      </c>
      <c r="AY26" s="1137">
        <v>697.62569565079548</v>
      </c>
      <c r="AZ26" s="1137">
        <v>9.8266998966271881</v>
      </c>
      <c r="BA26" s="1137">
        <v>1.9992629927236819E-8</v>
      </c>
      <c r="BB26" s="1137">
        <v>5383.4967911552885</v>
      </c>
      <c r="BC26" s="1137">
        <v>8327.2199115169951</v>
      </c>
      <c r="BD26" s="1137">
        <v>5383.4967911552885</v>
      </c>
      <c r="BE26" s="1137">
        <v>8327.2199115169951</v>
      </c>
      <c r="BI26" s="1124">
        <f t="shared" si="20"/>
        <v>1993</v>
      </c>
      <c r="BJ26" s="391">
        <f t="shared" si="26"/>
        <v>6607</v>
      </c>
      <c r="BK26" s="102">
        <f t="shared" si="21"/>
        <v>5929.4674395613647</v>
      </c>
      <c r="BL26" s="102">
        <f t="shared" si="22"/>
        <v>-677.5325604386353</v>
      </c>
      <c r="BM26" s="103">
        <f t="shared" si="23"/>
        <v>6189</v>
      </c>
      <c r="BN26" s="464">
        <f t="shared" si="24"/>
        <v>418</v>
      </c>
      <c r="BO26" s="102"/>
    </row>
    <row r="27" spans="1:81">
      <c r="A27" s="96">
        <v>34368.333333333336</v>
      </c>
      <c r="B27" s="97" t="str">
        <f t="shared" si="0"/>
        <v>THU</v>
      </c>
      <c r="C27" s="98">
        <f>[7]MoCoinMW!$F$54</f>
        <v>6955</v>
      </c>
      <c r="D27" s="99">
        <f>'[3]DSM Impacts'!R24</f>
        <v>0</v>
      </c>
      <c r="E27" s="99">
        <f>'[3]DSM Impacts'!J24</f>
        <v>0</v>
      </c>
      <c r="F27" s="99">
        <f>'[3]DSM Impacts'!N24</f>
        <v>7</v>
      </c>
      <c r="G27" s="99">
        <f>'[3]DSM Impacts'!V24</f>
        <v>0</v>
      </c>
      <c r="H27" s="99">
        <v>0</v>
      </c>
      <c r="I27" s="100">
        <f t="shared" si="1"/>
        <v>6962</v>
      </c>
      <c r="J27" s="338">
        <f>[7]MoCoinMW!$H$54</f>
        <v>971.68693394444358</v>
      </c>
      <c r="K27" s="100">
        <f t="shared" si="2"/>
        <v>5990.3130660555562</v>
      </c>
      <c r="L27" s="99">
        <f>'[3]DSM Impacts'!F24</f>
        <v>156.78100000000001</v>
      </c>
      <c r="M27" s="1428">
        <f>'[3]DSM Impacts'!G24</f>
        <v>65.5</v>
      </c>
      <c r="N27" s="99">
        <f t="shared" si="6"/>
        <v>7118.7809999999999</v>
      </c>
      <c r="O27" s="99">
        <f t="shared" si="3"/>
        <v>6147.0940660555561</v>
      </c>
      <c r="P27" s="99">
        <f>'[3]DSM Impacts'!$Q24</f>
        <v>199</v>
      </c>
      <c r="Q27" s="100">
        <f t="shared" si="4"/>
        <v>5948.0940660555561</v>
      </c>
      <c r="R27" s="1203">
        <f t="shared" si="16"/>
        <v>5725.8130660555562</v>
      </c>
      <c r="S27" s="105">
        <f>[5]Winter!L22</f>
        <v>39.5</v>
      </c>
      <c r="T27" s="105">
        <f>[5]Winter!J22</f>
        <v>36.9</v>
      </c>
      <c r="U27" s="105">
        <f>[5]Winter!K22</f>
        <v>45</v>
      </c>
      <c r="V27" s="349">
        <f t="shared" si="7"/>
        <v>1247543</v>
      </c>
      <c r="W27" s="102">
        <f>[4]Data!$I25</f>
        <v>1247543</v>
      </c>
      <c r="X27" s="102"/>
      <c r="Y27" s="102"/>
      <c r="Z27" s="102"/>
      <c r="AC27" s="102">
        <f t="shared" si="27"/>
        <v>37988</v>
      </c>
      <c r="AD27" s="102"/>
      <c r="AE27" s="99"/>
      <c r="AF27" s="102"/>
      <c r="AG27" s="870">
        <f t="shared" si="14"/>
        <v>1994</v>
      </c>
      <c r="AH27" s="165">
        <f t="shared" si="17"/>
        <v>5725.8130660555562</v>
      </c>
      <c r="AI27" s="568">
        <f t="shared" si="10"/>
        <v>36.9</v>
      </c>
      <c r="AJ27" s="568">
        <f t="shared" si="11"/>
        <v>45</v>
      </c>
      <c r="AK27" s="896">
        <f t="shared" si="15"/>
        <v>39.5</v>
      </c>
      <c r="AL27" s="165">
        <f t="shared" si="25"/>
        <v>1247543</v>
      </c>
      <c r="AM27" s="391">
        <v>0</v>
      </c>
      <c r="AN27" s="391">
        <v>0</v>
      </c>
      <c r="AO27" s="391">
        <f t="shared" si="18"/>
        <v>5910</v>
      </c>
      <c r="AP27" s="462">
        <f t="shared" si="19"/>
        <v>-184.18693394444381</v>
      </c>
      <c r="AQ27" s="391"/>
      <c r="AR27" s="28"/>
      <c r="AS27" s="28"/>
      <c r="AT27" s="28"/>
      <c r="AU27" s="361">
        <f t="shared" si="13"/>
        <v>-203.65437350580851</v>
      </c>
      <c r="AV27" s="28"/>
      <c r="AW27" s="800" t="s">
        <v>388</v>
      </c>
      <c r="AX27" s="1137">
        <v>-209.14707973720931</v>
      </c>
      <c r="AY27" s="1137">
        <v>13.70283246085552</v>
      </c>
      <c r="AZ27" s="1137">
        <v>-15.263054579020334</v>
      </c>
      <c r="BA27" s="1137">
        <v>2.3489685086788553E-11</v>
      </c>
      <c r="BB27" s="1137">
        <v>-238.05752912356235</v>
      </c>
      <c r="BC27" s="1137">
        <v>-180.23663035085627</v>
      </c>
      <c r="BD27" s="1137">
        <v>-238.05752912356235</v>
      </c>
      <c r="BE27" s="1137">
        <v>-180.23663035085627</v>
      </c>
      <c r="BI27" s="1124">
        <f t="shared" si="20"/>
        <v>1994</v>
      </c>
      <c r="BJ27" s="391">
        <f t="shared" si="26"/>
        <v>6830</v>
      </c>
      <c r="BK27" s="102">
        <f t="shared" si="21"/>
        <v>5725.8130660555562</v>
      </c>
      <c r="BL27" s="102">
        <f t="shared" si="22"/>
        <v>-1104.1869339444438</v>
      </c>
      <c r="BM27" s="103">
        <f t="shared" si="23"/>
        <v>5910</v>
      </c>
      <c r="BN27" s="464">
        <f t="shared" si="24"/>
        <v>920</v>
      </c>
      <c r="BO27" s="102"/>
    </row>
    <row r="28" spans="1:81">
      <c r="A28" s="96">
        <v>34739.333333333336</v>
      </c>
      <c r="B28" s="97" t="str">
        <f t="shared" si="0"/>
        <v>THU</v>
      </c>
      <c r="C28" s="98">
        <f>[7]MoCoinMW!$F$66</f>
        <v>7722</v>
      </c>
      <c r="D28" s="99">
        <f>'[3]DSM Impacts'!R25</f>
        <v>58</v>
      </c>
      <c r="E28" s="99">
        <f>'[3]DSM Impacts'!J25</f>
        <v>997</v>
      </c>
      <c r="F28" s="99">
        <f>'[3]DSM Impacts'!N25</f>
        <v>13</v>
      </c>
      <c r="G28" s="99">
        <f>'[3]DSM Impacts'!V25</f>
        <v>52</v>
      </c>
      <c r="H28" s="99">
        <v>0</v>
      </c>
      <c r="I28" s="100">
        <f t="shared" si="1"/>
        <v>8842</v>
      </c>
      <c r="J28" s="338">
        <f>[7]MoCoinMW!$H$66</f>
        <v>1145.3472174405201</v>
      </c>
      <c r="K28" s="100">
        <f t="shared" si="2"/>
        <v>7696.6527825594803</v>
      </c>
      <c r="L28" s="99">
        <f>'[3]DSM Impacts'!F25</f>
        <v>176.334</v>
      </c>
      <c r="M28" s="1428">
        <f>'[3]DSM Impacts'!G25</f>
        <v>65.5</v>
      </c>
      <c r="N28" s="99">
        <f t="shared" si="6"/>
        <v>9018.3340000000007</v>
      </c>
      <c r="O28" s="99">
        <f t="shared" si="3"/>
        <v>7872.9867825594811</v>
      </c>
      <c r="P28" s="99">
        <f>'[3]DSM Impacts'!$Q25</f>
        <v>281</v>
      </c>
      <c r="Q28" s="100">
        <f t="shared" si="4"/>
        <v>7591.9867825594811</v>
      </c>
      <c r="R28" s="1203">
        <f t="shared" si="16"/>
        <v>7350.1527825594803</v>
      </c>
      <c r="S28" s="105">
        <f>[5]Winter!L23</f>
        <v>32.799999999999997</v>
      </c>
      <c r="T28" s="105">
        <f>[5]Winter!J23</f>
        <v>29.1</v>
      </c>
      <c r="U28" s="105">
        <f>[5]Winter!K23</f>
        <v>40.5</v>
      </c>
      <c r="V28" s="349">
        <f t="shared" si="7"/>
        <v>1273305</v>
      </c>
      <c r="W28" s="102">
        <f>[4]Data!$I26</f>
        <v>1273305</v>
      </c>
      <c r="X28" s="102"/>
      <c r="Y28" s="102"/>
      <c r="Z28" s="102"/>
      <c r="AC28" s="102">
        <f t="shared" si="27"/>
        <v>25762</v>
      </c>
      <c r="AD28" s="102"/>
      <c r="AE28" s="99"/>
      <c r="AF28" s="102"/>
      <c r="AG28" s="870">
        <f t="shared" si="14"/>
        <v>1995</v>
      </c>
      <c r="AH28" s="165">
        <f t="shared" si="17"/>
        <v>7350.1527825594803</v>
      </c>
      <c r="AI28" s="568">
        <f t="shared" si="10"/>
        <v>29.1</v>
      </c>
      <c r="AJ28" s="568">
        <f t="shared" si="11"/>
        <v>40.5</v>
      </c>
      <c r="AK28" s="896">
        <f t="shared" si="15"/>
        <v>32.799999999999997</v>
      </c>
      <c r="AL28" s="165">
        <f t="shared" si="25"/>
        <v>1273305</v>
      </c>
      <c r="AM28" s="391">
        <v>0</v>
      </c>
      <c r="AN28" s="391">
        <v>0</v>
      </c>
      <c r="AO28" s="391">
        <f>ROUND($AX$26+$AX$27*$AK28+$AX$28*$AL28+$AX$29*$AM28+$AX$30*$AN28,0)</f>
        <v>7462</v>
      </c>
      <c r="AP28" s="462">
        <f t="shared" si="19"/>
        <v>-111.84721744051967</v>
      </c>
      <c r="AQ28" s="391"/>
      <c r="AR28" s="28"/>
      <c r="AS28" s="28"/>
      <c r="AT28" s="28"/>
      <c r="AU28" s="361">
        <f t="shared" si="13"/>
        <v>1624.3397165039241</v>
      </c>
      <c r="AV28" s="28"/>
      <c r="AW28" s="800" t="s">
        <v>389</v>
      </c>
      <c r="AX28" s="797">
        <v>5.864089048104695E-3</v>
      </c>
      <c r="AY28" s="1137">
        <v>3.3199822656689048E-4</v>
      </c>
      <c r="AZ28" s="1137">
        <v>17.663013169509227</v>
      </c>
      <c r="BA28" s="1137">
        <v>2.2566721699083329E-12</v>
      </c>
      <c r="BB28" s="1137">
        <v>5.1636340178808342E-3</v>
      </c>
      <c r="BC28" s="1137">
        <v>6.5645440783285557E-3</v>
      </c>
      <c r="BD28" s="1137">
        <v>5.1636340178808342E-3</v>
      </c>
      <c r="BE28" s="1137">
        <v>6.5645440783285557E-3</v>
      </c>
      <c r="BI28" s="1124">
        <f t="shared" si="20"/>
        <v>1995</v>
      </c>
      <c r="BJ28" s="391">
        <f t="shared" si="26"/>
        <v>6981</v>
      </c>
      <c r="BK28" s="102">
        <f t="shared" si="21"/>
        <v>7350.1527825594803</v>
      </c>
      <c r="BL28" s="102">
        <f t="shared" si="22"/>
        <v>369.15278255948033</v>
      </c>
      <c r="BM28" s="103">
        <f t="shared" si="23"/>
        <v>7462</v>
      </c>
      <c r="BN28" s="464">
        <f t="shared" si="24"/>
        <v>-481</v>
      </c>
      <c r="BO28" s="102"/>
    </row>
    <row r="29" spans="1:81">
      <c r="A29" s="96">
        <v>35100.333333333336</v>
      </c>
      <c r="B29" s="97" t="str">
        <f t="shared" si="0"/>
        <v>MON</v>
      </c>
      <c r="C29" s="98">
        <f>[7]MoCoinMW!$F$78</f>
        <v>8807</v>
      </c>
      <c r="D29" s="99">
        <f>'[3]DSM Impacts'!R26</f>
        <v>210</v>
      </c>
      <c r="E29" s="99">
        <f>'[3]DSM Impacts'!J26</f>
        <v>1156</v>
      </c>
      <c r="F29" s="99">
        <f>'[3]DSM Impacts'!N26</f>
        <v>0</v>
      </c>
      <c r="G29" s="99">
        <f>'[3]DSM Impacts'!V26</f>
        <v>116</v>
      </c>
      <c r="H29" s="99">
        <v>0</v>
      </c>
      <c r="I29" s="100">
        <f t="shared" si="1"/>
        <v>10289</v>
      </c>
      <c r="J29" s="338">
        <f>[7]MoCoinMW!$H$78</f>
        <v>1484.7796665338117</v>
      </c>
      <c r="K29" s="100">
        <f t="shared" si="2"/>
        <v>8804.2203334661881</v>
      </c>
      <c r="L29" s="99">
        <f>'[3]DSM Impacts'!F26</f>
        <v>201.03200000000001</v>
      </c>
      <c r="M29" s="1428">
        <f>'[3]DSM Impacts'!G26</f>
        <v>71.5</v>
      </c>
      <c r="N29" s="99">
        <f t="shared" si="6"/>
        <v>10490.031999999999</v>
      </c>
      <c r="O29" s="99">
        <f t="shared" si="3"/>
        <v>9005.2523334661873</v>
      </c>
      <c r="P29" s="99">
        <f>'[3]DSM Impacts'!$Q26</f>
        <v>255</v>
      </c>
      <c r="Q29" s="100">
        <f t="shared" si="4"/>
        <v>8750.2523334661873</v>
      </c>
      <c r="R29" s="1203">
        <f t="shared" si="16"/>
        <v>8477.7203334661881</v>
      </c>
      <c r="S29" s="105">
        <f>[5]Winter!L24</f>
        <v>29.3</v>
      </c>
      <c r="T29" s="105">
        <f>[5]Winter!J24</f>
        <v>26.3</v>
      </c>
      <c r="U29" s="105">
        <f>[5]Winter!K24</f>
        <v>35.6</v>
      </c>
      <c r="V29" s="349">
        <f t="shared" si="7"/>
        <v>1300136</v>
      </c>
      <c r="W29" s="815">
        <f>[8]FCST!$BD3</f>
        <v>1300136</v>
      </c>
      <c r="X29" s="102"/>
      <c r="Z29" s="677" t="s">
        <v>336</v>
      </c>
      <c r="AC29" s="102">
        <f t="shared" si="27"/>
        <v>26831</v>
      </c>
      <c r="AD29" s="102"/>
      <c r="AE29" s="99"/>
      <c r="AF29" s="102"/>
      <c r="AG29" s="870">
        <f t="shared" si="14"/>
        <v>1996</v>
      </c>
      <c r="AH29" s="165">
        <f t="shared" si="17"/>
        <v>8477.7203334661881</v>
      </c>
      <c r="AI29" s="568">
        <f t="shared" si="10"/>
        <v>26.3</v>
      </c>
      <c r="AJ29" s="568">
        <f t="shared" si="11"/>
        <v>35.6</v>
      </c>
      <c r="AK29" s="896">
        <f t="shared" si="15"/>
        <v>29.3</v>
      </c>
      <c r="AL29" s="165">
        <f t="shared" si="25"/>
        <v>1300136</v>
      </c>
      <c r="AM29" s="391">
        <v>0</v>
      </c>
      <c r="AN29" s="391">
        <v>0</v>
      </c>
      <c r="AO29" s="391">
        <f t="shared" si="18"/>
        <v>8351</v>
      </c>
      <c r="AP29" s="462">
        <f t="shared" si="19"/>
        <v>126.72033346618809</v>
      </c>
      <c r="AQ29" s="391"/>
      <c r="AR29" s="28"/>
      <c r="AS29" s="28"/>
      <c r="AT29" s="28"/>
      <c r="AU29" s="361">
        <f t="shared" si="13"/>
        <v>1127.5675509067078</v>
      </c>
      <c r="AV29" s="28"/>
      <c r="AW29" s="800" t="s">
        <v>390</v>
      </c>
      <c r="AX29" s="1137">
        <v>-1446.7187388667321</v>
      </c>
      <c r="AY29" s="1137">
        <v>149.61583409576087</v>
      </c>
      <c r="AZ29" s="1137">
        <v>-9.6695563515073335</v>
      </c>
      <c r="BA29" s="1137">
        <v>2.5279153677087817E-8</v>
      </c>
      <c r="BB29" s="1137">
        <v>-1762.3805563324936</v>
      </c>
      <c r="BC29" s="1137">
        <v>-1131.0569214009706</v>
      </c>
      <c r="BD29" s="1137">
        <v>-1762.3805563324936</v>
      </c>
      <c r="BE29" s="1137">
        <v>-1131.0569214009706</v>
      </c>
      <c r="BI29" s="1124">
        <f t="shared" si="20"/>
        <v>1996</v>
      </c>
      <c r="BJ29" s="391">
        <f t="shared" si="26"/>
        <v>7138</v>
      </c>
      <c r="BK29" s="102">
        <f t="shared" si="21"/>
        <v>8477.7203334661881</v>
      </c>
      <c r="BL29" s="102">
        <f t="shared" si="22"/>
        <v>1339.7203334661881</v>
      </c>
      <c r="BM29" s="103">
        <f t="shared" si="23"/>
        <v>8351</v>
      </c>
      <c r="BN29" s="464">
        <f t="shared" si="24"/>
        <v>-1213</v>
      </c>
      <c r="BO29" s="102"/>
    </row>
    <row r="30" spans="1:81" ht="13.5" thickBot="1">
      <c r="A30" s="96">
        <v>35449.333333333336</v>
      </c>
      <c r="B30" s="867" t="str">
        <f t="shared" si="0"/>
        <v>SUN</v>
      </c>
      <c r="C30" s="98">
        <f>[7]MoCoinMW!$F$89</f>
        <v>8072</v>
      </c>
      <c r="D30" s="99">
        <f>'[3]DSM Impacts'!R27</f>
        <v>0</v>
      </c>
      <c r="E30" s="99">
        <f>'[3]DSM Impacts'!J27</f>
        <v>111</v>
      </c>
      <c r="F30" s="99">
        <f>'[3]DSM Impacts'!N27</f>
        <v>0</v>
      </c>
      <c r="G30" s="99">
        <f>'[3]DSM Impacts'!V27</f>
        <v>0</v>
      </c>
      <c r="H30" s="99">
        <v>0</v>
      </c>
      <c r="I30" s="100">
        <f t="shared" si="1"/>
        <v>8183</v>
      </c>
      <c r="J30" s="338">
        <f>[7]MoCoinMW!$H$89</f>
        <v>1233.2967460785401</v>
      </c>
      <c r="K30" s="100">
        <f t="shared" si="2"/>
        <v>6949.7032539214597</v>
      </c>
      <c r="L30" s="99">
        <f>'[3]DSM Impacts'!F27</f>
        <v>237.749</v>
      </c>
      <c r="M30" s="1428">
        <f>'[3]DSM Impacts'!G27</f>
        <v>71.5</v>
      </c>
      <c r="N30" s="99">
        <f t="shared" si="6"/>
        <v>8420.7489999999998</v>
      </c>
      <c r="O30" s="99">
        <f t="shared" si="3"/>
        <v>7187.4522539214595</v>
      </c>
      <c r="P30" s="99">
        <f>'[3]DSM Impacts'!$Q27</f>
        <v>290</v>
      </c>
      <c r="Q30" s="100">
        <f t="shared" si="4"/>
        <v>6897.4522539214595</v>
      </c>
      <c r="R30" s="1203">
        <f t="shared" si="16"/>
        <v>6588.2032539214597</v>
      </c>
      <c r="S30" s="105">
        <f>[5]Winter!L25</f>
        <v>34.700000000000003</v>
      </c>
      <c r="T30" s="105">
        <f>[5]Winter!J25</f>
        <v>33</v>
      </c>
      <c r="U30" s="105">
        <f>[5]Winter!K25</f>
        <v>38</v>
      </c>
      <c r="V30" s="685">
        <f>W30-X30+Z30</f>
        <v>1326197</v>
      </c>
      <c r="W30" s="102">
        <f>[8]FCST!$BD4</f>
        <v>1326197</v>
      </c>
      <c r="X30" s="102"/>
      <c r="Z30" s="123">
        <f>[9]Sheet1!$R$7</f>
        <v>0</v>
      </c>
      <c r="AC30" s="102">
        <f t="shared" si="27"/>
        <v>26061</v>
      </c>
      <c r="AD30" s="102"/>
      <c r="AE30" s="99"/>
      <c r="AF30" s="102"/>
      <c r="AG30" s="870">
        <f t="shared" si="14"/>
        <v>1997</v>
      </c>
      <c r="AH30" s="165">
        <f t="shared" si="17"/>
        <v>6588.2032539214597</v>
      </c>
      <c r="AI30" s="568">
        <f t="shared" si="10"/>
        <v>33</v>
      </c>
      <c r="AJ30" s="568">
        <f t="shared" si="11"/>
        <v>38</v>
      </c>
      <c r="AK30" s="896">
        <f t="shared" si="15"/>
        <v>34.700000000000003</v>
      </c>
      <c r="AL30" s="165">
        <f t="shared" si="25"/>
        <v>1326197</v>
      </c>
      <c r="AM30" s="391">
        <v>0</v>
      </c>
      <c r="AN30" s="391">
        <v>1</v>
      </c>
      <c r="AO30" s="391">
        <f t="shared" si="18"/>
        <v>6421</v>
      </c>
      <c r="AP30" s="462">
        <f t="shared" si="19"/>
        <v>167.20325392145969</v>
      </c>
      <c r="AQ30" s="391"/>
      <c r="AR30" s="28"/>
      <c r="AS30" s="28"/>
      <c r="AT30" s="28"/>
      <c r="AU30" s="361">
        <f t="shared" si="13"/>
        <v>-1889.5170795447284</v>
      </c>
      <c r="AV30" s="28"/>
      <c r="AW30" s="803" t="s">
        <v>394</v>
      </c>
      <c r="AX30" s="1138">
        <v>-953.64217291689044</v>
      </c>
      <c r="AY30" s="1138">
        <v>151.52891966974914</v>
      </c>
      <c r="AZ30" s="1138">
        <v>-6.2934664550853601</v>
      </c>
      <c r="BA30" s="1138">
        <v>8.0889787690850247E-6</v>
      </c>
      <c r="BB30" s="1138">
        <v>-1273.3402481283806</v>
      </c>
      <c r="BC30" s="1138">
        <v>-633.9440977054004</v>
      </c>
      <c r="BD30" s="1138">
        <v>-1273.3402481283806</v>
      </c>
      <c r="BE30" s="1138">
        <v>-633.9440977054004</v>
      </c>
      <c r="BI30" s="1124">
        <f t="shared" si="20"/>
        <v>1997</v>
      </c>
      <c r="BJ30" s="391">
        <f t="shared" si="26"/>
        <v>6338</v>
      </c>
      <c r="BK30" s="102">
        <f t="shared" si="21"/>
        <v>6588.2032539214597</v>
      </c>
      <c r="BL30" s="102">
        <f t="shared" si="22"/>
        <v>250.20325392145969</v>
      </c>
      <c r="BM30" s="103">
        <f t="shared" si="23"/>
        <v>6421</v>
      </c>
      <c r="BN30" s="464">
        <f t="shared" si="24"/>
        <v>-83</v>
      </c>
      <c r="BO30" s="102"/>
    </row>
    <row r="31" spans="1:81">
      <c r="A31" s="96">
        <v>35867.333333333336</v>
      </c>
      <c r="B31" s="97" t="str">
        <f t="shared" si="0"/>
        <v>FRI</v>
      </c>
      <c r="C31" s="98">
        <f>[7]MoCoinMW!$F$103</f>
        <v>6885</v>
      </c>
      <c r="D31" s="99">
        <f>'[3]DSM Impacts'!R28</f>
        <v>0</v>
      </c>
      <c r="E31" s="99">
        <f>'[3]DSM Impacts'!J28</f>
        <v>514</v>
      </c>
      <c r="F31" s="99">
        <f>'[3]DSM Impacts'!N28</f>
        <v>2</v>
      </c>
      <c r="G31" s="99">
        <f>'[3]DSM Impacts'!V28</f>
        <v>0</v>
      </c>
      <c r="H31" s="99">
        <v>0</v>
      </c>
      <c r="I31" s="100">
        <f t="shared" si="1"/>
        <v>7401</v>
      </c>
      <c r="J31" s="338">
        <f>[7]MoCoinMW!$H$103</f>
        <v>939.81432151971467</v>
      </c>
      <c r="K31" s="100">
        <f t="shared" si="2"/>
        <v>6461.1856784802858</v>
      </c>
      <c r="L31" s="99">
        <f>'[3]DSM Impacts'!F28</f>
        <v>241</v>
      </c>
      <c r="M31" s="1428">
        <v>75</v>
      </c>
      <c r="N31" s="99">
        <f t="shared" si="6"/>
        <v>7642</v>
      </c>
      <c r="O31" s="99">
        <f t="shared" si="3"/>
        <v>6702.1856784802858</v>
      </c>
      <c r="P31" s="99">
        <f>'Interruptible Forecast'!AJ9</f>
        <v>346</v>
      </c>
      <c r="Q31" s="100">
        <f t="shared" si="4"/>
        <v>6356.1856784802858</v>
      </c>
      <c r="R31" s="1203">
        <f t="shared" si="16"/>
        <v>6040.1856784802858</v>
      </c>
      <c r="S31" s="105">
        <f>[5]Winter!L26</f>
        <v>43.3</v>
      </c>
      <c r="T31" s="105">
        <f>[5]Winter!J26</f>
        <v>42</v>
      </c>
      <c r="U31" s="105">
        <f>[5]Winter!K26</f>
        <v>45.9</v>
      </c>
      <c r="V31" s="684">
        <f>W31-X31</f>
        <v>1338697</v>
      </c>
      <c r="W31" s="102">
        <f>[8]FCST!$BC5</f>
        <v>1340197</v>
      </c>
      <c r="X31" s="355">
        <f>[8]FCST!$DG5</f>
        <v>1500</v>
      </c>
      <c r="Z31" s="123">
        <f>[9]Sheet1!$R$21</f>
        <v>6508</v>
      </c>
      <c r="AC31" s="102">
        <f t="shared" si="27"/>
        <v>12500</v>
      </c>
      <c r="AD31" s="102"/>
      <c r="AE31" s="99"/>
      <c r="AF31" s="102"/>
      <c r="AG31" s="870">
        <f t="shared" si="14"/>
        <v>1998</v>
      </c>
      <c r="AH31" s="165">
        <f>R31</f>
        <v>6040.1856784802858</v>
      </c>
      <c r="AI31" s="568">
        <f t="shared" si="10"/>
        <v>42</v>
      </c>
      <c r="AJ31" s="568">
        <f t="shared" si="11"/>
        <v>45.9</v>
      </c>
      <c r="AK31" s="896">
        <f t="shared" si="15"/>
        <v>43.3</v>
      </c>
      <c r="AL31" s="165">
        <f t="shared" si="25"/>
        <v>1340197</v>
      </c>
      <c r="AM31" s="391">
        <v>0</v>
      </c>
      <c r="AN31" s="391">
        <v>0</v>
      </c>
      <c r="AO31" s="391">
        <f t="shared" si="18"/>
        <v>5658</v>
      </c>
      <c r="AP31" s="462">
        <f t="shared" si="19"/>
        <v>382.18567848028579</v>
      </c>
      <c r="AQ31" s="391"/>
      <c r="AR31"/>
      <c r="AS31"/>
      <c r="AT31"/>
      <c r="AU31" s="361">
        <f t="shared" si="13"/>
        <v>-548.0175754411739</v>
      </c>
      <c r="AV31"/>
      <c r="AW31"/>
      <c r="AX31"/>
      <c r="AY31"/>
      <c r="AZ31"/>
      <c r="BA31"/>
      <c r="BB31"/>
      <c r="BC31"/>
      <c r="BD31"/>
      <c r="BE31"/>
      <c r="BI31" s="1124">
        <f t="shared" si="20"/>
        <v>1998</v>
      </c>
      <c r="BJ31" s="391">
        <f t="shared" si="26"/>
        <v>7373</v>
      </c>
      <c r="BK31" s="102">
        <f t="shared" si="21"/>
        <v>6040.1856784802858</v>
      </c>
      <c r="BL31" s="102">
        <f t="shared" si="22"/>
        <v>-1332.8143215197142</v>
      </c>
      <c r="BM31" s="103">
        <f t="shared" si="23"/>
        <v>5658</v>
      </c>
      <c r="BN31" s="464">
        <f t="shared" si="24"/>
        <v>1715</v>
      </c>
      <c r="BO31" s="102"/>
    </row>
    <row r="32" spans="1:81">
      <c r="A32" s="96">
        <v>36166.333333333336</v>
      </c>
      <c r="B32" s="97" t="str">
        <f t="shared" si="0"/>
        <v>WED</v>
      </c>
      <c r="C32" s="98">
        <f>[7]MoCoinMW!$F$113</f>
        <v>8929</v>
      </c>
      <c r="D32" s="99">
        <f>[6]Hist!L233</f>
        <v>279</v>
      </c>
      <c r="E32" s="149">
        <f>[6]Hist!M233</f>
        <v>870</v>
      </c>
      <c r="F32" s="99">
        <f>[6]Hist!N233</f>
        <v>0</v>
      </c>
      <c r="G32" s="99">
        <f>[6]Hist!O233</f>
        <v>0</v>
      </c>
      <c r="H32" s="99">
        <f>[6]Hist!P233</f>
        <v>0</v>
      </c>
      <c r="I32" s="100">
        <f t="shared" si="1"/>
        <v>10078</v>
      </c>
      <c r="J32" s="338">
        <f>[7]MoCoinMW!$H$113</f>
        <v>1726.2512212547529</v>
      </c>
      <c r="K32" s="100">
        <f t="shared" si="2"/>
        <v>8351.7487787452465</v>
      </c>
      <c r="L32" s="99">
        <f>[6]Hist!U233</f>
        <v>317</v>
      </c>
      <c r="M32" s="1428">
        <v>75</v>
      </c>
      <c r="N32" s="99">
        <f t="shared" si="6"/>
        <v>10395</v>
      </c>
      <c r="O32" s="99">
        <f t="shared" si="3"/>
        <v>8668.7487787452465</v>
      </c>
      <c r="P32" s="99">
        <f>'Interruptible Forecast'!AH10</f>
        <v>329</v>
      </c>
      <c r="Q32" s="100">
        <f t="shared" si="4"/>
        <v>8339.7487787452465</v>
      </c>
      <c r="R32" s="1203">
        <f t="shared" si="16"/>
        <v>7947.7487787452465</v>
      </c>
      <c r="S32" s="105">
        <f>[5]Winter!L27</f>
        <v>33.5</v>
      </c>
      <c r="T32" s="105">
        <f>[5]Winter!J27</f>
        <v>31.7</v>
      </c>
      <c r="U32" s="105">
        <f>[5]Winter!K27</f>
        <v>37.299999999999997</v>
      </c>
      <c r="V32" s="684">
        <f t="shared" ref="V32:V38" si="28">W32-X32+Z$31</f>
        <v>1367199</v>
      </c>
      <c r="W32" s="102">
        <f>[8]FCST!$BC6</f>
        <v>1365798</v>
      </c>
      <c r="X32" s="355">
        <f>[8]FCST!$DE6</f>
        <v>5107</v>
      </c>
      <c r="Y32" s="102"/>
      <c r="Z32" s="102"/>
      <c r="AC32" s="102">
        <f t="shared" si="27"/>
        <v>28502</v>
      </c>
      <c r="AD32" s="102"/>
      <c r="AF32" s="102"/>
      <c r="AG32" s="870">
        <f t="shared" si="14"/>
        <v>1999</v>
      </c>
      <c r="AH32" s="165">
        <f t="shared" si="17"/>
        <v>7947.7487787452465</v>
      </c>
      <c r="AI32" s="568">
        <f t="shared" si="10"/>
        <v>31.7</v>
      </c>
      <c r="AJ32" s="568">
        <f t="shared" si="11"/>
        <v>37.299999999999997</v>
      </c>
      <c r="AK32" s="896">
        <f t="shared" si="15"/>
        <v>33.5</v>
      </c>
      <c r="AL32" s="165">
        <f t="shared" si="25"/>
        <v>1365798</v>
      </c>
      <c r="AM32" s="391">
        <v>0</v>
      </c>
      <c r="AN32" s="391">
        <v>0</v>
      </c>
      <c r="AO32" s="391">
        <f t="shared" si="18"/>
        <v>7858</v>
      </c>
      <c r="AP32" s="462">
        <f t="shared" si="19"/>
        <v>89.748778745246454</v>
      </c>
      <c r="AQ32" s="391"/>
      <c r="AR32"/>
      <c r="AS32"/>
      <c r="AT32"/>
      <c r="AU32" s="361">
        <f t="shared" si="13"/>
        <v>1907.5631002649607</v>
      </c>
      <c r="AV32"/>
      <c r="AW32"/>
      <c r="AX32"/>
      <c r="AY32"/>
      <c r="AZ32"/>
      <c r="BA32"/>
      <c r="BB32"/>
      <c r="BC32"/>
      <c r="BD32"/>
      <c r="BE32"/>
      <c r="BI32" s="1124">
        <f t="shared" si="20"/>
        <v>1999</v>
      </c>
      <c r="BJ32" s="391">
        <f t="shared" si="26"/>
        <v>7523</v>
      </c>
      <c r="BK32" s="102">
        <f t="shared" si="21"/>
        <v>7947.7487787452465</v>
      </c>
      <c r="BL32" s="102">
        <f t="shared" si="22"/>
        <v>424.74877874524645</v>
      </c>
      <c r="BM32" s="103">
        <f t="shared" si="23"/>
        <v>7858</v>
      </c>
      <c r="BN32" s="464">
        <f t="shared" si="24"/>
        <v>-335</v>
      </c>
      <c r="BO32" s="102"/>
    </row>
    <row r="33" spans="1:67">
      <c r="A33" s="96">
        <v>36552.333333333336</v>
      </c>
      <c r="B33" s="97" t="str">
        <f t="shared" si="0"/>
        <v>THU</v>
      </c>
      <c r="C33" s="98">
        <f>[7]MoCoinMW!$F$125</f>
        <v>9293</v>
      </c>
      <c r="D33" s="99">
        <f>[6]Hist!L245</f>
        <v>81</v>
      </c>
      <c r="E33" s="149">
        <f>[6]Hist!M245</f>
        <v>314</v>
      </c>
      <c r="F33" s="99">
        <f>[6]Hist!N245</f>
        <v>0</v>
      </c>
      <c r="G33" s="99">
        <f>[6]Hist!O245</f>
        <v>0</v>
      </c>
      <c r="H33" s="99">
        <f>[6]Hist!P245</f>
        <v>0</v>
      </c>
      <c r="I33" s="100">
        <f t="shared" si="1"/>
        <v>9688</v>
      </c>
      <c r="J33" s="338">
        <f>[7]MoCoinMW!$H$125</f>
        <v>1713.3</v>
      </c>
      <c r="K33" s="100">
        <f t="shared" si="2"/>
        <v>7974.7</v>
      </c>
      <c r="L33" s="99">
        <f>[6]Hist!U245</f>
        <v>352</v>
      </c>
      <c r="M33" s="1428">
        <v>75</v>
      </c>
      <c r="N33" s="99">
        <f t="shared" si="6"/>
        <v>10040</v>
      </c>
      <c r="O33" s="99">
        <f t="shared" si="3"/>
        <v>8326.7000000000007</v>
      </c>
      <c r="P33" s="99">
        <f>'Interruptible Forecast'!AH11</f>
        <v>248</v>
      </c>
      <c r="Q33" s="100">
        <f t="shared" si="4"/>
        <v>8078.7000000000007</v>
      </c>
      <c r="R33" s="1203">
        <f t="shared" si="16"/>
        <v>7651.7</v>
      </c>
      <c r="S33" s="105">
        <f>[5]Winter!L28</f>
        <v>35.9</v>
      </c>
      <c r="T33" s="105">
        <f>[5]Winter!J28</f>
        <v>33.6</v>
      </c>
      <c r="U33" s="105">
        <f>[5]Winter!K28</f>
        <v>40.5</v>
      </c>
      <c r="V33" s="685">
        <f t="shared" si="28"/>
        <v>1395325</v>
      </c>
      <c r="W33" s="102">
        <f>[8]FCST!$BC7</f>
        <v>1396601</v>
      </c>
      <c r="X33" s="355">
        <f>[8]FCST!$DE7</f>
        <v>7784</v>
      </c>
      <c r="Y33" s="102"/>
      <c r="Z33" s="102"/>
      <c r="AC33" s="102">
        <f t="shared" si="27"/>
        <v>28126</v>
      </c>
      <c r="AD33" s="102"/>
      <c r="AF33" s="102"/>
      <c r="AG33" s="870">
        <f t="shared" si="14"/>
        <v>2000</v>
      </c>
      <c r="AH33" s="165">
        <f t="shared" si="17"/>
        <v>7651.7</v>
      </c>
      <c r="AI33" s="568">
        <f t="shared" si="10"/>
        <v>33.6</v>
      </c>
      <c r="AJ33" s="568">
        <f t="shared" si="11"/>
        <v>40.5</v>
      </c>
      <c r="AK33" s="896">
        <f t="shared" si="15"/>
        <v>35.9</v>
      </c>
      <c r="AL33" s="165">
        <f t="shared" si="25"/>
        <v>1396601</v>
      </c>
      <c r="AM33" s="391">
        <v>0</v>
      </c>
      <c r="AN33" s="391">
        <v>0</v>
      </c>
      <c r="AO33" s="391">
        <f t="shared" si="18"/>
        <v>7537</v>
      </c>
      <c r="AP33" s="462">
        <f t="shared" si="19"/>
        <v>114.69999999999982</v>
      </c>
      <c r="AQ33" s="391"/>
      <c r="AR33"/>
      <c r="AS33"/>
      <c r="AT33"/>
      <c r="AU33" s="361">
        <f t="shared" si="13"/>
        <v>-296.04877874524664</v>
      </c>
      <c r="AV33"/>
      <c r="AW33"/>
      <c r="AX33"/>
      <c r="AY33"/>
      <c r="AZ33"/>
      <c r="BA33"/>
      <c r="BB33"/>
      <c r="BC33"/>
      <c r="BD33"/>
      <c r="BE33"/>
      <c r="BI33" s="1124">
        <f t="shared" si="20"/>
        <v>2000</v>
      </c>
      <c r="BJ33" s="391">
        <f t="shared" si="26"/>
        <v>7704</v>
      </c>
      <c r="BK33" s="102">
        <f t="shared" si="21"/>
        <v>7651.7</v>
      </c>
      <c r="BL33" s="102">
        <f t="shared" si="22"/>
        <v>-52.300000000000182</v>
      </c>
      <c r="BM33" s="103">
        <f t="shared" si="23"/>
        <v>7537</v>
      </c>
      <c r="BN33" s="464">
        <f t="shared" si="24"/>
        <v>167</v>
      </c>
      <c r="BO33" s="102"/>
    </row>
    <row r="34" spans="1:67">
      <c r="A34" s="96">
        <v>36896.333333333336</v>
      </c>
      <c r="B34" s="97" t="str">
        <f t="shared" si="0"/>
        <v>FRI</v>
      </c>
      <c r="C34" s="98">
        <f>[7]MoCoinMW!$F$137</f>
        <v>9839</v>
      </c>
      <c r="D34" s="99">
        <f>[6]Hist!L257</f>
        <v>187</v>
      </c>
      <c r="E34" s="703">
        <f>[6]Hist!$M$257-500</f>
        <v>400</v>
      </c>
      <c r="F34" s="99">
        <f>[6]Hist!N257</f>
        <v>0</v>
      </c>
      <c r="G34" s="99">
        <f>[6]Hist!O257</f>
        <v>75</v>
      </c>
      <c r="H34" s="99">
        <f>[6]Hist!P257</f>
        <v>0</v>
      </c>
      <c r="I34" s="100">
        <f t="shared" si="1"/>
        <v>10501</v>
      </c>
      <c r="J34" s="338">
        <f>[7]MoCoinMW!$H$137</f>
        <v>1963.1</v>
      </c>
      <c r="K34" s="100">
        <f t="shared" si="2"/>
        <v>8537.9</v>
      </c>
      <c r="L34" s="99">
        <f>[6]Hist!U257</f>
        <v>379</v>
      </c>
      <c r="M34" s="1428">
        <v>75</v>
      </c>
      <c r="N34" s="99">
        <f t="shared" si="6"/>
        <v>10880</v>
      </c>
      <c r="O34" s="99">
        <f t="shared" si="3"/>
        <v>8916.9</v>
      </c>
      <c r="P34" s="99">
        <f>[6]Hist!$AA$257</f>
        <v>249.08604151753758</v>
      </c>
      <c r="Q34" s="100">
        <f t="shared" si="4"/>
        <v>8667.8139584824621</v>
      </c>
      <c r="R34" s="1203">
        <f t="shared" si="16"/>
        <v>8213.8139584824621</v>
      </c>
      <c r="S34" s="105">
        <f>[5]Winter!L29</f>
        <v>34.9</v>
      </c>
      <c r="T34" s="105">
        <f>[5]Winter!J29</f>
        <v>32.299999999999997</v>
      </c>
      <c r="U34" s="105">
        <f>[5]Winter!K29</f>
        <v>40.200000000000003</v>
      </c>
      <c r="V34" s="685">
        <f t="shared" si="28"/>
        <v>1435255</v>
      </c>
      <c r="W34" s="102">
        <f>[8]FCST!$BC8</f>
        <v>1435810</v>
      </c>
      <c r="X34" s="355">
        <f>[8]FCST!$DE8</f>
        <v>7063</v>
      </c>
      <c r="Y34" s="102"/>
      <c r="Z34" s="102"/>
      <c r="AC34" s="102">
        <f t="shared" si="27"/>
        <v>39930</v>
      </c>
      <c r="AD34" s="102"/>
      <c r="AF34" s="102"/>
      <c r="AG34" s="870">
        <f t="shared" si="14"/>
        <v>2001</v>
      </c>
      <c r="AH34" s="165">
        <f t="shared" si="17"/>
        <v>8213.8139584824621</v>
      </c>
      <c r="AI34" s="568">
        <f t="shared" si="10"/>
        <v>32.299999999999997</v>
      </c>
      <c r="AJ34" s="568">
        <f t="shared" si="11"/>
        <v>40.200000000000003</v>
      </c>
      <c r="AK34" s="896">
        <f t="shared" si="15"/>
        <v>34.9</v>
      </c>
      <c r="AL34" s="165">
        <f t="shared" si="25"/>
        <v>1435810</v>
      </c>
      <c r="AM34" s="391">
        <v>0</v>
      </c>
      <c r="AN34" s="391">
        <f>AN33</f>
        <v>0</v>
      </c>
      <c r="AO34" s="391">
        <f t="shared" si="18"/>
        <v>7976</v>
      </c>
      <c r="AP34" s="462">
        <f t="shared" si="19"/>
        <v>237.81395848246211</v>
      </c>
      <c r="AQ34" s="822"/>
      <c r="AR34" s="390"/>
      <c r="AS34" s="390"/>
      <c r="AT34" s="676"/>
      <c r="AU34" s="361">
        <f t="shared" si="13"/>
        <v>562.11395848246229</v>
      </c>
      <c r="AW34"/>
      <c r="AX34"/>
      <c r="AY34"/>
      <c r="AZ34"/>
      <c r="BA34"/>
      <c r="BB34"/>
      <c r="BC34"/>
      <c r="BD34"/>
      <c r="BE34"/>
      <c r="BI34" s="1124">
        <f t="shared" si="20"/>
        <v>2001</v>
      </c>
      <c r="BJ34" s="391">
        <f t="shared" si="26"/>
        <v>7934</v>
      </c>
      <c r="BK34" s="102">
        <f t="shared" si="21"/>
        <v>8213.8139584824621</v>
      </c>
      <c r="BL34" s="102">
        <f t="shared" si="22"/>
        <v>279.81395848246211</v>
      </c>
      <c r="BM34" s="103">
        <f t="shared" si="23"/>
        <v>7976</v>
      </c>
      <c r="BN34" s="464">
        <f t="shared" si="24"/>
        <v>-42</v>
      </c>
      <c r="BO34" s="102"/>
    </row>
    <row r="35" spans="1:67">
      <c r="A35" s="96">
        <v>37265.333333333336</v>
      </c>
      <c r="B35" s="97" t="str">
        <f t="shared" si="0"/>
        <v>WED</v>
      </c>
      <c r="C35" s="98">
        <f>[7]MoCoinMW!$F$149</f>
        <v>9721</v>
      </c>
      <c r="D35" s="99">
        <f>[6]Hist!L269</f>
        <v>35</v>
      </c>
      <c r="E35" s="99">
        <f>[6]Hist!M269</f>
        <v>257</v>
      </c>
      <c r="F35" s="99">
        <f>[6]Hist!N269</f>
        <v>0</v>
      </c>
      <c r="G35" s="99">
        <f>[6]Hist!O269</f>
        <v>119</v>
      </c>
      <c r="H35" s="99">
        <f>[6]Hist!P269</f>
        <v>105</v>
      </c>
      <c r="I35" s="100">
        <f t="shared" si="1"/>
        <v>10237</v>
      </c>
      <c r="J35" s="338">
        <f>[7]MoCoinMW!$H$149</f>
        <v>1612.2</v>
      </c>
      <c r="K35" s="100">
        <f t="shared" si="2"/>
        <v>8624.7999999999993</v>
      </c>
      <c r="L35" s="99">
        <f>[6]Hist!U269</f>
        <v>404</v>
      </c>
      <c r="M35" s="1428">
        <v>75</v>
      </c>
      <c r="N35" s="99">
        <f t="shared" si="6"/>
        <v>10641</v>
      </c>
      <c r="O35" s="99">
        <f t="shared" ref="O35:O40" si="29">N35-J35</f>
        <v>9028.7999999999993</v>
      </c>
      <c r="P35" s="99">
        <f>[6]Hist!$AA$269</f>
        <v>307.7</v>
      </c>
      <c r="Q35" s="100">
        <f t="shared" si="4"/>
        <v>8721.0999999999985</v>
      </c>
      <c r="R35" s="1203">
        <f t="shared" si="16"/>
        <v>8242.0999999999985</v>
      </c>
      <c r="S35" s="105">
        <f>[5]Winter!L30</f>
        <v>35.5</v>
      </c>
      <c r="T35" s="105">
        <f>[5]Winter!J30</f>
        <v>32.5</v>
      </c>
      <c r="U35" s="105">
        <f>[5]Winter!K30</f>
        <v>41.4</v>
      </c>
      <c r="V35" s="685">
        <f t="shared" si="28"/>
        <v>1462768</v>
      </c>
      <c r="W35" s="102">
        <f>[8]FCST!$BC9</f>
        <v>1465099</v>
      </c>
      <c r="X35" s="355">
        <f>[8]FCST!$DE9</f>
        <v>8839</v>
      </c>
      <c r="Y35" s="95"/>
      <c r="Z35" s="95"/>
      <c r="AC35" s="102">
        <f t="shared" si="27"/>
        <v>27513</v>
      </c>
      <c r="AD35" s="102"/>
      <c r="AF35" s="102"/>
      <c r="AG35" s="870">
        <f t="shared" si="14"/>
        <v>2002</v>
      </c>
      <c r="AH35" s="165">
        <f t="shared" si="17"/>
        <v>8242.0999999999985</v>
      </c>
      <c r="AI35" s="568">
        <f t="shared" si="10"/>
        <v>32.5</v>
      </c>
      <c r="AJ35" s="568">
        <f t="shared" si="11"/>
        <v>41.4</v>
      </c>
      <c r="AK35" s="896">
        <f t="shared" si="15"/>
        <v>35.5</v>
      </c>
      <c r="AL35" s="165">
        <f t="shared" si="25"/>
        <v>1465099</v>
      </c>
      <c r="AM35" s="391">
        <v>0</v>
      </c>
      <c r="AN35" s="391">
        <f t="shared" ref="AN35:AN37" si="30">AN34</f>
        <v>0</v>
      </c>
      <c r="AO35" s="391">
        <f t="shared" si="18"/>
        <v>8022</v>
      </c>
      <c r="AP35" s="462">
        <f t="shared" si="19"/>
        <v>220.09999999999854</v>
      </c>
      <c r="AQ35" s="700"/>
      <c r="AR35" s="390"/>
      <c r="AS35" s="390"/>
      <c r="AT35" s="390"/>
      <c r="AU35" s="390">
        <f t="shared" ref="AU35:AU46" si="31">AH35-AH34</f>
        <v>28.286041517536432</v>
      </c>
      <c r="AW35"/>
      <c r="AX35"/>
      <c r="AY35"/>
      <c r="AZ35"/>
      <c r="BA35"/>
      <c r="BB35"/>
      <c r="BC35"/>
      <c r="BD35"/>
      <c r="BE35"/>
      <c r="BI35" s="1124">
        <f t="shared" si="20"/>
        <v>2002</v>
      </c>
      <c r="BJ35" s="391">
        <f t="shared" si="26"/>
        <v>8106</v>
      </c>
      <c r="BK35" s="102">
        <f t="shared" si="21"/>
        <v>8242.0999999999985</v>
      </c>
      <c r="BL35" s="102">
        <f t="shared" si="22"/>
        <v>136.09999999999854</v>
      </c>
      <c r="BM35" s="103">
        <f t="shared" si="23"/>
        <v>8022</v>
      </c>
      <c r="BN35" s="464">
        <f t="shared" si="24"/>
        <v>84</v>
      </c>
      <c r="BO35" s="102"/>
    </row>
    <row r="36" spans="1:67">
      <c r="A36" s="96">
        <v>37645.333333333336</v>
      </c>
      <c r="B36" s="97" t="str">
        <f t="shared" si="0"/>
        <v>FRI</v>
      </c>
      <c r="C36" s="98">
        <f>[7]MoCoinMW!$F$161</f>
        <v>10507</v>
      </c>
      <c r="D36" s="99">
        <f>[6]Hist!L281</f>
        <v>0</v>
      </c>
      <c r="E36" s="704">
        <f>[6]Hist!M281-200</f>
        <v>-200</v>
      </c>
      <c r="F36" s="99">
        <f>[6]Hist!N281</f>
        <v>0</v>
      </c>
      <c r="G36" s="99">
        <f>[6]Hist!O281</f>
        <v>0</v>
      </c>
      <c r="H36" s="99">
        <f>[6]Hist!P281</f>
        <v>0</v>
      </c>
      <c r="I36" s="100">
        <f t="shared" ref="I36:I41" si="32">SUM(C36:H36)</f>
        <v>10307</v>
      </c>
      <c r="J36" s="338">
        <f>[7]MoCoinMW!$H$161</f>
        <v>1533.2</v>
      </c>
      <c r="K36" s="557">
        <f t="shared" ref="K36:K41" si="33">I36-J36</f>
        <v>8773.7999999999993</v>
      </c>
      <c r="L36" s="99">
        <f>[6]Hist!U281</f>
        <v>432</v>
      </c>
      <c r="M36" s="1428">
        <v>75</v>
      </c>
      <c r="N36" s="99">
        <f t="shared" si="6"/>
        <v>10739</v>
      </c>
      <c r="O36" s="99">
        <f t="shared" si="29"/>
        <v>9205.7999999999993</v>
      </c>
      <c r="P36" s="99">
        <f>[6]Hist!$AA$281</f>
        <v>249.90818125897067</v>
      </c>
      <c r="Q36" s="100">
        <f t="shared" si="4"/>
        <v>8955.8918187410291</v>
      </c>
      <c r="R36" s="1203">
        <f t="shared" si="16"/>
        <v>8448.8918187410291</v>
      </c>
      <c r="S36" s="105">
        <f>[5]Winter!L31</f>
        <v>32.799999999999997</v>
      </c>
      <c r="T36" s="105">
        <f>[5]Winter!J31</f>
        <v>27.5</v>
      </c>
      <c r="U36" s="105">
        <f>[5]Winter!K31</f>
        <v>43.5</v>
      </c>
      <c r="V36" s="685">
        <f t="shared" si="28"/>
        <v>1493967</v>
      </c>
      <c r="W36" s="102">
        <f>[8]FCST!$BC10</f>
        <v>1496688</v>
      </c>
      <c r="X36" s="355">
        <f>[8]FCST!$DE10</f>
        <v>9229</v>
      </c>
      <c r="Y36" s="354"/>
      <c r="Z36" s="95">
        <f>[8]FCST!$CM10</f>
        <v>45128</v>
      </c>
      <c r="AA36" s="95"/>
      <c r="AC36" s="102">
        <f t="shared" si="27"/>
        <v>31199</v>
      </c>
      <c r="AD36" s="102"/>
      <c r="AF36" s="102"/>
      <c r="AG36" s="870">
        <f t="shared" si="14"/>
        <v>2003</v>
      </c>
      <c r="AH36" s="165">
        <f t="shared" si="17"/>
        <v>8448.8918187410291</v>
      </c>
      <c r="AI36" s="568">
        <f t="shared" si="10"/>
        <v>27.5</v>
      </c>
      <c r="AJ36" s="568">
        <f t="shared" si="11"/>
        <v>43.5</v>
      </c>
      <c r="AK36" s="896">
        <f t="shared" si="15"/>
        <v>32.799999999999997</v>
      </c>
      <c r="AL36" s="165">
        <f t="shared" si="25"/>
        <v>1496688</v>
      </c>
      <c r="AM36" s="391">
        <v>0</v>
      </c>
      <c r="AN36" s="391">
        <f t="shared" si="30"/>
        <v>0</v>
      </c>
      <c r="AO36" s="391">
        <f t="shared" si="18"/>
        <v>8772</v>
      </c>
      <c r="AP36" s="462">
        <f t="shared" si="19"/>
        <v>-323.10818125897094</v>
      </c>
      <c r="AQ36" s="823"/>
      <c r="AR36" s="109"/>
      <c r="AS36" s="390"/>
      <c r="AT36" s="824"/>
      <c r="AU36" s="390">
        <f t="shared" si="31"/>
        <v>206.79181874103051</v>
      </c>
      <c r="BI36" s="1124">
        <f t="shared" si="20"/>
        <v>2003</v>
      </c>
      <c r="BJ36" s="391">
        <f t="shared" si="26"/>
        <v>8291</v>
      </c>
      <c r="BK36" s="102">
        <f t="shared" si="21"/>
        <v>8448.8918187410291</v>
      </c>
      <c r="BL36" s="102">
        <f t="shared" si="22"/>
        <v>157.89181874102906</v>
      </c>
      <c r="BM36" s="103">
        <f t="shared" si="23"/>
        <v>8772</v>
      </c>
      <c r="BN36" s="464">
        <f t="shared" ref="BN36:BN41" si="34">BJ36-BM36</f>
        <v>-481</v>
      </c>
      <c r="BO36" s="102"/>
    </row>
    <row r="37" spans="1:67">
      <c r="A37" s="96">
        <v>38015.333333333336</v>
      </c>
      <c r="B37" s="97" t="str">
        <f t="shared" si="0"/>
        <v>THU</v>
      </c>
      <c r="C37" s="98">
        <f>[7]MoCoinMW!$F$173</f>
        <v>8748.2999999999993</v>
      </c>
      <c r="D37" s="99">
        <f>[6]Hist!L293</f>
        <v>0</v>
      </c>
      <c r="E37" s="99">
        <f>[6]Hist!M293</f>
        <v>0</v>
      </c>
      <c r="F37" s="99">
        <f>[6]Hist!N293</f>
        <v>0</v>
      </c>
      <c r="G37" s="99">
        <f>[6]Hist!O293</f>
        <v>0</v>
      </c>
      <c r="H37" s="99">
        <f>[6]Hist!P293</f>
        <v>0</v>
      </c>
      <c r="I37" s="100">
        <f t="shared" si="32"/>
        <v>8748.2999999999993</v>
      </c>
      <c r="J37" s="338">
        <f>[7]MoCoinMW!$H$173</f>
        <v>1163.0999999999999</v>
      </c>
      <c r="K37" s="557">
        <f t="shared" si="33"/>
        <v>7585.1999999999989</v>
      </c>
      <c r="L37" s="99">
        <f>[6]Hist!U293</f>
        <v>463</v>
      </c>
      <c r="M37" s="1428">
        <v>110</v>
      </c>
      <c r="N37" s="99">
        <f t="shared" si="6"/>
        <v>9211.2999999999993</v>
      </c>
      <c r="O37" s="99">
        <f t="shared" si="29"/>
        <v>8048.1999999999989</v>
      </c>
      <c r="P37" s="99">
        <f>[6]Hist!$AA$293</f>
        <v>315.45165915608356</v>
      </c>
      <c r="Q37" s="100">
        <f t="shared" ref="Q37:Q42" si="35">O37-P37</f>
        <v>7732.7483408439157</v>
      </c>
      <c r="R37" s="1203">
        <f t="shared" si="16"/>
        <v>7159.7483408439157</v>
      </c>
      <c r="S37" s="105">
        <f>[5]Winter!L32</f>
        <v>41.1</v>
      </c>
      <c r="T37" s="105">
        <f>[5]Winter!J32</f>
        <v>38.200000000000003</v>
      </c>
      <c r="U37" s="105">
        <f>[5]Winter!K32</f>
        <v>47</v>
      </c>
      <c r="V37" s="685">
        <f t="shared" si="28"/>
        <v>1529413</v>
      </c>
      <c r="W37" s="102">
        <f>[8]FCST!$BC11</f>
        <v>1532989</v>
      </c>
      <c r="X37" s="355">
        <f>[8]FCST!$DE11</f>
        <v>10084</v>
      </c>
      <c r="Y37" s="561"/>
      <c r="Z37" s="95">
        <f>[8]FCST!$CM11</f>
        <v>48857</v>
      </c>
      <c r="AA37" s="95"/>
      <c r="AC37" s="102">
        <f t="shared" si="27"/>
        <v>35446</v>
      </c>
      <c r="AD37" s="102"/>
      <c r="AF37" s="102"/>
      <c r="AG37" s="871">
        <f t="shared" si="14"/>
        <v>2004</v>
      </c>
      <c r="AH37" s="165">
        <f t="shared" si="17"/>
        <v>7159.7483408439157</v>
      </c>
      <c r="AI37" s="568">
        <f t="shared" ref="AI37:AI42" si="36">T37</f>
        <v>38.200000000000003</v>
      </c>
      <c r="AJ37" s="568">
        <f t="shared" si="11"/>
        <v>47</v>
      </c>
      <c r="AK37" s="896">
        <f t="shared" si="15"/>
        <v>41.1</v>
      </c>
      <c r="AL37" s="165">
        <f t="shared" si="25"/>
        <v>1532989</v>
      </c>
      <c r="AM37" s="391">
        <v>0</v>
      </c>
      <c r="AN37" s="391">
        <f t="shared" si="30"/>
        <v>0</v>
      </c>
      <c r="AO37" s="391">
        <f t="shared" si="18"/>
        <v>7249</v>
      </c>
      <c r="AP37" s="462">
        <f t="shared" si="19"/>
        <v>-89.251659156084315</v>
      </c>
      <c r="AQ37" s="823"/>
      <c r="AR37" s="109"/>
      <c r="AS37" s="390"/>
      <c r="AT37" s="824"/>
      <c r="AU37" s="390">
        <f t="shared" si="31"/>
        <v>-1289.1434778971134</v>
      </c>
      <c r="AV37" s="391"/>
      <c r="BI37" s="1124">
        <f t="shared" si="20"/>
        <v>2004</v>
      </c>
      <c r="BJ37" s="391">
        <f t="shared" si="26"/>
        <v>8504</v>
      </c>
      <c r="BK37" s="102">
        <f t="shared" si="21"/>
        <v>7159.7483408439157</v>
      </c>
      <c r="BL37" s="102">
        <f t="shared" ref="BL37:BL42" si="37">BK37-BJ37</f>
        <v>-1344.2516591560843</v>
      </c>
      <c r="BM37" s="103">
        <f t="shared" si="23"/>
        <v>7249</v>
      </c>
      <c r="BN37" s="862">
        <f>BJ37-BM37+BM37-BK37</f>
        <v>1344.2516591560843</v>
      </c>
    </row>
    <row r="38" spans="1:67">
      <c r="A38" s="96">
        <v>38376.333333333336</v>
      </c>
      <c r="B38" s="97" t="str">
        <f t="shared" si="0"/>
        <v>MON</v>
      </c>
      <c r="C38" s="98">
        <f>[7]MoCoinMW!$F$185</f>
        <v>10226.299999999999</v>
      </c>
      <c r="D38" s="616">
        <f>[6]Hist!L$305</f>
        <v>0</v>
      </c>
      <c r="E38" s="616">
        <f>[6]Hist!M$305</f>
        <v>0</v>
      </c>
      <c r="F38" s="616">
        <f>[6]Hist!N$305</f>
        <v>0</v>
      </c>
      <c r="G38" s="616">
        <f>[6]Hist!O$305</f>
        <v>0</v>
      </c>
      <c r="H38" s="616">
        <f>[6]Hist!P$305</f>
        <v>0</v>
      </c>
      <c r="I38" s="100">
        <f t="shared" si="32"/>
        <v>10226.299999999999</v>
      </c>
      <c r="J38" s="338">
        <f>[7]MoCoinMW!$H$185</f>
        <v>1599.8</v>
      </c>
      <c r="K38" s="557">
        <f t="shared" si="33"/>
        <v>8626.5</v>
      </c>
      <c r="L38" s="99">
        <f>[6]Hist!U305</f>
        <v>492</v>
      </c>
      <c r="M38" s="1428">
        <v>110</v>
      </c>
      <c r="N38" s="99">
        <f t="shared" si="6"/>
        <v>10718.3</v>
      </c>
      <c r="O38" s="99">
        <f t="shared" si="29"/>
        <v>9118.5</v>
      </c>
      <c r="P38" s="99">
        <f>[6]Hist!$AA$305</f>
        <v>306.88716714461287</v>
      </c>
      <c r="Q38" s="100">
        <f t="shared" si="35"/>
        <v>8811.6128328553878</v>
      </c>
      <c r="R38" s="1203">
        <f t="shared" si="16"/>
        <v>8209.6128328553878</v>
      </c>
      <c r="S38" s="105">
        <f>[5]Winter!L33</f>
        <v>36.1</v>
      </c>
      <c r="T38" s="105">
        <f>[5]Winter!J33</f>
        <v>32.799999999999997</v>
      </c>
      <c r="U38" s="105">
        <f>[5]Winter!K33</f>
        <v>42.8</v>
      </c>
      <c r="V38" s="685">
        <f t="shared" si="28"/>
        <v>1561646</v>
      </c>
      <c r="W38" s="102">
        <f>[8]FCST!$BC12</f>
        <v>1566839</v>
      </c>
      <c r="X38" s="355">
        <f>[8]FCST!$DE12</f>
        <v>11701</v>
      </c>
      <c r="Y38" s="561"/>
      <c r="Z38" s="95">
        <f>[8]FCST!$CM12</f>
        <v>52491</v>
      </c>
      <c r="AA38" s="95"/>
      <c r="AC38" s="102">
        <f t="shared" si="27"/>
        <v>32233</v>
      </c>
      <c r="AD38" s="102"/>
      <c r="AF38" s="102"/>
      <c r="AG38" s="871">
        <f t="shared" si="14"/>
        <v>2005</v>
      </c>
      <c r="AH38" s="165">
        <f t="shared" si="17"/>
        <v>8209.6128328553878</v>
      </c>
      <c r="AI38" s="568">
        <f t="shared" si="36"/>
        <v>32.799999999999997</v>
      </c>
      <c r="AJ38" s="568">
        <f t="shared" si="11"/>
        <v>42.8</v>
      </c>
      <c r="AK38" s="896">
        <f t="shared" si="15"/>
        <v>36.1</v>
      </c>
      <c r="AL38" s="165">
        <f t="shared" si="25"/>
        <v>1566839</v>
      </c>
      <c r="AM38" s="391">
        <v>0</v>
      </c>
      <c r="AN38" s="391">
        <v>0</v>
      </c>
      <c r="AO38" s="391">
        <f t="shared" si="18"/>
        <v>8493</v>
      </c>
      <c r="AP38" s="462">
        <f t="shared" si="19"/>
        <v>-283.38716714461225</v>
      </c>
      <c r="AQ38" s="823"/>
      <c r="AR38" s="530"/>
      <c r="AS38" s="390"/>
      <c r="AT38" s="824"/>
      <c r="AU38" s="390">
        <f t="shared" si="31"/>
        <v>1049.8644920114721</v>
      </c>
      <c r="AV38" s="391"/>
      <c r="BI38" s="1124">
        <f t="shared" si="20"/>
        <v>2005</v>
      </c>
      <c r="BJ38" s="391">
        <f t="shared" si="26"/>
        <v>8702</v>
      </c>
      <c r="BK38" s="102">
        <f t="shared" si="21"/>
        <v>8209.6128328553878</v>
      </c>
      <c r="BL38" s="102">
        <f t="shared" si="37"/>
        <v>-492.38716714461225</v>
      </c>
      <c r="BM38" s="103">
        <f t="shared" si="23"/>
        <v>8493</v>
      </c>
      <c r="BN38" s="464">
        <f t="shared" si="34"/>
        <v>209</v>
      </c>
    </row>
    <row r="39" spans="1:67">
      <c r="A39" s="96">
        <v>38762.333333333336</v>
      </c>
      <c r="B39" s="97" t="str">
        <f t="shared" si="0"/>
        <v>TUE</v>
      </c>
      <c r="C39" s="98">
        <f>[7]MoCoinMW!$F$198</f>
        <v>10094</v>
      </c>
      <c r="D39" s="616">
        <f>[6]Hist!L$318</f>
        <v>0</v>
      </c>
      <c r="E39" s="616">
        <f>[6]Hist!M$318</f>
        <v>52</v>
      </c>
      <c r="F39" s="616">
        <f>[6]Hist!N$318</f>
        <v>0</v>
      </c>
      <c r="G39" s="616">
        <f>[6]Hist!O$318</f>
        <v>0</v>
      </c>
      <c r="H39" s="616">
        <f>[6]Hist!P$318</f>
        <v>0</v>
      </c>
      <c r="I39" s="100">
        <f t="shared" si="32"/>
        <v>10146</v>
      </c>
      <c r="J39" s="338">
        <f>[7]MoCoinMW!$H$198</f>
        <v>1466.8000000000002</v>
      </c>
      <c r="K39" s="557">
        <f t="shared" si="33"/>
        <v>8679.2000000000007</v>
      </c>
      <c r="L39" s="616">
        <f>[6]Hist!U$318</f>
        <v>515</v>
      </c>
      <c r="M39" s="1428">
        <v>66</v>
      </c>
      <c r="N39" s="99">
        <f t="shared" si="6"/>
        <v>10661</v>
      </c>
      <c r="O39" s="99">
        <f t="shared" si="29"/>
        <v>9194.2000000000007</v>
      </c>
      <c r="P39" s="99">
        <f>[6]Hist!$AA$318</f>
        <v>279.76203618521924</v>
      </c>
      <c r="Q39" s="100">
        <f t="shared" si="35"/>
        <v>8914.4379638147821</v>
      </c>
      <c r="R39" s="1203">
        <f t="shared" si="16"/>
        <v>8333.4379638147821</v>
      </c>
      <c r="S39" s="105">
        <f>[5]Winter!L34</f>
        <v>38.5</v>
      </c>
      <c r="T39" s="105">
        <f>[5]Winter!J34</f>
        <v>36</v>
      </c>
      <c r="U39" s="105">
        <f>[5]Winter!K34</f>
        <v>43.7</v>
      </c>
      <c r="V39" s="685">
        <f t="shared" ref="V39:V46" si="38">W39-X39+Z$31</f>
        <v>1601337</v>
      </c>
      <c r="W39" s="102">
        <f>[8]FCST!$BD13</f>
        <v>1602962</v>
      </c>
      <c r="X39" s="355">
        <f>[8]FCST!$DF13</f>
        <v>8133</v>
      </c>
      <c r="Y39" s="561"/>
      <c r="Z39" s="95">
        <f>[8]FCST!$CN13</f>
        <v>56135</v>
      </c>
      <c r="AA39" s="95"/>
      <c r="AB39" s="691">
        <f>[10]WP2005!$D$15</f>
        <v>13825</v>
      </c>
      <c r="AC39" s="102">
        <f t="shared" si="27"/>
        <v>39691</v>
      </c>
      <c r="AD39" s="102"/>
      <c r="AE39" s="102"/>
      <c r="AF39" s="102"/>
      <c r="AG39" s="871">
        <f t="shared" si="14"/>
        <v>2006</v>
      </c>
      <c r="AH39" s="165">
        <f t="shared" si="17"/>
        <v>8333.4379638147821</v>
      </c>
      <c r="AI39" s="568">
        <f t="shared" si="36"/>
        <v>36</v>
      </c>
      <c r="AJ39" s="568">
        <f t="shared" si="11"/>
        <v>43.7</v>
      </c>
      <c r="AK39" s="896">
        <f t="shared" si="15"/>
        <v>38.5</v>
      </c>
      <c r="AL39" s="165">
        <f t="shared" si="25"/>
        <v>1602962</v>
      </c>
      <c r="AM39" s="391">
        <v>0</v>
      </c>
      <c r="AN39" s="391">
        <v>0</v>
      </c>
      <c r="AO39" s="391">
        <f t="shared" si="18"/>
        <v>8203</v>
      </c>
      <c r="AP39" s="462">
        <f t="shared" si="19"/>
        <v>130.43796381478205</v>
      </c>
      <c r="AQ39" s="823"/>
      <c r="AR39" s="530"/>
      <c r="AS39" s="390"/>
      <c r="AT39" s="390"/>
      <c r="AU39" s="390">
        <f t="shared" si="31"/>
        <v>123.8251309593943</v>
      </c>
      <c r="AV39" s="391"/>
      <c r="BI39" s="1124">
        <f t="shared" si="20"/>
        <v>2006</v>
      </c>
      <c r="BJ39" s="391">
        <f t="shared" si="26"/>
        <v>8914</v>
      </c>
      <c r="BK39" s="102">
        <f t="shared" si="21"/>
        <v>8333.4379638147821</v>
      </c>
      <c r="BL39" s="102">
        <f t="shared" si="37"/>
        <v>-580.56203618521795</v>
      </c>
      <c r="BM39" s="103">
        <f t="shared" si="23"/>
        <v>8203</v>
      </c>
      <c r="BN39" s="464">
        <f t="shared" si="34"/>
        <v>711</v>
      </c>
    </row>
    <row r="40" spans="1:67">
      <c r="A40" s="96">
        <v>39130.333333333336</v>
      </c>
      <c r="B40" s="867" t="str">
        <f t="shared" si="0"/>
        <v>SAT</v>
      </c>
      <c r="C40" s="98">
        <f>[7]MoCoinMW!$F$210</f>
        <v>9097</v>
      </c>
      <c r="D40" s="616">
        <f>[6]Hist!L$330</f>
        <v>55</v>
      </c>
      <c r="E40" s="616">
        <f>[6]Hist!M$330</f>
        <v>30</v>
      </c>
      <c r="F40" s="616">
        <f>[6]Hist!N$330</f>
        <v>0</v>
      </c>
      <c r="G40" s="616">
        <f>[6]Hist!O$330</f>
        <v>0</v>
      </c>
      <c r="H40" s="616">
        <f>[6]Hist!P$330</f>
        <v>0</v>
      </c>
      <c r="I40" s="100">
        <f t="shared" si="32"/>
        <v>9182</v>
      </c>
      <c r="J40" s="338">
        <f>[7]MoCoinMW!$H$210</f>
        <v>1575</v>
      </c>
      <c r="K40" s="557">
        <f t="shared" si="33"/>
        <v>7607</v>
      </c>
      <c r="L40" s="616">
        <f>[6]Hist!U$330</f>
        <v>555</v>
      </c>
      <c r="M40" s="1428">
        <v>110</v>
      </c>
      <c r="N40" s="99">
        <f t="shared" si="6"/>
        <v>9737</v>
      </c>
      <c r="O40" s="99">
        <f t="shared" si="29"/>
        <v>8162</v>
      </c>
      <c r="P40" s="99">
        <f>[6]Hist!$AA$330</f>
        <v>284</v>
      </c>
      <c r="Q40" s="100">
        <f t="shared" si="35"/>
        <v>7878</v>
      </c>
      <c r="R40" s="1203">
        <f t="shared" si="16"/>
        <v>7213</v>
      </c>
      <c r="S40" s="105">
        <f>[5]Winter!L35</f>
        <v>38.5</v>
      </c>
      <c r="T40" s="105">
        <f>[5]Winter!J35</f>
        <v>35.4</v>
      </c>
      <c r="U40" s="105">
        <f>[5]Winter!K35</f>
        <v>44.7</v>
      </c>
      <c r="V40" s="685">
        <f t="shared" si="38"/>
        <v>1631667</v>
      </c>
      <c r="W40" s="102">
        <f>[8]FCST!$BD14</f>
        <v>1633647</v>
      </c>
      <c r="X40" s="355">
        <f>[8]FCST!$DF14</f>
        <v>8488</v>
      </c>
      <c r="Y40" s="561"/>
      <c r="Z40" s="95">
        <f>[8]FCST!$CN14</f>
        <v>56743</v>
      </c>
      <c r="AA40" s="95"/>
      <c r="AB40" s="456">
        <f>ROUND(AB39*1.01,0)</f>
        <v>13963</v>
      </c>
      <c r="AC40" s="102">
        <f t="shared" si="27"/>
        <v>30330</v>
      </c>
      <c r="AD40" s="664"/>
      <c r="AF40" s="102"/>
      <c r="AG40" s="870">
        <f t="shared" si="14"/>
        <v>2007</v>
      </c>
      <c r="AH40" s="165">
        <f t="shared" si="17"/>
        <v>7213</v>
      </c>
      <c r="AI40" s="568">
        <f t="shared" si="36"/>
        <v>35.4</v>
      </c>
      <c r="AJ40" s="568">
        <f t="shared" ref="AJ40:AJ45" si="39">U40</f>
        <v>44.7</v>
      </c>
      <c r="AK40" s="896">
        <f t="shared" si="15"/>
        <v>38.5</v>
      </c>
      <c r="AL40" s="165">
        <f t="shared" si="25"/>
        <v>1633647</v>
      </c>
      <c r="AM40" s="391">
        <v>0</v>
      </c>
      <c r="AN40" s="391">
        <v>1</v>
      </c>
      <c r="AO40" s="391">
        <f t="shared" si="18"/>
        <v>7429</v>
      </c>
      <c r="AP40" s="462">
        <f t="shared" si="19"/>
        <v>-216</v>
      </c>
      <c r="AQ40" s="823"/>
      <c r="AR40" s="776"/>
      <c r="AS40" s="390"/>
      <c r="AT40" s="390"/>
      <c r="AU40" s="390">
        <f t="shared" si="31"/>
        <v>-1120.4379638147821</v>
      </c>
      <c r="AV40" s="364"/>
      <c r="BI40" s="1124">
        <f t="shared" si="20"/>
        <v>2007</v>
      </c>
      <c r="BJ40" s="391">
        <f t="shared" si="26"/>
        <v>8141</v>
      </c>
      <c r="BK40" s="102">
        <f t="shared" si="21"/>
        <v>7213</v>
      </c>
      <c r="BL40" s="102">
        <f t="shared" si="37"/>
        <v>-928</v>
      </c>
      <c r="BM40" s="103">
        <f t="shared" si="23"/>
        <v>7429</v>
      </c>
      <c r="BN40" s="464">
        <f t="shared" si="34"/>
        <v>712</v>
      </c>
    </row>
    <row r="41" spans="1:67">
      <c r="A41" s="96">
        <v>39450.333333333336</v>
      </c>
      <c r="B41" s="97" t="str">
        <f t="shared" ref="B41:B46" si="40">IF(WEEKDAY(A41)=1,"SUN",IF(WEEKDAY(A41)=2,"MON",IF(WEEKDAY(A41)=3,"TUE",IF(WEEKDAY(A41)=4,"WED",IF(WEEKDAY(A41)=5,"THU",IF(WEEKDAY(A41)=6,"FRI","SAT"))))))</f>
        <v>THU</v>
      </c>
      <c r="C41" s="98">
        <f>[7]MoCoinMW!$F$221</f>
        <v>10210</v>
      </c>
      <c r="D41" s="616">
        <f>[6]Hist!L$341</f>
        <v>47</v>
      </c>
      <c r="E41" s="616">
        <f>[6]Hist!M$341</f>
        <v>25</v>
      </c>
      <c r="F41" s="616">
        <f>[6]Hist!N$341</f>
        <v>0</v>
      </c>
      <c r="G41" s="616">
        <f>[6]Hist!O$341</f>
        <v>0</v>
      </c>
      <c r="H41" s="616">
        <f>[6]Hist!P$341</f>
        <v>0</v>
      </c>
      <c r="I41" s="100">
        <f t="shared" si="32"/>
        <v>10282</v>
      </c>
      <c r="J41" s="338">
        <f>[7]MoCoinMW!$H$221</f>
        <v>1828</v>
      </c>
      <c r="K41" s="557">
        <f t="shared" si="33"/>
        <v>8454</v>
      </c>
      <c r="L41" s="616">
        <f>[6]Hist!U$341</f>
        <v>616</v>
      </c>
      <c r="M41" s="1428">
        <v>110</v>
      </c>
      <c r="N41" s="99">
        <f t="shared" ref="N41:N46" si="41">I41+L41</f>
        <v>10898</v>
      </c>
      <c r="O41" s="99">
        <f t="shared" ref="O41:O46" si="42">N41-J41</f>
        <v>9070</v>
      </c>
      <c r="P41" s="99">
        <f>[6]Hist!$AA$341</f>
        <v>286.08827584620104</v>
      </c>
      <c r="Q41" s="100">
        <f t="shared" si="35"/>
        <v>8783.9117241537988</v>
      </c>
      <c r="R41" s="1203">
        <f t="shared" si="16"/>
        <v>8057.9117241537988</v>
      </c>
      <c r="S41" s="105">
        <f>[5]Winter!L36</f>
        <v>33</v>
      </c>
      <c r="T41" s="105">
        <f>[5]Winter!J36</f>
        <v>30</v>
      </c>
      <c r="U41" s="105">
        <f>[5]Winter!K36</f>
        <v>38.9</v>
      </c>
      <c r="V41" s="685">
        <f t="shared" si="38"/>
        <v>1631174</v>
      </c>
      <c r="W41" s="102">
        <f>[8]FCST!$BC15</f>
        <v>1639056</v>
      </c>
      <c r="X41" s="355">
        <f>[8]FCST!$DE15</f>
        <v>14390</v>
      </c>
      <c r="Y41" s="561"/>
      <c r="Z41" s="95">
        <f>[8]FCST!$CM15</f>
        <v>59524</v>
      </c>
      <c r="AA41" s="95"/>
      <c r="AB41" s="456">
        <f>ROUND(AB40*1.005,0)</f>
        <v>14033</v>
      </c>
      <c r="AC41" s="102">
        <f t="shared" si="27"/>
        <v>-493</v>
      </c>
      <c r="AE41" s="801"/>
      <c r="AF41" s="102"/>
      <c r="AG41" s="870">
        <f t="shared" si="14"/>
        <v>2008</v>
      </c>
      <c r="AH41" s="165">
        <f t="shared" si="17"/>
        <v>8057.9117241537988</v>
      </c>
      <c r="AI41" s="568">
        <f t="shared" si="36"/>
        <v>30</v>
      </c>
      <c r="AJ41" s="568">
        <f t="shared" si="39"/>
        <v>38.9</v>
      </c>
      <c r="AK41" s="896">
        <f t="shared" si="15"/>
        <v>33</v>
      </c>
      <c r="AL41" s="165">
        <f t="shared" si="25"/>
        <v>1639056</v>
      </c>
      <c r="AM41" s="1008">
        <v>1</v>
      </c>
      <c r="AN41" s="391">
        <v>0</v>
      </c>
      <c r="AO41" s="391">
        <f t="shared" si="18"/>
        <v>8118</v>
      </c>
      <c r="AP41" s="462">
        <f t="shared" ref="AP41:AP46" si="43">AH41-AO41</f>
        <v>-60.088275846201213</v>
      </c>
      <c r="AQ41" s="823"/>
      <c r="AR41" s="776"/>
      <c r="AS41" s="390"/>
      <c r="AT41" s="390"/>
      <c r="AU41" s="390">
        <f t="shared" si="31"/>
        <v>844.91172415379879</v>
      </c>
      <c r="BI41" s="1124">
        <f t="shared" si="20"/>
        <v>2008</v>
      </c>
      <c r="BJ41" s="391">
        <f t="shared" si="26"/>
        <v>7679</v>
      </c>
      <c r="BK41" s="102">
        <f t="shared" si="21"/>
        <v>8057.9117241537988</v>
      </c>
      <c r="BL41" s="102">
        <f t="shared" si="37"/>
        <v>378.91172415379879</v>
      </c>
      <c r="BM41" s="103">
        <f t="shared" si="23"/>
        <v>8118</v>
      </c>
      <c r="BN41" s="464">
        <f t="shared" si="34"/>
        <v>-439</v>
      </c>
    </row>
    <row r="42" spans="1:67">
      <c r="A42" s="96">
        <v>39850.333333333336</v>
      </c>
      <c r="B42" s="97" t="str">
        <f t="shared" si="40"/>
        <v>FRI</v>
      </c>
      <c r="C42" s="98">
        <f>[7]MoCoinMW!$F$234</f>
        <v>11313</v>
      </c>
      <c r="D42" s="616">
        <f>[6]Hist!L$354</f>
        <v>0</v>
      </c>
      <c r="E42" s="616">
        <f>[6]Hist!M$354</f>
        <v>0</v>
      </c>
      <c r="F42" s="616">
        <f>[6]Hist!N$354</f>
        <v>0</v>
      </c>
      <c r="G42" s="616">
        <f>[6]Hist!O$354</f>
        <v>0</v>
      </c>
      <c r="H42" s="616">
        <f>[6]Hist!P$354</f>
        <v>0</v>
      </c>
      <c r="I42" s="100">
        <f>SUM(C42:H42)</f>
        <v>11313</v>
      </c>
      <c r="J42" s="338">
        <f>[7]MoCoinMW!$H$234</f>
        <v>2228</v>
      </c>
      <c r="K42" s="557">
        <f>I42-J42</f>
        <v>9085</v>
      </c>
      <c r="L42" s="616">
        <f>[6]Hist!U$354</f>
        <v>641</v>
      </c>
      <c r="M42" s="1428">
        <v>110</v>
      </c>
      <c r="N42" s="99">
        <f t="shared" si="41"/>
        <v>11954</v>
      </c>
      <c r="O42" s="99">
        <f t="shared" si="42"/>
        <v>9726</v>
      </c>
      <c r="P42" s="99">
        <f>[6]Hist!$AA$354</f>
        <v>261.0897566959722</v>
      </c>
      <c r="Q42" s="100">
        <f t="shared" si="35"/>
        <v>9464.910243304028</v>
      </c>
      <c r="R42" s="1203">
        <f t="shared" si="16"/>
        <v>8713.910243304028</v>
      </c>
      <c r="S42" s="105">
        <f>[5]Winter!L37</f>
        <v>36.6</v>
      </c>
      <c r="T42" s="105">
        <f>[5]Winter!J37</f>
        <v>34.700000000000003</v>
      </c>
      <c r="U42" s="105">
        <f>[5]Winter!K37</f>
        <v>40.5</v>
      </c>
      <c r="V42" s="685">
        <f t="shared" si="38"/>
        <v>1626270</v>
      </c>
      <c r="W42" s="102">
        <f>[8]FCST!$BD16</f>
        <v>1632376</v>
      </c>
      <c r="X42" s="355">
        <f>[8]FCST!$DF16+4000</f>
        <v>12614</v>
      </c>
      <c r="Y42" s="561"/>
      <c r="Z42" s="95">
        <f>[8]FCST!$CN16</f>
        <v>61398</v>
      </c>
      <c r="AA42" s="95"/>
      <c r="AB42" s="456">
        <f>ROUND(AB41*1.005,0)</f>
        <v>14103</v>
      </c>
      <c r="AC42" s="102">
        <f t="shared" si="27"/>
        <v>-4904</v>
      </c>
      <c r="AD42" s="664"/>
      <c r="AG42" s="870">
        <f t="shared" si="14"/>
        <v>2009</v>
      </c>
      <c r="AH42" s="165">
        <f t="shared" si="17"/>
        <v>8713.910243304028</v>
      </c>
      <c r="AI42" s="568">
        <f t="shared" si="36"/>
        <v>34.700000000000003</v>
      </c>
      <c r="AJ42" s="568">
        <f t="shared" si="39"/>
        <v>40.5</v>
      </c>
      <c r="AK42" s="896">
        <f>S42</f>
        <v>36.6</v>
      </c>
      <c r="AL42" s="165">
        <f t="shared" si="25"/>
        <v>1632376</v>
      </c>
      <c r="AM42" s="709">
        <v>0</v>
      </c>
      <c r="AN42" s="391">
        <v>0</v>
      </c>
      <c r="AO42" s="391">
        <f t="shared" si="18"/>
        <v>8773</v>
      </c>
      <c r="AP42" s="462">
        <f t="shared" si="43"/>
        <v>-59.089756695972028</v>
      </c>
      <c r="AQ42" s="823"/>
      <c r="AR42" s="776"/>
      <c r="AS42" s="390"/>
      <c r="AT42" s="390"/>
      <c r="AU42" s="390">
        <f t="shared" si="31"/>
        <v>655.99851915022919</v>
      </c>
      <c r="AV42" s="391"/>
      <c r="BI42" s="1124">
        <f>AG42</f>
        <v>2009</v>
      </c>
      <c r="BJ42" s="391">
        <f t="shared" si="26"/>
        <v>9087</v>
      </c>
      <c r="BK42" s="102">
        <f>AH42</f>
        <v>8713.910243304028</v>
      </c>
      <c r="BL42" s="102">
        <f t="shared" si="37"/>
        <v>-373.08975669597203</v>
      </c>
      <c r="BM42" s="103">
        <f>AO42</f>
        <v>8773</v>
      </c>
      <c r="BN42" s="464">
        <f>BJ42-BM42</f>
        <v>314</v>
      </c>
    </row>
    <row r="43" spans="1:67">
      <c r="A43" s="96">
        <v>40189.333333333336</v>
      </c>
      <c r="B43" s="97" t="str">
        <f t="shared" si="40"/>
        <v>MON</v>
      </c>
      <c r="C43" s="98">
        <f>[7]MoCoinMW!$F$245</f>
        <v>11644</v>
      </c>
      <c r="D43" s="616">
        <f>[6]Hist!L$365</f>
        <v>218.63837233064262</v>
      </c>
      <c r="E43" s="616">
        <f>[6]Hist!M$365</f>
        <v>887.3</v>
      </c>
      <c r="F43" s="616">
        <f>[6]Hist!N$365</f>
        <v>0</v>
      </c>
      <c r="G43" s="616">
        <f>[6]Hist!O$365</f>
        <v>110</v>
      </c>
      <c r="H43" s="616">
        <f>[6]Hist!P$365</f>
        <v>0</v>
      </c>
      <c r="I43" s="100">
        <f>SUM(C43:H43)</f>
        <v>12859.938372330642</v>
      </c>
      <c r="J43" s="338">
        <f>[7]MoCoinMW!$H$245</f>
        <v>2174</v>
      </c>
      <c r="K43" s="557">
        <f t="shared" ref="K43:K46" si="44">I43-J43</f>
        <v>10685.938372330642</v>
      </c>
      <c r="L43" s="616">
        <f>[6]Hist!U$365</f>
        <v>720</v>
      </c>
      <c r="M43" s="1428">
        <v>110</v>
      </c>
      <c r="N43" s="99">
        <f t="shared" si="41"/>
        <v>13579.938372330642</v>
      </c>
      <c r="O43" s="99">
        <f t="shared" si="42"/>
        <v>11405.938372330642</v>
      </c>
      <c r="P43" s="99">
        <f>[6]Hist!$AA$365</f>
        <v>245.89790027587611</v>
      </c>
      <c r="Q43" s="100">
        <f>O43-P43</f>
        <v>11160.040472054765</v>
      </c>
      <c r="R43" s="1203">
        <f t="shared" si="16"/>
        <v>10330.040472054765</v>
      </c>
      <c r="S43" s="105">
        <f>[5]Winter!L38</f>
        <v>29.8</v>
      </c>
      <c r="T43" s="105">
        <f>[5]Winter!J38</f>
        <v>27.4</v>
      </c>
      <c r="U43" s="105">
        <f>[5]Winter!K38</f>
        <v>34.700000000000003</v>
      </c>
      <c r="V43" s="685">
        <f t="shared" si="38"/>
        <v>1622567</v>
      </c>
      <c r="W43" s="102">
        <f>[8]FCST!$BC17</f>
        <v>1629170</v>
      </c>
      <c r="X43" s="355">
        <f>[8]FCST!$DE17</f>
        <v>13111</v>
      </c>
      <c r="Y43" s="561"/>
      <c r="Z43" s="95">
        <f>[8]FCST!$CM17</f>
        <v>60286</v>
      </c>
      <c r="AA43" s="95"/>
      <c r="AB43" s="456">
        <f t="shared" ref="AB43:AB73" si="45">ROUND(AB42*1.005,0)</f>
        <v>14174</v>
      </c>
      <c r="AC43" s="102">
        <f t="shared" si="27"/>
        <v>-3703</v>
      </c>
      <c r="AD43" s="664"/>
      <c r="AG43" s="870">
        <f t="shared" si="14"/>
        <v>2010</v>
      </c>
      <c r="AH43" s="165">
        <f t="shared" si="17"/>
        <v>10330.040472054765</v>
      </c>
      <c r="AI43" s="568">
        <f>T43</f>
        <v>27.4</v>
      </c>
      <c r="AJ43" s="568">
        <f t="shared" si="39"/>
        <v>34.700000000000003</v>
      </c>
      <c r="AK43" s="896">
        <f>S43</f>
        <v>29.8</v>
      </c>
      <c r="AL43" s="165">
        <f t="shared" si="25"/>
        <v>1629170</v>
      </c>
      <c r="AM43" s="709">
        <v>0</v>
      </c>
      <c r="AN43" s="391">
        <v>0</v>
      </c>
      <c r="AO43" s="391">
        <f t="shared" si="18"/>
        <v>10176</v>
      </c>
      <c r="AP43" s="462">
        <f t="shared" si="43"/>
        <v>154.0404720547649</v>
      </c>
      <c r="AQ43" s="823"/>
      <c r="AR43" s="776"/>
      <c r="AS43" s="390"/>
      <c r="AT43" s="390"/>
      <c r="AU43" s="390">
        <f t="shared" si="31"/>
        <v>1616.1302287507369</v>
      </c>
      <c r="AV43" s="391"/>
      <c r="BI43" s="1124">
        <f>AG43</f>
        <v>2010</v>
      </c>
      <c r="BJ43" s="391">
        <f t="shared" si="26"/>
        <v>9068</v>
      </c>
      <c r="BK43" s="102">
        <f>AH43</f>
        <v>10330.040472054765</v>
      </c>
      <c r="BL43" s="102">
        <f>BK43-BJ43</f>
        <v>1262.0404720547649</v>
      </c>
      <c r="BM43" s="103">
        <f>AO43</f>
        <v>10176</v>
      </c>
      <c r="BN43" s="464">
        <f>BJ43-BM43</f>
        <v>-1108</v>
      </c>
    </row>
    <row r="44" spans="1:67">
      <c r="A44" s="96">
        <v>40541.333333333336</v>
      </c>
      <c r="B44" s="97" t="str">
        <f t="shared" si="40"/>
        <v>WED</v>
      </c>
      <c r="C44" s="98">
        <f>[7]MoCoinMW!$F$256</f>
        <v>10381</v>
      </c>
      <c r="D44" s="616">
        <f>[6]Hist!L$376</f>
        <v>44</v>
      </c>
      <c r="E44" s="616">
        <f>[6]Hist!M$376</f>
        <v>0</v>
      </c>
      <c r="F44" s="616">
        <f>[6]Hist!N$376</f>
        <v>0</v>
      </c>
      <c r="G44" s="616">
        <f>[6]Hist!O$376</f>
        <v>109</v>
      </c>
      <c r="H44" s="616">
        <f>[6]Hist!P$376</f>
        <v>0</v>
      </c>
      <c r="I44" s="100">
        <f>SUM(C44:H44)</f>
        <v>10534</v>
      </c>
      <c r="J44" s="338">
        <f>[7]MoCoinMW!$H$256</f>
        <v>1625</v>
      </c>
      <c r="K44" s="557">
        <f t="shared" si="44"/>
        <v>8909</v>
      </c>
      <c r="L44" s="616">
        <f>[6]Hist!U$376</f>
        <v>755</v>
      </c>
      <c r="M44" s="1428">
        <v>110</v>
      </c>
      <c r="N44" s="99">
        <f t="shared" si="41"/>
        <v>11289</v>
      </c>
      <c r="O44" s="99">
        <f t="shared" si="42"/>
        <v>9664</v>
      </c>
      <c r="P44" s="99">
        <f>[6]Hist!$AA$376</f>
        <v>197.47614182078266</v>
      </c>
      <c r="Q44" s="100">
        <f>O44-P44</f>
        <v>9466.5238581792182</v>
      </c>
      <c r="R44" s="1203">
        <f t="shared" si="16"/>
        <v>8601.5238581792182</v>
      </c>
      <c r="S44" s="105">
        <f>[5]Winter!L39</f>
        <v>34.200000000000003</v>
      </c>
      <c r="T44" s="105">
        <f>[5]Winter!J39</f>
        <v>31</v>
      </c>
      <c r="U44" s="105">
        <f>[5]Winter!K39</f>
        <v>40.799999999999997</v>
      </c>
      <c r="V44" s="685">
        <f t="shared" si="38"/>
        <v>1612168</v>
      </c>
      <c r="W44" s="102">
        <f>[8]FCST!$BN17</f>
        <v>1635080</v>
      </c>
      <c r="X44" s="355">
        <f>[8]FCST!$DP17</f>
        <v>29420</v>
      </c>
      <c r="Y44" s="561"/>
      <c r="Z44" s="95">
        <f>[8]FCST!$CX17</f>
        <v>64199</v>
      </c>
      <c r="AA44" s="95"/>
      <c r="AB44" s="456">
        <f t="shared" si="45"/>
        <v>14245</v>
      </c>
      <c r="AC44" s="102">
        <f t="shared" si="27"/>
        <v>-10399</v>
      </c>
      <c r="AD44" s="664"/>
      <c r="AG44" s="870">
        <f t="shared" si="14"/>
        <v>2011</v>
      </c>
      <c r="AH44" s="165">
        <f t="shared" si="17"/>
        <v>8601.5238581792182</v>
      </c>
      <c r="AI44" s="568">
        <f>T44</f>
        <v>31</v>
      </c>
      <c r="AJ44" s="568">
        <f t="shared" si="39"/>
        <v>40.799999999999997</v>
      </c>
      <c r="AK44" s="896">
        <f>S44</f>
        <v>34.200000000000003</v>
      </c>
      <c r="AL44" s="165">
        <f t="shared" si="25"/>
        <v>1635080</v>
      </c>
      <c r="AM44" s="709">
        <v>0.5</v>
      </c>
      <c r="AN44" s="391">
        <v>0</v>
      </c>
      <c r="AO44" s="391">
        <f t="shared" si="18"/>
        <v>8567</v>
      </c>
      <c r="AP44" s="1207">
        <f t="shared" si="43"/>
        <v>34.523858179218223</v>
      </c>
      <c r="AQ44" s="823"/>
      <c r="AR44" s="776"/>
      <c r="AS44" s="390"/>
      <c r="AT44" s="390"/>
      <c r="AU44" s="390">
        <f t="shared" si="31"/>
        <v>-1728.5166138755467</v>
      </c>
      <c r="AV44" s="391"/>
      <c r="BI44" s="1124">
        <f>AG44</f>
        <v>2011</v>
      </c>
      <c r="BJ44" s="391">
        <f t="shared" si="26"/>
        <v>8379</v>
      </c>
      <c r="BK44" s="102">
        <f>AH44</f>
        <v>8601.5238581792182</v>
      </c>
      <c r="BL44" s="102">
        <f>BK44-BJ44</f>
        <v>222.52385817921822</v>
      </c>
      <c r="BM44" s="103">
        <f>AO44</f>
        <v>8567</v>
      </c>
      <c r="BN44" s="464">
        <f>BJ44-BM44</f>
        <v>-188</v>
      </c>
    </row>
    <row r="45" spans="1:67">
      <c r="A45" s="96">
        <v>40912.333333333336</v>
      </c>
      <c r="B45" s="97" t="str">
        <f t="shared" si="40"/>
        <v>WED</v>
      </c>
      <c r="C45" s="98">
        <f>[7]MoCoinMW!$F$269</f>
        <v>8722</v>
      </c>
      <c r="D45" s="616">
        <f>[6]Hist!L$389</f>
        <v>0</v>
      </c>
      <c r="E45" s="616">
        <f>[6]Hist!M$389</f>
        <v>0</v>
      </c>
      <c r="F45" s="616">
        <f>[6]Hist!N$389</f>
        <v>0</v>
      </c>
      <c r="G45" s="616">
        <f>[6]Hist!O$389</f>
        <v>0</v>
      </c>
      <c r="H45" s="616">
        <f>[6]Hist!P$389</f>
        <v>0</v>
      </c>
      <c r="I45" s="100">
        <f>SUM(C45:H45)</f>
        <v>8722</v>
      </c>
      <c r="J45" s="338">
        <f>[7]MoCoinMW!$H$269</f>
        <v>905</v>
      </c>
      <c r="K45" s="557">
        <f t="shared" si="44"/>
        <v>7817</v>
      </c>
      <c r="L45" s="616">
        <f>[6]Hist!U$389</f>
        <v>883</v>
      </c>
      <c r="M45" s="1428">
        <v>110</v>
      </c>
      <c r="N45" s="99">
        <f t="shared" si="41"/>
        <v>9605</v>
      </c>
      <c r="O45" s="99">
        <f t="shared" si="42"/>
        <v>8700</v>
      </c>
      <c r="P45" s="99">
        <f>[6]Hist!$AA$389</f>
        <v>183.59637695908813</v>
      </c>
      <c r="Q45" s="100">
        <f>O45-P45</f>
        <v>8516.403623040911</v>
      </c>
      <c r="R45" s="1203">
        <f t="shared" si="16"/>
        <v>7523.403623040912</v>
      </c>
      <c r="S45" s="105">
        <f>[5]Winter!L40</f>
        <v>35.799999999999997</v>
      </c>
      <c r="T45" s="105">
        <f>[5]Winter!J40</f>
        <v>33.799999999999997</v>
      </c>
      <c r="U45" s="105">
        <f>[5]Winter!K40</f>
        <v>39.9</v>
      </c>
      <c r="V45" s="685">
        <f t="shared" si="38"/>
        <v>1633465</v>
      </c>
      <c r="W45" s="102">
        <f>[8]FCST!$BC19</f>
        <v>1646929</v>
      </c>
      <c r="X45" s="355">
        <f>[8]FCST!$DE19</f>
        <v>19972</v>
      </c>
      <c r="Y45" s="561"/>
      <c r="Z45" s="95">
        <f>[8]FCST!$CM19</f>
        <v>58835</v>
      </c>
      <c r="AA45" s="95"/>
      <c r="AB45" s="456">
        <f t="shared" si="45"/>
        <v>14316</v>
      </c>
      <c r="AC45" s="102">
        <f t="shared" si="27"/>
        <v>21297</v>
      </c>
      <c r="AD45" s="664"/>
      <c r="AG45" s="870">
        <f t="shared" si="14"/>
        <v>2012</v>
      </c>
      <c r="AH45" s="165">
        <f t="shared" si="17"/>
        <v>7523.403623040912</v>
      </c>
      <c r="AI45" s="568">
        <f>T45</f>
        <v>33.799999999999997</v>
      </c>
      <c r="AJ45" s="568">
        <f t="shared" si="39"/>
        <v>39.9</v>
      </c>
      <c r="AK45" s="896">
        <f>S45</f>
        <v>35.799999999999997</v>
      </c>
      <c r="AL45" s="165">
        <f t="shared" si="25"/>
        <v>1646929</v>
      </c>
      <c r="AM45" s="709">
        <v>1</v>
      </c>
      <c r="AN45" s="391">
        <v>0</v>
      </c>
      <c r="AO45" s="391">
        <f>ROUND($AX$26+$AX$27*$AK45+$AX$28*$AL45+$AX$29*$AM45+$AX$30*$AN45,0)</f>
        <v>7579</v>
      </c>
      <c r="AP45" s="1208">
        <f t="shared" si="43"/>
        <v>-55.596376959088047</v>
      </c>
      <c r="AQ45" s="823"/>
      <c r="AR45" s="776"/>
      <c r="AS45" s="390"/>
      <c r="AT45" s="390"/>
      <c r="AU45" s="390">
        <f t="shared" si="31"/>
        <v>-1078.1202351383063</v>
      </c>
      <c r="AV45" s="391"/>
      <c r="BI45" s="1124">
        <f>AG45</f>
        <v>2012</v>
      </c>
      <c r="BJ45" s="391">
        <f t="shared" si="26"/>
        <v>7725</v>
      </c>
      <c r="BK45" s="102">
        <f>AH45</f>
        <v>7523.403623040912</v>
      </c>
      <c r="BL45" s="102">
        <f>BK45-BJ45</f>
        <v>-201.59637695908805</v>
      </c>
      <c r="BM45" s="103">
        <f>AO45</f>
        <v>7579</v>
      </c>
      <c r="BN45" s="464">
        <f>BJ45-BM45</f>
        <v>146</v>
      </c>
    </row>
    <row r="46" spans="1:67">
      <c r="A46" s="96">
        <v>41323.333333333336</v>
      </c>
      <c r="B46" s="97" t="str">
        <f t="shared" si="40"/>
        <v>MON</v>
      </c>
      <c r="C46" s="98">
        <f>[7]MoCoinMW!$F$282</f>
        <v>8032</v>
      </c>
      <c r="D46" s="616">
        <f>[6]Hist!L$402</f>
        <v>0</v>
      </c>
      <c r="E46" s="616">
        <f>[6]Hist!M$402</f>
        <v>0</v>
      </c>
      <c r="F46" s="616">
        <f>[6]Hist!N$402</f>
        <v>0</v>
      </c>
      <c r="G46" s="616">
        <f>[6]Hist!O$402</f>
        <v>0</v>
      </c>
      <c r="H46" s="616">
        <f>[6]Hist!P$402</f>
        <v>0</v>
      </c>
      <c r="I46" s="100">
        <f>SUM(C46:H46)</f>
        <v>8032</v>
      </c>
      <c r="J46" s="338">
        <f>[7]MoCoinMW!$H$282</f>
        <v>832</v>
      </c>
      <c r="K46" s="557">
        <f t="shared" si="44"/>
        <v>7200</v>
      </c>
      <c r="L46" s="616">
        <f>[6]Hist!U$402</f>
        <v>915</v>
      </c>
      <c r="M46" s="1428">
        <f>[6]Hist!$V$401</f>
        <v>124</v>
      </c>
      <c r="N46" s="99">
        <f t="shared" si="41"/>
        <v>8947</v>
      </c>
      <c r="O46" s="99">
        <f t="shared" si="42"/>
        <v>8115</v>
      </c>
      <c r="P46" s="99">
        <f>[6]Hist!$AA$402</f>
        <v>230</v>
      </c>
      <c r="Q46" s="100">
        <f>O46-P46</f>
        <v>7885</v>
      </c>
      <c r="R46" s="1203">
        <f t="shared" si="16"/>
        <v>6846</v>
      </c>
      <c r="S46" s="105">
        <f>[5]Winter!L41</f>
        <v>37.9</v>
      </c>
      <c r="T46" s="105">
        <f>[5]Winter!J41</f>
        <v>35.1</v>
      </c>
      <c r="U46" s="105">
        <f>[5]Winter!K41</f>
        <v>43.7</v>
      </c>
      <c r="V46" s="685">
        <f t="shared" si="38"/>
        <v>1656722</v>
      </c>
      <c r="W46" s="102">
        <f>[8]FCST!$BC20</f>
        <v>1661290</v>
      </c>
      <c r="X46" s="355">
        <f>[8]FCST!$DF20</f>
        <v>11076</v>
      </c>
      <c r="Y46" s="561"/>
      <c r="Z46" s="95">
        <f>[8]FCST!$CN20</f>
        <v>61505</v>
      </c>
      <c r="AA46" s="95"/>
      <c r="AB46" s="456">
        <f t="shared" si="45"/>
        <v>14388</v>
      </c>
      <c r="AC46" s="102">
        <f t="shared" si="27"/>
        <v>23257</v>
      </c>
      <c r="AD46" s="664"/>
      <c r="AG46" s="870">
        <f t="shared" si="14"/>
        <v>2013</v>
      </c>
      <c r="AH46" s="165">
        <f>R46</f>
        <v>6846</v>
      </c>
      <c r="AI46" s="568">
        <f>T46</f>
        <v>35.1</v>
      </c>
      <c r="AJ46" s="568">
        <f t="shared" ref="AJ46" si="46">U46</f>
        <v>43.7</v>
      </c>
      <c r="AK46" s="896">
        <f>S46</f>
        <v>37.9</v>
      </c>
      <c r="AL46" s="165">
        <f t="shared" si="25"/>
        <v>1661290</v>
      </c>
      <c r="AM46" s="709">
        <v>1</v>
      </c>
      <c r="AN46" s="391">
        <v>0.5</v>
      </c>
      <c r="AO46" s="391">
        <f>ROUND($AX$26+$AX$27*$AK46+$AX$28*$AL46+$AX$29*$AM46+$AX$30*$AN46,0)</f>
        <v>6747</v>
      </c>
      <c r="AP46" s="1209">
        <f t="shared" si="43"/>
        <v>99</v>
      </c>
      <c r="AQ46" s="823"/>
      <c r="AR46" s="391"/>
      <c r="AS46" s="390"/>
      <c r="AT46" s="390"/>
      <c r="AU46" s="390">
        <f t="shared" si="31"/>
        <v>-677.40362304091195</v>
      </c>
      <c r="AV46" s="391"/>
      <c r="BI46" s="1202">
        <f>AG46</f>
        <v>2013</v>
      </c>
      <c r="BJ46" s="391">
        <f t="shared" ref="BJ46" si="47">ROUND($AX$26+$AX$27*$AK$63+$AX$28*$AL46+$AX$29*AM46+AX$30*AN46,0)</f>
        <v>7333</v>
      </c>
      <c r="BK46" s="102">
        <f>AH46</f>
        <v>6846</v>
      </c>
      <c r="BL46" s="102">
        <f>BK46-BJ46</f>
        <v>-487</v>
      </c>
      <c r="BM46" s="103">
        <f>AO46</f>
        <v>6747</v>
      </c>
      <c r="BN46" s="464">
        <f>BJ46-BM46</f>
        <v>586</v>
      </c>
    </row>
    <row r="47" spans="1:67">
      <c r="A47" s="656">
        <f>A46+336</f>
        <v>41659.333333333336</v>
      </c>
      <c r="I47" s="657"/>
      <c r="J47" s="657"/>
      <c r="K47" s="526">
        <f>SUM(AQ47:AR47)+('Monthly Peaks'!B567-'Monthly Peaks'!B487)</f>
        <v>8745.5755860249992</v>
      </c>
      <c r="L47" s="629"/>
      <c r="M47" s="767"/>
      <c r="R47" s="865">
        <f>K47-('Monthly Peaks'!B567+'Monthly Peaks'!B607)</f>
        <v>7813.9999999999991</v>
      </c>
      <c r="V47" s="686">
        <f t="shared" ref="V47:V58" si="48">W47-X47+Z$31</f>
        <v>1672885.847757292</v>
      </c>
      <c r="W47" s="102">
        <f>[8]FCST!$BD21</f>
        <v>1682451.5950996799</v>
      </c>
      <c r="X47" s="95">
        <f t="shared" ref="X47:X53" si="49">Y47*Z47</f>
        <v>16073.747342387851</v>
      </c>
      <c r="Y47" s="561">
        <f t="shared" ref="Y47:Y73" si="50">$Y$5</f>
        <v>0.25719999999999998</v>
      </c>
      <c r="Z47" s="95">
        <f>[8]FCST!$CM21</f>
        <v>62495.129636033642</v>
      </c>
      <c r="AA47" s="95">
        <f>[8]FCST!$BU21</f>
        <v>1487979.2770484199</v>
      </c>
      <c r="AB47" s="456">
        <f t="shared" si="45"/>
        <v>14460</v>
      </c>
      <c r="AC47" s="102">
        <f t="shared" si="27"/>
        <v>16163.84775729198</v>
      </c>
      <c r="AD47" s="664"/>
      <c r="AG47" s="391">
        <f t="shared" si="14"/>
        <v>2014</v>
      </c>
      <c r="AH47" s="109"/>
      <c r="AI47" s="1008">
        <f t="shared" ref="AI47:AI63" si="51">$T$74</f>
        <v>32.5</v>
      </c>
      <c r="AJ47" s="1008">
        <f t="shared" ref="AJ47:AJ63" si="52">$U$74</f>
        <v>40.4</v>
      </c>
      <c r="AK47" s="897">
        <f t="shared" ref="AK47:AK63" si="53">$S$74</f>
        <v>35.1</v>
      </c>
      <c r="AL47" s="165">
        <f t="shared" si="25"/>
        <v>1682451.5950996799</v>
      </c>
      <c r="AM47" s="391">
        <v>0.6</v>
      </c>
      <c r="AN47" s="391">
        <v>0</v>
      </c>
      <c r="AO47" s="822"/>
      <c r="AP47" s="825"/>
      <c r="AQ47" s="826">
        <v>25</v>
      </c>
      <c r="AR47" s="1408">
        <f>ROUND($AX$26+$AX$27*$AK47+$AX$28*$AL47+$AX$29*$AM47+$AX$30*$AN47,0)-AQ47+400</f>
        <v>8887</v>
      </c>
      <c r="AS47" s="390">
        <f>[11]Winter!$AR47</f>
        <v>10060</v>
      </c>
      <c r="AT47" s="390">
        <f t="shared" ref="AT47:AT53" si="54">AR47-AS47</f>
        <v>-1173</v>
      </c>
      <c r="AU47" s="361">
        <f>AR47-AH46</f>
        <v>2041</v>
      </c>
      <c r="AV47" s="391"/>
      <c r="AW47" s="28"/>
      <c r="AX47" s="28"/>
      <c r="AY47" s="28"/>
      <c r="AZ47" s="28"/>
      <c r="BA47" s="28"/>
      <c r="BB47" s="28"/>
      <c r="BC47" s="28"/>
      <c r="BD47" s="28"/>
      <c r="BE47" s="28"/>
    </row>
    <row r="48" spans="1:67">
      <c r="A48" s="656">
        <f t="shared" ref="A48:A52" si="55">A47+366</f>
        <v>42025.333333333336</v>
      </c>
      <c r="I48" s="657"/>
      <c r="J48" s="657"/>
      <c r="K48" s="526">
        <f>SUM(AQ48:AR48)+('Monthly Peaks'!B568-'Monthly Peaks'!B488)</f>
        <v>8677.1022619855503</v>
      </c>
      <c r="L48" s="629"/>
      <c r="M48" s="767"/>
      <c r="R48" s="865">
        <f>K48-('Monthly Peaks'!B568+'Monthly Peaks'!B608)</f>
        <v>7660</v>
      </c>
      <c r="V48" s="686">
        <f t="shared" si="48"/>
        <v>1695212.7991794795</v>
      </c>
      <c r="W48" s="102">
        <f>[8]FCST!$BC22</f>
        <v>1705014.2764886201</v>
      </c>
      <c r="X48" s="95">
        <f t="shared" si="49"/>
        <v>16309.47730914067</v>
      </c>
      <c r="Y48" s="561">
        <f t="shared" si="50"/>
        <v>0.25719999999999998</v>
      </c>
      <c r="Z48" s="95">
        <f>[8]FCST!$CM22</f>
        <v>63411.653612522045</v>
      </c>
      <c r="AA48" s="95">
        <f>[8]FCST!$BU22</f>
        <v>1509801.2764886201</v>
      </c>
      <c r="AB48" s="456">
        <f t="shared" si="45"/>
        <v>14532</v>
      </c>
      <c r="AC48" s="102">
        <f t="shared" si="27"/>
        <v>22326.9514221875</v>
      </c>
      <c r="AD48" s="664"/>
      <c r="AG48" s="391">
        <f t="shared" si="14"/>
        <v>2015</v>
      </c>
      <c r="AH48" s="109"/>
      <c r="AI48" s="1008">
        <f t="shared" si="51"/>
        <v>32.5</v>
      </c>
      <c r="AJ48" s="1008">
        <f t="shared" si="52"/>
        <v>40.4</v>
      </c>
      <c r="AK48" s="897">
        <f t="shared" si="53"/>
        <v>35.1</v>
      </c>
      <c r="AL48" s="165">
        <f t="shared" si="25"/>
        <v>1705014.2764886201</v>
      </c>
      <c r="AM48" s="391">
        <v>0.3</v>
      </c>
      <c r="AN48" s="391">
        <v>0</v>
      </c>
      <c r="AO48" s="822"/>
      <c r="AP48" s="825"/>
      <c r="AQ48" s="826">
        <v>25</v>
      </c>
      <c r="AR48" s="1408">
        <f t="shared" ref="AR48:AR73" si="56">ROUND($AX$26+$AX$27*$AK48+$AX$28*$AL48+$AX$29*$AM48+$AX$30*$AN48,0)-AQ48-300</f>
        <v>8754</v>
      </c>
      <c r="AS48" s="390">
        <f>[11]Winter!$AR48</f>
        <v>10248</v>
      </c>
      <c r="AT48" s="390">
        <f t="shared" si="54"/>
        <v>-1494</v>
      </c>
      <c r="AU48" s="361">
        <f t="shared" ref="AU48:AU63" si="57">AR48-AR47</f>
        <v>-133</v>
      </c>
      <c r="AV48" s="391"/>
      <c r="AW48" s="28"/>
      <c r="AX48" s="28"/>
      <c r="AY48" s="28"/>
      <c r="AZ48" s="28"/>
      <c r="BA48" s="28"/>
      <c r="BB48" s="28"/>
      <c r="BC48" s="28"/>
      <c r="BD48" s="28"/>
      <c r="BE48" s="28"/>
    </row>
    <row r="49" spans="1:57">
      <c r="A49" s="656">
        <f t="shared" si="55"/>
        <v>42391.333333333336</v>
      </c>
      <c r="I49" s="657"/>
      <c r="J49" s="657"/>
      <c r="K49" s="526">
        <f>SUM(AQ49:AR49)+('Monthly Peaks'!B569-'Monthly Peaks'!B489)</f>
        <v>9027.4509541480729</v>
      </c>
      <c r="L49" s="629"/>
      <c r="M49" s="767"/>
      <c r="R49" s="865">
        <f>K49-('Monthly Peaks'!B569+'Monthly Peaks'!B609)</f>
        <v>7944</v>
      </c>
      <c r="V49" s="686">
        <f t="shared" si="48"/>
        <v>1721696.5883018775</v>
      </c>
      <c r="W49" s="102">
        <f>[8]FCST!$BC23</f>
        <v>1731757.1926768499</v>
      </c>
      <c r="X49" s="95">
        <f t="shared" si="49"/>
        <v>16568.604374972401</v>
      </c>
      <c r="Y49" s="561">
        <f t="shared" si="50"/>
        <v>0.25719999999999998</v>
      </c>
      <c r="Z49" s="95">
        <f>[8]FCST!$CM23</f>
        <v>64419.146092427698</v>
      </c>
      <c r="AA49" s="95">
        <f>[8]FCST!$BU23</f>
        <v>1533789.1926768499</v>
      </c>
      <c r="AB49" s="456">
        <f t="shared" si="45"/>
        <v>14605</v>
      </c>
      <c r="AC49" s="102">
        <f t="shared" si="27"/>
        <v>26483.789122398011</v>
      </c>
      <c r="AD49" s="664"/>
      <c r="AG49" s="391">
        <f t="shared" si="14"/>
        <v>2016</v>
      </c>
      <c r="AH49" s="109"/>
      <c r="AI49" s="1008">
        <f t="shared" si="51"/>
        <v>32.5</v>
      </c>
      <c r="AJ49" s="1008">
        <f t="shared" si="52"/>
        <v>40.4</v>
      </c>
      <c r="AK49" s="897">
        <f t="shared" si="53"/>
        <v>35.1</v>
      </c>
      <c r="AL49" s="165">
        <f t="shared" si="25"/>
        <v>1731757.1926768499</v>
      </c>
      <c r="AM49" s="391">
        <f t="shared" ref="AM49" si="58">AM48-0.1</f>
        <v>0.19999999999999998</v>
      </c>
      <c r="AN49" s="391">
        <v>0</v>
      </c>
      <c r="AO49" s="822"/>
      <c r="AP49" s="825"/>
      <c r="AQ49" s="826">
        <v>25</v>
      </c>
      <c r="AR49" s="1408">
        <f t="shared" si="56"/>
        <v>9055</v>
      </c>
      <c r="AS49" s="390">
        <f>[11]Winter!$AR49</f>
        <v>10441</v>
      </c>
      <c r="AT49" s="390">
        <f t="shared" si="54"/>
        <v>-1386</v>
      </c>
      <c r="AU49" s="361">
        <f t="shared" si="57"/>
        <v>301</v>
      </c>
      <c r="AV49" s="391"/>
      <c r="AW49" s="798"/>
      <c r="AX49" s="798"/>
      <c r="AY49" s="28"/>
      <c r="AZ49" s="28"/>
      <c r="BA49" s="28"/>
      <c r="BB49" s="28"/>
      <c r="BC49" s="28"/>
      <c r="BD49" s="28"/>
      <c r="BE49" s="28"/>
    </row>
    <row r="50" spans="1:57">
      <c r="A50" s="656">
        <f t="shared" si="55"/>
        <v>42757.333333333336</v>
      </c>
      <c r="I50" s="657"/>
      <c r="J50" s="657"/>
      <c r="K50" s="526">
        <f>SUM(AQ50:AR50)+('Monthly Peaks'!B570-'Monthly Peaks'!B490)</f>
        <v>9374.5122117024694</v>
      </c>
      <c r="L50" s="629"/>
      <c r="R50" s="865">
        <f>K50-('Monthly Peaks'!B570+'Monthly Peaks'!B610)</f>
        <v>8210</v>
      </c>
      <c r="V50" s="686">
        <f t="shared" si="48"/>
        <v>1747901.5177190644</v>
      </c>
      <c r="W50" s="102">
        <f>[8]FCST!$BC24</f>
        <v>1758218.9137335799</v>
      </c>
      <c r="X50" s="95">
        <f t="shared" si="49"/>
        <v>16825.396014515623</v>
      </c>
      <c r="Y50" s="561">
        <f t="shared" si="50"/>
        <v>0.25719999999999998</v>
      </c>
      <c r="Z50" s="95">
        <f>[8]FCST!$CM24</f>
        <v>65417.558376810361</v>
      </c>
      <c r="AA50" s="95">
        <f>[8]FCST!$BU24</f>
        <v>1557560.9137335799</v>
      </c>
      <c r="AB50" s="456">
        <f t="shared" si="45"/>
        <v>14678</v>
      </c>
      <c r="AC50" s="102">
        <f t="shared" si="27"/>
        <v>26204.929417186882</v>
      </c>
      <c r="AD50" s="664"/>
      <c r="AG50" s="391">
        <f t="shared" si="14"/>
        <v>2017</v>
      </c>
      <c r="AH50" s="109"/>
      <c r="AI50" s="1008">
        <f t="shared" si="51"/>
        <v>32.5</v>
      </c>
      <c r="AJ50" s="1008">
        <f t="shared" si="52"/>
        <v>40.4</v>
      </c>
      <c r="AK50" s="897">
        <f t="shared" si="53"/>
        <v>35.1</v>
      </c>
      <c r="AL50" s="165">
        <f t="shared" si="25"/>
        <v>1758218.9137335799</v>
      </c>
      <c r="AM50" s="391">
        <v>0.1</v>
      </c>
      <c r="AN50" s="391">
        <v>0</v>
      </c>
      <c r="AO50" s="822"/>
      <c r="AP50" s="825"/>
      <c r="AQ50" s="826">
        <v>25</v>
      </c>
      <c r="AR50" s="1408">
        <f t="shared" si="56"/>
        <v>9355</v>
      </c>
      <c r="AS50" s="390">
        <f>[11]Winter!$AR50</f>
        <v>10633</v>
      </c>
      <c r="AT50" s="390">
        <f t="shared" si="54"/>
        <v>-1278</v>
      </c>
      <c r="AU50" s="361">
        <f t="shared" si="57"/>
        <v>300</v>
      </c>
      <c r="AV50" s="391"/>
      <c r="AW50" s="1"/>
      <c r="AX50" s="1"/>
      <c r="AY50" s="28"/>
      <c r="AZ50" s="28"/>
      <c r="BA50" s="28"/>
      <c r="BB50" s="28"/>
      <c r="BC50" s="28"/>
      <c r="BD50" s="28"/>
      <c r="BE50" s="28"/>
    </row>
    <row r="51" spans="1:57">
      <c r="A51" s="656">
        <f t="shared" si="55"/>
        <v>43123.333333333336</v>
      </c>
      <c r="I51" s="657"/>
      <c r="J51" s="657"/>
      <c r="K51" s="526">
        <f>SUM(AQ51:AR51)+('Monthly Peaks'!B571-'Monthly Peaks'!B491)</f>
        <v>9701.7110167581541</v>
      </c>
      <c r="L51" s="629"/>
      <c r="R51" s="865">
        <f>K51-('Monthly Peaks'!B571+'Monthly Peaks'!B611)</f>
        <v>8485</v>
      </c>
      <c r="V51" s="686">
        <f t="shared" si="48"/>
        <v>1773730.7736738464</v>
      </c>
      <c r="W51" s="102">
        <f>[8]FCST!$BC25</f>
        <v>1784301.3939340799</v>
      </c>
      <c r="X51" s="95">
        <f t="shared" si="49"/>
        <v>17078.620260233503</v>
      </c>
      <c r="Y51" s="561">
        <f t="shared" si="50"/>
        <v>0.25719999999999998</v>
      </c>
      <c r="Z51" s="95">
        <f>[8]FCST!$CM25</f>
        <v>66402.100545231355</v>
      </c>
      <c r="AA51" s="95">
        <f>[8]FCST!$BU25</f>
        <v>1581002.3939340799</v>
      </c>
      <c r="AB51" s="456">
        <f t="shared" si="45"/>
        <v>14751</v>
      </c>
      <c r="AC51" s="102">
        <f t="shared" si="27"/>
        <v>25829.255954782013</v>
      </c>
      <c r="AD51" s="664"/>
      <c r="AG51" s="391">
        <f t="shared" si="14"/>
        <v>2018</v>
      </c>
      <c r="AH51" s="109"/>
      <c r="AI51" s="1008">
        <f t="shared" si="51"/>
        <v>32.5</v>
      </c>
      <c r="AJ51" s="1008">
        <f t="shared" si="52"/>
        <v>40.4</v>
      </c>
      <c r="AK51" s="897">
        <f t="shared" si="53"/>
        <v>35.1</v>
      </c>
      <c r="AL51" s="165">
        <f t="shared" si="25"/>
        <v>1784301.3939340799</v>
      </c>
      <c r="AM51" s="391">
        <v>0</v>
      </c>
      <c r="AN51" s="391">
        <v>0</v>
      </c>
      <c r="AO51" s="822"/>
      <c r="AP51" s="825"/>
      <c r="AQ51" s="826">
        <v>25</v>
      </c>
      <c r="AR51" s="1408">
        <f t="shared" si="56"/>
        <v>9653</v>
      </c>
      <c r="AS51" s="390">
        <f>[11]Winter!$AR51</f>
        <v>10832</v>
      </c>
      <c r="AT51" s="390">
        <f t="shared" si="54"/>
        <v>-1179</v>
      </c>
      <c r="AU51" s="361">
        <f t="shared" si="57"/>
        <v>298</v>
      </c>
      <c r="AV51" s="391"/>
      <c r="AW51" s="1"/>
      <c r="AX51" s="1"/>
      <c r="AY51" s="28"/>
      <c r="AZ51" s="28"/>
      <c r="BA51" s="28"/>
      <c r="BB51" s="28"/>
      <c r="BC51" s="28"/>
      <c r="BD51" s="28"/>
      <c r="BE51" s="28"/>
    </row>
    <row r="52" spans="1:57">
      <c r="A52" s="656">
        <f t="shared" si="55"/>
        <v>43489.333333333336</v>
      </c>
      <c r="I52" s="657"/>
      <c r="J52" s="657"/>
      <c r="K52" s="526">
        <f>SUM(AQ52:AR52)+('Monthly Peaks'!B572-'Monthly Peaks'!B492)</f>
        <v>9837.1396315610546</v>
      </c>
      <c r="L52" s="629"/>
      <c r="R52" s="865">
        <f>K52-('Monthly Peaks'!B572+'Monthly Peaks'!B612)</f>
        <v>8571</v>
      </c>
      <c r="V52" s="686">
        <f t="shared" si="48"/>
        <v>1798082.1611449677</v>
      </c>
      <c r="W52" s="102">
        <f>[8]FCST!$BC26</f>
        <v>1808891.73416855</v>
      </c>
      <c r="X52" s="95">
        <f t="shared" si="49"/>
        <v>17317.573023582343</v>
      </c>
      <c r="Y52" s="561">
        <f t="shared" si="50"/>
        <v>0.25719999999999998</v>
      </c>
      <c r="Z52" s="95">
        <f>[8]FCST!$CM26</f>
        <v>67331.154835079098</v>
      </c>
      <c r="AA52" s="95">
        <f>[8]FCST!$BU26</f>
        <v>1603122.73416855</v>
      </c>
      <c r="AB52" s="456">
        <f t="shared" si="45"/>
        <v>14825</v>
      </c>
      <c r="AC52" s="102">
        <f t="shared" si="27"/>
        <v>24351.38747112127</v>
      </c>
      <c r="AD52" s="664"/>
      <c r="AG52" s="391">
        <f t="shared" si="14"/>
        <v>2019</v>
      </c>
      <c r="AH52" s="109"/>
      <c r="AI52" s="1008">
        <f t="shared" si="51"/>
        <v>32.5</v>
      </c>
      <c r="AJ52" s="1008">
        <f t="shared" si="52"/>
        <v>40.4</v>
      </c>
      <c r="AK52" s="897">
        <f t="shared" si="53"/>
        <v>35.1</v>
      </c>
      <c r="AL52" s="165">
        <f t="shared" si="25"/>
        <v>1808891.73416855</v>
      </c>
      <c r="AM52" s="391">
        <v>0</v>
      </c>
      <c r="AN52" s="391">
        <v>0</v>
      </c>
      <c r="AO52" s="822"/>
      <c r="AP52" s="825"/>
      <c r="AQ52" s="826">
        <v>25</v>
      </c>
      <c r="AR52" s="1408">
        <f t="shared" si="56"/>
        <v>9797</v>
      </c>
      <c r="AS52" s="390">
        <f>[11]Winter!$AR52</f>
        <v>11034</v>
      </c>
      <c r="AT52" s="390">
        <f t="shared" si="54"/>
        <v>-1237</v>
      </c>
      <c r="AU52" s="361">
        <f t="shared" si="57"/>
        <v>144</v>
      </c>
      <c r="AV52" s="391"/>
      <c r="AW52" s="1"/>
      <c r="AX52" s="1"/>
      <c r="AY52" s="28"/>
      <c r="AZ52" s="28"/>
      <c r="BA52" s="28"/>
      <c r="BB52" s="28"/>
      <c r="BC52" s="28"/>
      <c r="BD52" s="28"/>
      <c r="BE52" s="28"/>
    </row>
    <row r="53" spans="1:57">
      <c r="A53" s="656">
        <f t="shared" ref="A53:A73" si="59">A52+365</f>
        <v>43854.333333333336</v>
      </c>
      <c r="I53" s="657"/>
      <c r="J53" s="657"/>
      <c r="K53" s="526">
        <f>SUM(AQ53:AR53)+('Monthly Peaks'!B573-'Monthly Peaks'!B493)</f>
        <v>9994.0427931670529</v>
      </c>
      <c r="L53" s="629"/>
      <c r="R53" s="865">
        <f>K53-('Monthly Peaks'!B573+'Monthly Peaks'!B613)</f>
        <v>8672</v>
      </c>
      <c r="V53" s="686">
        <f t="shared" si="48"/>
        <v>1821501.1040658008</v>
      </c>
      <c r="W53" s="102">
        <f>[8]FCST!$BC27</f>
        <v>1832540.80134222</v>
      </c>
      <c r="X53" s="95">
        <f t="shared" si="49"/>
        <v>17547.6972764192</v>
      </c>
      <c r="Y53" s="561">
        <f t="shared" si="50"/>
        <v>0.25719999999999998</v>
      </c>
      <c r="Z53" s="95">
        <f>[8]FCST!$CM27</f>
        <v>68225.883656373248</v>
      </c>
      <c r="AA53" s="95">
        <f>[8]FCST!$BU27</f>
        <v>1624425.80134222</v>
      </c>
      <c r="AB53" s="456">
        <f t="shared" si="45"/>
        <v>14899</v>
      </c>
      <c r="AC53" s="102">
        <f t="shared" si="27"/>
        <v>23418.942920833128</v>
      </c>
      <c r="AD53" s="664"/>
      <c r="AG53" s="391">
        <f t="shared" si="14"/>
        <v>2020</v>
      </c>
      <c r="AH53" s="109"/>
      <c r="AI53" s="1008">
        <f t="shared" si="51"/>
        <v>32.5</v>
      </c>
      <c r="AJ53" s="1008">
        <f t="shared" si="52"/>
        <v>40.4</v>
      </c>
      <c r="AK53" s="897">
        <f t="shared" si="53"/>
        <v>35.1</v>
      </c>
      <c r="AL53" s="165">
        <f t="shared" si="25"/>
        <v>1832540.80134222</v>
      </c>
      <c r="AM53" s="391">
        <v>0</v>
      </c>
      <c r="AN53" s="391">
        <v>0</v>
      </c>
      <c r="AO53" s="822"/>
      <c r="AP53" s="825"/>
      <c r="AQ53" s="826">
        <v>25</v>
      </c>
      <c r="AR53" s="1408">
        <f t="shared" si="56"/>
        <v>9935</v>
      </c>
      <c r="AS53" s="390">
        <f>[11]Winter!$AR53</f>
        <v>11235</v>
      </c>
      <c r="AT53" s="390">
        <f t="shared" si="54"/>
        <v>-1300</v>
      </c>
      <c r="AU53" s="361">
        <f t="shared" si="57"/>
        <v>138</v>
      </c>
      <c r="AV53" s="391"/>
      <c r="AW53" s="1"/>
      <c r="AX53" s="1"/>
      <c r="AY53" s="28"/>
      <c r="AZ53" s="28"/>
      <c r="BA53" s="28"/>
      <c r="BB53" s="28"/>
      <c r="BC53" s="28"/>
      <c r="BD53" s="28"/>
      <c r="BE53" s="28"/>
    </row>
    <row r="54" spans="1:57">
      <c r="A54" s="656">
        <f t="shared" si="59"/>
        <v>44219.333333333336</v>
      </c>
      <c r="I54" s="657"/>
      <c r="J54" s="657"/>
      <c r="K54" s="526"/>
      <c r="L54" s="629"/>
      <c r="V54" s="686">
        <f t="shared" si="48"/>
        <v>1844339.0261819263</v>
      </c>
      <c r="W54" s="102">
        <f>[8]FCST!$BC28</f>
        <v>1855603.28901761</v>
      </c>
      <c r="X54" s="95">
        <f t="shared" ref="X54:X63" si="60">Y54*Z54</f>
        <v>17772.262835683829</v>
      </c>
      <c r="Y54" s="561">
        <f t="shared" si="50"/>
        <v>0.25719999999999998</v>
      </c>
      <c r="Z54" s="95">
        <f>[8]FCST!$CM28</f>
        <v>69099.000138739619</v>
      </c>
      <c r="AA54" s="95">
        <f>[8]FCST!$BU28</f>
        <v>1645214.28901761</v>
      </c>
      <c r="AB54" s="456">
        <f t="shared" si="45"/>
        <v>14973</v>
      </c>
      <c r="AC54" s="102">
        <f t="shared" si="27"/>
        <v>22837.922116125468</v>
      </c>
      <c r="AD54" s="664"/>
      <c r="AG54" s="391">
        <f t="shared" si="14"/>
        <v>2021</v>
      </c>
      <c r="AH54" s="109"/>
      <c r="AI54" s="1008">
        <f t="shared" si="51"/>
        <v>32.5</v>
      </c>
      <c r="AJ54" s="1008">
        <f t="shared" si="52"/>
        <v>40.4</v>
      </c>
      <c r="AK54" s="897">
        <f t="shared" si="53"/>
        <v>35.1</v>
      </c>
      <c r="AL54" s="165">
        <f t="shared" si="25"/>
        <v>1855603.28901761</v>
      </c>
      <c r="AM54" s="391">
        <v>0</v>
      </c>
      <c r="AN54" s="391">
        <v>0</v>
      </c>
      <c r="AO54" s="822"/>
      <c r="AP54" s="825"/>
      <c r="AQ54" s="826">
        <v>25</v>
      </c>
      <c r="AR54" s="1408">
        <f t="shared" si="56"/>
        <v>10071</v>
      </c>
      <c r="AS54" s="390">
        <f>[11]Winter!$AR54</f>
        <v>11435</v>
      </c>
      <c r="AT54" s="390">
        <f t="shared" ref="AT54:AT63" si="61">AR54-AS54</f>
        <v>-1364</v>
      </c>
      <c r="AU54" s="361">
        <f t="shared" si="57"/>
        <v>136</v>
      </c>
      <c r="AV54" s="391"/>
      <c r="AW54" s="1"/>
      <c r="AX54" s="1"/>
      <c r="AY54" s="28"/>
      <c r="AZ54" s="28"/>
      <c r="BA54" s="28"/>
      <c r="BB54" s="28"/>
      <c r="BC54" s="28"/>
      <c r="BD54" s="28"/>
      <c r="BE54" s="28"/>
    </row>
    <row r="55" spans="1:57">
      <c r="A55" s="656">
        <f t="shared" si="59"/>
        <v>44584.333333333336</v>
      </c>
      <c r="I55" s="657"/>
      <c r="J55" s="657"/>
      <c r="K55" s="526"/>
      <c r="L55" s="629"/>
      <c r="V55" s="686">
        <f t="shared" si="48"/>
        <v>1866486.449297156</v>
      </c>
      <c r="W55" s="102">
        <f>[8]FCST!$BC29</f>
        <v>1877968.7309435001</v>
      </c>
      <c r="X55" s="95">
        <f t="shared" si="60"/>
        <v>17990.281646344065</v>
      </c>
      <c r="Y55" s="561">
        <f t="shared" si="50"/>
        <v>0.25719999999999998</v>
      </c>
      <c r="Z55" s="95">
        <f>[8]FCST!$CM29</f>
        <v>69946.662699627006</v>
      </c>
      <c r="AA55" s="95">
        <f>[8]FCST!$BU29</f>
        <v>1665396.7309435001</v>
      </c>
      <c r="AB55" s="456">
        <f t="shared" si="45"/>
        <v>15048</v>
      </c>
      <c r="AC55" s="102">
        <f t="shared" si="27"/>
        <v>22147.4231152297</v>
      </c>
      <c r="AD55" s="664"/>
      <c r="AG55" s="391">
        <f t="shared" si="14"/>
        <v>2022</v>
      </c>
      <c r="AH55" s="109"/>
      <c r="AI55" s="1008">
        <f t="shared" si="51"/>
        <v>32.5</v>
      </c>
      <c r="AJ55" s="1008">
        <f t="shared" si="52"/>
        <v>40.4</v>
      </c>
      <c r="AK55" s="897">
        <f t="shared" si="53"/>
        <v>35.1</v>
      </c>
      <c r="AL55" s="165">
        <f t="shared" si="25"/>
        <v>1877968.7309435001</v>
      </c>
      <c r="AM55" s="391">
        <v>0</v>
      </c>
      <c r="AN55" s="391">
        <v>0</v>
      </c>
      <c r="AO55" s="822"/>
      <c r="AP55" s="825"/>
      <c r="AQ55" s="826">
        <v>25</v>
      </c>
      <c r="AR55" s="1408">
        <f t="shared" si="56"/>
        <v>10202</v>
      </c>
      <c r="AS55" s="390">
        <f>[11]Winter!$AR55</f>
        <v>11631</v>
      </c>
      <c r="AT55" s="390">
        <f t="shared" si="61"/>
        <v>-1429</v>
      </c>
      <c r="AU55" s="361">
        <f t="shared" si="57"/>
        <v>131</v>
      </c>
      <c r="AV55" s="391"/>
      <c r="AW55" s="28"/>
      <c r="AX55" s="28"/>
      <c r="AY55" s="28"/>
      <c r="AZ55" s="28"/>
      <c r="BA55" s="28"/>
      <c r="BB55" s="28"/>
      <c r="BC55" s="28"/>
      <c r="BD55" s="28"/>
      <c r="BE55" s="28"/>
    </row>
    <row r="56" spans="1:57">
      <c r="A56" s="656">
        <f t="shared" si="59"/>
        <v>44949.333333333336</v>
      </c>
      <c r="I56" s="657"/>
      <c r="J56" s="657"/>
      <c r="K56" s="526"/>
      <c r="L56" s="629"/>
      <c r="V56" s="686">
        <f t="shared" si="48"/>
        <v>1887645.5242695331</v>
      </c>
      <c r="W56" s="102">
        <f>[8]FCST!$BC30</f>
        <v>1899336.2000821</v>
      </c>
      <c r="X56" s="95">
        <f t="shared" si="60"/>
        <v>18198.675812566878</v>
      </c>
      <c r="Y56" s="561">
        <f t="shared" si="50"/>
        <v>0.25719999999999998</v>
      </c>
      <c r="Z56" s="95">
        <f>[8]FCST!$CM30</f>
        <v>70756.904403448207</v>
      </c>
      <c r="AA56" s="95">
        <f>[8]FCST!$BU30</f>
        <v>1684688.2000821</v>
      </c>
      <c r="AB56" s="456">
        <f t="shared" si="45"/>
        <v>15123</v>
      </c>
      <c r="AC56" s="102">
        <f t="shared" si="27"/>
        <v>21159.074972377159</v>
      </c>
      <c r="AD56" s="664"/>
      <c r="AG56" s="391">
        <f t="shared" si="14"/>
        <v>2023</v>
      </c>
      <c r="AH56" s="109"/>
      <c r="AI56" s="1008">
        <f t="shared" si="51"/>
        <v>32.5</v>
      </c>
      <c r="AJ56" s="1008">
        <f t="shared" si="52"/>
        <v>40.4</v>
      </c>
      <c r="AK56" s="897">
        <f t="shared" si="53"/>
        <v>35.1</v>
      </c>
      <c r="AL56" s="165">
        <f t="shared" si="25"/>
        <v>1899336.2000821</v>
      </c>
      <c r="AM56" s="391">
        <v>0</v>
      </c>
      <c r="AN56" s="391">
        <v>0</v>
      </c>
      <c r="AO56" s="822"/>
      <c r="AP56" s="825"/>
      <c r="AQ56" s="826">
        <v>25</v>
      </c>
      <c r="AR56" s="1408">
        <f t="shared" si="56"/>
        <v>10327</v>
      </c>
      <c r="AS56" s="390">
        <f>[11]Winter!$AR56</f>
        <v>11825</v>
      </c>
      <c r="AT56" s="390">
        <f t="shared" si="61"/>
        <v>-1498</v>
      </c>
      <c r="AU56" s="361">
        <f t="shared" si="57"/>
        <v>125</v>
      </c>
      <c r="AV56" s="391"/>
      <c r="AW56" s="28"/>
      <c r="AX56" s="28"/>
      <c r="AY56" s="28"/>
      <c r="AZ56" s="28"/>
      <c r="BA56" s="28"/>
      <c r="BB56" s="28"/>
      <c r="BC56" s="28"/>
      <c r="BD56" s="28"/>
      <c r="BE56" s="28"/>
    </row>
    <row r="57" spans="1:57">
      <c r="A57" s="656">
        <f t="shared" si="59"/>
        <v>45314.333333333336</v>
      </c>
      <c r="I57" s="657"/>
      <c r="J57" s="657"/>
      <c r="K57" s="526"/>
      <c r="L57" s="629"/>
      <c r="V57" s="686">
        <f t="shared" si="48"/>
        <v>1907806.0149260419</v>
      </c>
      <c r="W57" s="102">
        <f>[8]FCST!$BC31</f>
        <v>1919695.56688496</v>
      </c>
      <c r="X57" s="95">
        <f t="shared" si="60"/>
        <v>18397.551958918091</v>
      </c>
      <c r="Y57" s="561">
        <f t="shared" si="50"/>
        <v>0.25719999999999998</v>
      </c>
      <c r="Z57" s="95">
        <f>[8]FCST!$CM31</f>
        <v>71530.139809168322</v>
      </c>
      <c r="AA57" s="95">
        <f>[8]FCST!$BU31</f>
        <v>1703098.56688496</v>
      </c>
      <c r="AB57" s="456">
        <f t="shared" si="45"/>
        <v>15199</v>
      </c>
      <c r="AC57" s="102">
        <f t="shared" si="27"/>
        <v>20160.490656508831</v>
      </c>
      <c r="AD57" s="664"/>
      <c r="AG57" s="391">
        <f t="shared" si="14"/>
        <v>2024</v>
      </c>
      <c r="AH57" s="109"/>
      <c r="AI57" s="1008">
        <f t="shared" si="51"/>
        <v>32.5</v>
      </c>
      <c r="AJ57" s="1008">
        <f t="shared" si="52"/>
        <v>40.4</v>
      </c>
      <c r="AK57" s="897">
        <f t="shared" si="53"/>
        <v>35.1</v>
      </c>
      <c r="AL57" s="165">
        <f t="shared" si="25"/>
        <v>1919695.56688496</v>
      </c>
      <c r="AM57" s="391">
        <v>0</v>
      </c>
      <c r="AN57" s="391">
        <v>0</v>
      </c>
      <c r="AO57" s="822"/>
      <c r="AP57" s="825"/>
      <c r="AQ57" s="826">
        <v>25</v>
      </c>
      <c r="AR57" s="1408">
        <f t="shared" si="56"/>
        <v>10447</v>
      </c>
      <c r="AS57" s="390">
        <f>[11]Winter!$AR57</f>
        <v>12016</v>
      </c>
      <c r="AT57" s="390">
        <f t="shared" si="61"/>
        <v>-1569</v>
      </c>
      <c r="AU57" s="361">
        <f t="shared" si="57"/>
        <v>120</v>
      </c>
      <c r="AV57" s="391"/>
      <c r="AW57" s="799"/>
      <c r="AX57" s="799"/>
      <c r="AY57" s="799"/>
      <c r="AZ57" s="799"/>
      <c r="BA57" s="799"/>
      <c r="BB57" s="799"/>
      <c r="BC57" s="28"/>
      <c r="BD57" s="28"/>
      <c r="BE57" s="28"/>
    </row>
    <row r="58" spans="1:57">
      <c r="A58" s="656">
        <f t="shared" si="59"/>
        <v>45679.333333333336</v>
      </c>
      <c r="I58" s="657"/>
      <c r="J58" s="657"/>
      <c r="K58" s="526"/>
      <c r="L58" s="629"/>
      <c r="Q58" s="103"/>
      <c r="R58" s="103"/>
      <c r="V58" s="686">
        <f t="shared" si="48"/>
        <v>1927291.610274377</v>
      </c>
      <c r="W58" s="102">
        <f>[8]FCST!$BC32</f>
        <v>1939373.5200643199</v>
      </c>
      <c r="X58" s="95">
        <f t="shared" si="60"/>
        <v>18589.909789942809</v>
      </c>
      <c r="Y58" s="561">
        <f t="shared" si="50"/>
        <v>0.25719999999999998</v>
      </c>
      <c r="Z58" s="95">
        <f>[8]FCST!$CM32</f>
        <v>72278.031842701443</v>
      </c>
      <c r="AA58" s="95">
        <f>[8]FCST!$BU32</f>
        <v>1720905.5200643199</v>
      </c>
      <c r="AB58" s="456">
        <f t="shared" si="45"/>
        <v>15275</v>
      </c>
      <c r="AC58" s="102">
        <f t="shared" si="27"/>
        <v>19485.595348335104</v>
      </c>
      <c r="AD58" s="664"/>
      <c r="AG58" s="391">
        <f t="shared" si="14"/>
        <v>2025</v>
      </c>
      <c r="AH58" s="109"/>
      <c r="AI58" s="1008">
        <f t="shared" si="51"/>
        <v>32.5</v>
      </c>
      <c r="AJ58" s="1008">
        <f t="shared" si="52"/>
        <v>40.4</v>
      </c>
      <c r="AK58" s="897">
        <f t="shared" si="53"/>
        <v>35.1</v>
      </c>
      <c r="AL58" s="165">
        <f t="shared" si="25"/>
        <v>1939373.5200643199</v>
      </c>
      <c r="AM58" s="391">
        <v>0</v>
      </c>
      <c r="AN58" s="391">
        <v>0</v>
      </c>
      <c r="AO58" s="822"/>
      <c r="AP58" s="825"/>
      <c r="AQ58" s="826">
        <v>25</v>
      </c>
      <c r="AR58" s="1408">
        <f t="shared" si="56"/>
        <v>10562</v>
      </c>
      <c r="AS58" s="390">
        <f>[11]Winter!$AR58</f>
        <v>12205</v>
      </c>
      <c r="AT58" s="390">
        <f t="shared" si="61"/>
        <v>-1643</v>
      </c>
      <c r="AU58" s="361">
        <f t="shared" si="57"/>
        <v>115</v>
      </c>
      <c r="AV58" s="391"/>
      <c r="AW58" s="1"/>
      <c r="AX58" s="1"/>
      <c r="AY58" s="1"/>
      <c r="AZ58" s="1"/>
      <c r="BA58" s="1"/>
      <c r="BB58" s="1"/>
      <c r="BC58" s="28"/>
      <c r="BD58" s="28"/>
      <c r="BE58" s="28"/>
    </row>
    <row r="59" spans="1:57">
      <c r="A59" s="656">
        <f t="shared" si="59"/>
        <v>46044.333333333336</v>
      </c>
      <c r="I59" s="657"/>
      <c r="J59" s="657"/>
      <c r="K59" s="526"/>
      <c r="L59" s="629"/>
      <c r="P59" s="364"/>
      <c r="Q59" s="764"/>
      <c r="R59" s="764"/>
      <c r="S59" s="765"/>
      <c r="T59" s="765"/>
      <c r="U59" s="765"/>
      <c r="V59" s="686">
        <f t="shared" ref="V59:V73" si="62">W59-X59+Z$31</f>
        <v>1945802.3002644491</v>
      </c>
      <c r="W59" s="102">
        <f>[8]FCST!$BC33</f>
        <v>1958067.14464294</v>
      </c>
      <c r="X59" s="95">
        <f t="shared" si="60"/>
        <v>18772.844378490896</v>
      </c>
      <c r="Y59" s="561">
        <f t="shared" si="50"/>
        <v>0.25719999999999998</v>
      </c>
      <c r="Z59" s="95">
        <f>[8]FCST!$CM33</f>
        <v>72989.286075003489</v>
      </c>
      <c r="AA59" s="95">
        <f>[8]FCST!$BU33</f>
        <v>1737840.14464294</v>
      </c>
      <c r="AB59" s="456">
        <f t="shared" si="45"/>
        <v>15351</v>
      </c>
      <c r="AC59" s="102">
        <f t="shared" ref="AC59:AC68" si="63">V59-V58</f>
        <v>18510.689990072045</v>
      </c>
      <c r="AD59" s="664"/>
      <c r="AG59" s="391">
        <f t="shared" ref="AG59:AG73" si="64">AG58+1</f>
        <v>2026</v>
      </c>
      <c r="AH59" s="109"/>
      <c r="AI59" s="1008">
        <f t="shared" si="51"/>
        <v>32.5</v>
      </c>
      <c r="AJ59" s="1008">
        <f t="shared" si="52"/>
        <v>40.4</v>
      </c>
      <c r="AK59" s="897">
        <f t="shared" si="53"/>
        <v>35.1</v>
      </c>
      <c r="AL59" s="165">
        <f t="shared" si="25"/>
        <v>1958067.14464294</v>
      </c>
      <c r="AM59" s="391">
        <v>0</v>
      </c>
      <c r="AN59" s="391">
        <v>0</v>
      </c>
      <c r="AO59" s="822"/>
      <c r="AP59" s="825"/>
      <c r="AQ59" s="826">
        <v>25</v>
      </c>
      <c r="AR59" s="1408">
        <f t="shared" si="56"/>
        <v>10672</v>
      </c>
      <c r="AS59" s="390">
        <f>[11]Winter!$AR59</f>
        <v>12392</v>
      </c>
      <c r="AT59" s="390">
        <f t="shared" si="61"/>
        <v>-1720</v>
      </c>
      <c r="AU59" s="361">
        <f t="shared" si="57"/>
        <v>110</v>
      </c>
      <c r="AV59" s="391"/>
      <c r="AW59" s="1"/>
      <c r="AX59" s="1"/>
      <c r="AY59" s="1"/>
      <c r="AZ59" s="1"/>
      <c r="BA59" s="1"/>
      <c r="BB59" s="1"/>
      <c r="BC59" s="28"/>
      <c r="BD59" s="28"/>
      <c r="BE59" s="28"/>
    </row>
    <row r="60" spans="1:57">
      <c r="A60" s="656">
        <f t="shared" si="59"/>
        <v>46409.333333333336</v>
      </c>
      <c r="I60" s="657"/>
      <c r="J60" s="657"/>
      <c r="K60" s="526"/>
      <c r="L60" s="629"/>
      <c r="P60" s="364"/>
      <c r="Q60" s="764"/>
      <c r="R60" s="764"/>
      <c r="S60" s="765"/>
      <c r="T60" s="765"/>
      <c r="U60" s="765"/>
      <c r="V60" s="686">
        <f t="shared" si="62"/>
        <v>1963636.9908778779</v>
      </c>
      <c r="W60" s="102">
        <f>[8]FCST!$BC34</f>
        <v>1976078.34867642</v>
      </c>
      <c r="X60" s="95">
        <f t="shared" si="60"/>
        <v>18949.357798542158</v>
      </c>
      <c r="Y60" s="561">
        <f t="shared" si="50"/>
        <v>0.25719999999999998</v>
      </c>
      <c r="Z60" s="95">
        <f>[8]FCST!$CM34</f>
        <v>73675.574644409644</v>
      </c>
      <c r="AA60" s="95">
        <f>[8]FCST!$BU34</f>
        <v>1754180.34867642</v>
      </c>
      <c r="AB60" s="456">
        <f t="shared" si="45"/>
        <v>15428</v>
      </c>
      <c r="AC60" s="102">
        <f t="shared" si="63"/>
        <v>17834.690613428829</v>
      </c>
      <c r="AD60" s="664"/>
      <c r="AG60" s="391">
        <f t="shared" si="64"/>
        <v>2027</v>
      </c>
      <c r="AH60" s="109"/>
      <c r="AI60" s="1008">
        <f t="shared" si="51"/>
        <v>32.5</v>
      </c>
      <c r="AJ60" s="1008">
        <f t="shared" si="52"/>
        <v>40.4</v>
      </c>
      <c r="AK60" s="897">
        <f t="shared" si="53"/>
        <v>35.1</v>
      </c>
      <c r="AL60" s="165">
        <f t="shared" si="25"/>
        <v>1976078.34867642</v>
      </c>
      <c r="AM60" s="391">
        <v>0</v>
      </c>
      <c r="AN60" s="391">
        <v>0</v>
      </c>
      <c r="AO60" s="822"/>
      <c r="AP60" s="825"/>
      <c r="AQ60" s="826">
        <v>25</v>
      </c>
      <c r="AR60" s="1408">
        <f t="shared" si="56"/>
        <v>10777</v>
      </c>
      <c r="AS60" s="390">
        <f>[11]Winter!$AR60</f>
        <v>12578</v>
      </c>
      <c r="AT60" s="390">
        <f t="shared" si="61"/>
        <v>-1801</v>
      </c>
      <c r="AU60" s="361">
        <f t="shared" si="57"/>
        <v>105</v>
      </c>
      <c r="AV60" s="391"/>
      <c r="AW60" s="1"/>
      <c r="AX60" s="1"/>
      <c r="AY60" s="1"/>
      <c r="AZ60" s="1"/>
      <c r="BA60" s="1"/>
      <c r="BB60" s="1"/>
      <c r="BC60" s="28"/>
      <c r="BD60" s="28"/>
      <c r="BE60" s="28"/>
    </row>
    <row r="61" spans="1:57">
      <c r="A61" s="656">
        <f t="shared" si="59"/>
        <v>46774.333333333336</v>
      </c>
      <c r="I61" s="657"/>
      <c r="J61" s="657"/>
      <c r="K61" s="526"/>
      <c r="L61" s="629"/>
      <c r="P61" s="364"/>
      <c r="Q61" s="764"/>
      <c r="R61" s="764"/>
      <c r="S61" s="765"/>
      <c r="T61" s="765"/>
      <c r="U61" s="765"/>
      <c r="V61" s="686">
        <f t="shared" si="62"/>
        <v>1981106.6825653713</v>
      </c>
      <c r="W61" s="102">
        <f>[8]FCST!$BC35</f>
        <v>1993721.09203962</v>
      </c>
      <c r="X61" s="95">
        <f t="shared" si="60"/>
        <v>19122.409474248791</v>
      </c>
      <c r="Y61" s="561">
        <f t="shared" si="50"/>
        <v>0.25719999999999998</v>
      </c>
      <c r="Z61" s="95">
        <f>[8]FCST!$CM35</f>
        <v>74348.403865664048</v>
      </c>
      <c r="AA61" s="95">
        <f>[8]FCST!$BU35</f>
        <v>1770200.09203962</v>
      </c>
      <c r="AB61" s="456">
        <f t="shared" si="45"/>
        <v>15505</v>
      </c>
      <c r="AC61" s="102">
        <f t="shared" si="63"/>
        <v>17469.691687493352</v>
      </c>
      <c r="AD61" s="664"/>
      <c r="AG61" s="391">
        <f t="shared" si="64"/>
        <v>2028</v>
      </c>
      <c r="AH61" s="109"/>
      <c r="AI61" s="1008">
        <f t="shared" si="51"/>
        <v>32.5</v>
      </c>
      <c r="AJ61" s="1008">
        <f t="shared" si="52"/>
        <v>40.4</v>
      </c>
      <c r="AK61" s="897">
        <f t="shared" si="53"/>
        <v>35.1</v>
      </c>
      <c r="AL61" s="165">
        <f t="shared" si="25"/>
        <v>1993721.09203962</v>
      </c>
      <c r="AM61" s="391">
        <v>0</v>
      </c>
      <c r="AN61" s="391">
        <v>0</v>
      </c>
      <c r="AO61" s="822"/>
      <c r="AP61" s="825"/>
      <c r="AQ61" s="826">
        <v>25</v>
      </c>
      <c r="AR61" s="1408">
        <f t="shared" si="56"/>
        <v>10881</v>
      </c>
      <c r="AS61" s="390">
        <f>[11]Winter!$AR61</f>
        <v>12763</v>
      </c>
      <c r="AT61" s="390">
        <f t="shared" si="61"/>
        <v>-1882</v>
      </c>
      <c r="AU61" s="361">
        <f t="shared" si="57"/>
        <v>104</v>
      </c>
      <c r="AV61" s="391"/>
      <c r="AW61" s="28"/>
      <c r="AX61" s="28"/>
      <c r="AY61" s="28"/>
      <c r="AZ61" s="28"/>
      <c r="BA61" s="28"/>
      <c r="BB61" s="28"/>
      <c r="BC61" s="28"/>
      <c r="BD61" s="28"/>
      <c r="BE61" s="28"/>
    </row>
    <row r="62" spans="1:57">
      <c r="A62" s="656">
        <f t="shared" si="59"/>
        <v>47139.333333333336</v>
      </c>
      <c r="I62" s="657"/>
      <c r="J62" s="657"/>
      <c r="K62" s="526"/>
      <c r="L62" s="629"/>
      <c r="P62" s="364"/>
      <c r="Q62" s="764"/>
      <c r="R62" s="764"/>
      <c r="S62" s="765"/>
      <c r="T62" s="765"/>
      <c r="U62" s="765"/>
      <c r="V62" s="686">
        <f t="shared" si="62"/>
        <v>1998202.5642651045</v>
      </c>
      <c r="W62" s="102">
        <f>[8]FCST!$BC36</f>
        <v>2010986.47837106</v>
      </c>
      <c r="X62" s="95">
        <f t="shared" si="60"/>
        <v>19291.91410595554</v>
      </c>
      <c r="Y62" s="561">
        <f t="shared" si="50"/>
        <v>0.25719999999999998</v>
      </c>
      <c r="Z62" s="95">
        <f>[8]FCST!$CM36</f>
        <v>75007.442091584526</v>
      </c>
      <c r="AA62" s="95">
        <f>[8]FCST!$BU36</f>
        <v>1785891.47837106</v>
      </c>
      <c r="AB62" s="456">
        <f t="shared" si="45"/>
        <v>15583</v>
      </c>
      <c r="AC62" s="102">
        <f t="shared" si="63"/>
        <v>17095.881699733203</v>
      </c>
      <c r="AD62" s="664"/>
      <c r="AG62" s="391">
        <f t="shared" si="64"/>
        <v>2029</v>
      </c>
      <c r="AH62" s="109"/>
      <c r="AI62" s="1008">
        <f t="shared" si="51"/>
        <v>32.5</v>
      </c>
      <c r="AJ62" s="1008">
        <f t="shared" si="52"/>
        <v>40.4</v>
      </c>
      <c r="AK62" s="897">
        <f t="shared" si="53"/>
        <v>35.1</v>
      </c>
      <c r="AL62" s="165">
        <f t="shared" si="25"/>
        <v>2010986.47837106</v>
      </c>
      <c r="AM62" s="391">
        <v>0</v>
      </c>
      <c r="AN62" s="391">
        <v>0</v>
      </c>
      <c r="AO62" s="822"/>
      <c r="AP62" s="825"/>
      <c r="AQ62" s="826">
        <v>25</v>
      </c>
      <c r="AR62" s="1408">
        <f t="shared" si="56"/>
        <v>10982</v>
      </c>
      <c r="AS62" s="390">
        <f>[11]Winter!$AR62</f>
        <v>12946</v>
      </c>
      <c r="AT62" s="390">
        <f t="shared" si="61"/>
        <v>-1964</v>
      </c>
      <c r="AU62" s="361">
        <f t="shared" si="57"/>
        <v>101</v>
      </c>
      <c r="AV62" s="391"/>
      <c r="AW62" s="799"/>
      <c r="AX62" s="799"/>
      <c r="AY62" s="799"/>
      <c r="AZ62" s="799"/>
      <c r="BA62" s="799"/>
      <c r="BB62" s="799"/>
      <c r="BC62" s="799"/>
      <c r="BD62" s="799"/>
      <c r="BE62" s="799"/>
    </row>
    <row r="63" spans="1:57">
      <c r="A63" s="656">
        <f t="shared" si="59"/>
        <v>47504.333333333336</v>
      </c>
      <c r="I63" s="657"/>
      <c r="J63" s="657"/>
      <c r="K63" s="526"/>
      <c r="L63" s="629"/>
      <c r="V63" s="686">
        <f t="shared" si="62"/>
        <v>2014593.0894354002</v>
      </c>
      <c r="W63" s="102">
        <f>[8]FCST!$BC37</f>
        <v>2027539.6462896799</v>
      </c>
      <c r="X63" s="95">
        <f t="shared" si="60"/>
        <v>19454.556854279639</v>
      </c>
      <c r="Y63" s="561">
        <f t="shared" si="50"/>
        <v>0.25719999999999998</v>
      </c>
      <c r="Z63" s="95">
        <f>[8]FCST!$CM37</f>
        <v>75639.801144166559</v>
      </c>
      <c r="AA63" s="95">
        <f>[8]FCST!$BU37</f>
        <v>1800947.6462896799</v>
      </c>
      <c r="AB63" s="456">
        <f t="shared" si="45"/>
        <v>15661</v>
      </c>
      <c r="AC63" s="102">
        <f t="shared" si="63"/>
        <v>16390.525170295732</v>
      </c>
      <c r="AD63" s="664"/>
      <c r="AG63" s="391">
        <f t="shared" si="64"/>
        <v>2030</v>
      </c>
      <c r="AH63" s="109"/>
      <c r="AI63" s="1008">
        <f t="shared" si="51"/>
        <v>32.5</v>
      </c>
      <c r="AJ63" s="1008">
        <f t="shared" si="52"/>
        <v>40.4</v>
      </c>
      <c r="AK63" s="897">
        <f t="shared" si="53"/>
        <v>35.1</v>
      </c>
      <c r="AL63" s="165">
        <f t="shared" si="25"/>
        <v>2027539.6462896799</v>
      </c>
      <c r="AM63" s="391">
        <v>0</v>
      </c>
      <c r="AN63" s="391">
        <v>0</v>
      </c>
      <c r="AO63" s="699"/>
      <c r="AP63" s="766"/>
      <c r="AQ63" s="826">
        <v>25</v>
      </c>
      <c r="AR63" s="1408">
        <f t="shared" si="56"/>
        <v>11079</v>
      </c>
      <c r="AS63" s="390">
        <f>[11]Winter!$AR63</f>
        <v>13128</v>
      </c>
      <c r="AT63" s="390">
        <f t="shared" si="61"/>
        <v>-2049</v>
      </c>
      <c r="AU63" s="361">
        <f t="shared" si="57"/>
        <v>97</v>
      </c>
      <c r="AV63" s="391"/>
      <c r="AW63" s="1"/>
      <c r="AX63" s="1"/>
      <c r="AY63" s="1"/>
      <c r="AZ63" s="1"/>
      <c r="BA63" s="1"/>
      <c r="BB63" s="1"/>
      <c r="BC63" s="1"/>
      <c r="BD63" s="1"/>
      <c r="BE63" s="1"/>
    </row>
    <row r="64" spans="1:57">
      <c r="A64" s="656">
        <f t="shared" si="59"/>
        <v>47869.333333333336</v>
      </c>
      <c r="I64" s="657"/>
      <c r="J64" s="657"/>
      <c r="K64" s="526"/>
      <c r="L64" s="629"/>
      <c r="V64" s="686">
        <f t="shared" si="62"/>
        <v>2030250.1075356514</v>
      </c>
      <c r="W64" s="102">
        <f>[8]FCST!$BC38</f>
        <v>2043352.3125665199</v>
      </c>
      <c r="X64" s="95">
        <f>Y64*Z64</f>
        <v>19610.205030868576</v>
      </c>
      <c r="Y64" s="561">
        <f t="shared" si="50"/>
        <v>0.25719999999999998</v>
      </c>
      <c r="Z64" s="95">
        <f>[8]FCST!$CM38</f>
        <v>76244.965127793839</v>
      </c>
      <c r="AA64" s="95">
        <f>[8]FCST!$BU38</f>
        <v>1815356.3125665199</v>
      </c>
      <c r="AB64" s="456">
        <f t="shared" si="45"/>
        <v>15739</v>
      </c>
      <c r="AC64" s="102">
        <f t="shared" si="63"/>
        <v>15657.018100251211</v>
      </c>
      <c r="AD64" s="664"/>
      <c r="AG64" s="391">
        <f t="shared" si="64"/>
        <v>2031</v>
      </c>
      <c r="AH64" s="109"/>
      <c r="AI64" s="1008">
        <f>$T$74</f>
        <v>32.5</v>
      </c>
      <c r="AJ64" s="1008">
        <f>$U$74</f>
        <v>40.4</v>
      </c>
      <c r="AK64" s="897">
        <f>$S$74</f>
        <v>35.1</v>
      </c>
      <c r="AL64" s="165">
        <f t="shared" si="25"/>
        <v>2043352.3125665199</v>
      </c>
      <c r="AM64" s="391">
        <v>0</v>
      </c>
      <c r="AN64" s="391">
        <v>0</v>
      </c>
      <c r="AO64" s="699"/>
      <c r="AP64" s="766"/>
      <c r="AQ64" s="826">
        <v>25</v>
      </c>
      <c r="AR64" s="1408">
        <f t="shared" si="56"/>
        <v>11172</v>
      </c>
      <c r="AS64" s="390"/>
      <c r="AT64" s="390"/>
      <c r="AU64" s="361">
        <f>AR64-AR63</f>
        <v>93</v>
      </c>
      <c r="AV64" s="391"/>
      <c r="AW64" s="1"/>
      <c r="AX64" s="1"/>
      <c r="AY64" s="1"/>
      <c r="AZ64" s="1"/>
      <c r="BA64" s="1"/>
      <c r="BB64" s="1"/>
      <c r="BC64" s="1"/>
      <c r="BD64" s="1"/>
      <c r="BE64" s="1"/>
    </row>
    <row r="65" spans="1:57">
      <c r="A65" s="656">
        <f t="shared" si="59"/>
        <v>48234.333333333336</v>
      </c>
      <c r="I65" s="657"/>
      <c r="J65" s="657"/>
      <c r="K65" s="526"/>
      <c r="L65" s="629"/>
      <c r="V65" s="686">
        <f t="shared" si="62"/>
        <v>2045506.4957493022</v>
      </c>
      <c r="W65" s="102">
        <f>[8]FCST!$BC39</f>
        <v>2058760.5199500101</v>
      </c>
      <c r="X65" s="95">
        <f>Y65*Z65</f>
        <v>19762.024200707987</v>
      </c>
      <c r="Y65" s="561">
        <f t="shared" si="50"/>
        <v>0.25719999999999998</v>
      </c>
      <c r="Z65" s="95">
        <f>[8]FCST!$CM39</f>
        <v>76835.241837900423</v>
      </c>
      <c r="AA65" s="95">
        <f>[8]FCST!$BU39</f>
        <v>1829410.5199500101</v>
      </c>
      <c r="AB65" s="456">
        <f t="shared" si="45"/>
        <v>15818</v>
      </c>
      <c r="AC65" s="102">
        <f t="shared" si="63"/>
        <v>15256.388213650789</v>
      </c>
      <c r="AD65" s="664"/>
      <c r="AG65" s="391">
        <f t="shared" si="64"/>
        <v>2032</v>
      </c>
      <c r="AH65" s="109"/>
      <c r="AI65" s="1008">
        <f>$T$74</f>
        <v>32.5</v>
      </c>
      <c r="AJ65" s="1008">
        <f>$U$74</f>
        <v>40.4</v>
      </c>
      <c r="AK65" s="897">
        <f>$S$74</f>
        <v>35.1</v>
      </c>
      <c r="AL65" s="165">
        <f t="shared" si="25"/>
        <v>2058760.5199500101</v>
      </c>
      <c r="AM65" s="391">
        <v>0</v>
      </c>
      <c r="AN65" s="391">
        <v>0</v>
      </c>
      <c r="AO65" s="699"/>
      <c r="AP65" s="766"/>
      <c r="AQ65" s="826">
        <v>25</v>
      </c>
      <c r="AR65" s="1408">
        <f t="shared" si="56"/>
        <v>11262</v>
      </c>
      <c r="AS65" s="390"/>
      <c r="AT65" s="390"/>
      <c r="AU65" s="361">
        <f>AR65-AR64</f>
        <v>90</v>
      </c>
      <c r="AV65" s="391"/>
      <c r="AW65" s="1"/>
      <c r="AX65" s="1"/>
      <c r="AY65" s="1"/>
      <c r="AZ65" s="1"/>
      <c r="BA65" s="1"/>
      <c r="BB65" s="1"/>
      <c r="BC65" s="1"/>
      <c r="BD65" s="1"/>
      <c r="BE65" s="1"/>
    </row>
    <row r="66" spans="1:57">
      <c r="A66" s="656">
        <f t="shared" si="59"/>
        <v>48599.333333333336</v>
      </c>
      <c r="I66" s="657"/>
      <c r="J66" s="657"/>
      <c r="K66" s="526"/>
      <c r="L66" s="629"/>
      <c r="V66" s="686">
        <f t="shared" si="62"/>
        <v>2060367.197242446</v>
      </c>
      <c r="W66" s="102">
        <f>[8]FCST!$BC40</f>
        <v>2073769.28742816</v>
      </c>
      <c r="X66" s="95">
        <f>Y66*Z66</f>
        <v>19910.090185713958</v>
      </c>
      <c r="Y66" s="561">
        <f t="shared" si="50"/>
        <v>0.25719999999999998</v>
      </c>
      <c r="Z66" s="95">
        <f>[8]FCST!$CM40</f>
        <v>77410.926071982729</v>
      </c>
      <c r="AA66" s="95">
        <f>[8]FCST!$BU40</f>
        <v>1843117.28742816</v>
      </c>
      <c r="AB66" s="456">
        <f t="shared" si="45"/>
        <v>15897</v>
      </c>
      <c r="AC66" s="102">
        <f t="shared" si="63"/>
        <v>14860.701493143803</v>
      </c>
      <c r="AD66" s="664"/>
      <c r="AG66" s="391">
        <f t="shared" si="64"/>
        <v>2033</v>
      </c>
      <c r="AH66" s="109"/>
      <c r="AI66" s="1008">
        <f>$T$74</f>
        <v>32.5</v>
      </c>
      <c r="AJ66" s="1008">
        <f>$U$74</f>
        <v>40.4</v>
      </c>
      <c r="AK66" s="897">
        <f>$S$74</f>
        <v>35.1</v>
      </c>
      <c r="AL66" s="165">
        <f t="shared" si="25"/>
        <v>2073769.28742816</v>
      </c>
      <c r="AM66" s="391">
        <v>0</v>
      </c>
      <c r="AN66" s="391">
        <v>0</v>
      </c>
      <c r="AO66" s="699"/>
      <c r="AP66" s="766"/>
      <c r="AQ66" s="826">
        <v>25</v>
      </c>
      <c r="AR66" s="1408">
        <f t="shared" si="56"/>
        <v>11350</v>
      </c>
      <c r="AS66" s="390"/>
      <c r="AT66" s="390"/>
      <c r="AU66" s="361">
        <f>AR66-AR65</f>
        <v>88</v>
      </c>
      <c r="AV66" s="391"/>
      <c r="AW66" s="1"/>
      <c r="AX66" s="1"/>
      <c r="AY66" s="1"/>
      <c r="AZ66" s="1"/>
      <c r="BA66" s="1"/>
      <c r="BB66" s="1"/>
      <c r="BC66" s="1"/>
      <c r="BD66" s="1"/>
      <c r="BE66" s="1"/>
    </row>
    <row r="67" spans="1:57">
      <c r="A67" s="656">
        <f t="shared" si="59"/>
        <v>48964.333333333336</v>
      </c>
      <c r="I67" s="657"/>
      <c r="J67" s="657"/>
      <c r="K67" s="526"/>
      <c r="L67" s="629"/>
      <c r="V67" s="686">
        <f t="shared" si="62"/>
        <v>2074844.6739987137</v>
      </c>
      <c r="W67" s="102">
        <f>[8]FCST!$BC41</f>
        <v>2088391.1693925599</v>
      </c>
      <c r="X67" s="95">
        <f>Y67*Z67</f>
        <v>20054.495393846188</v>
      </c>
      <c r="Y67" s="561">
        <f t="shared" si="50"/>
        <v>0.25719999999999998</v>
      </c>
      <c r="Z67" s="95">
        <f>[8]FCST!$CM41</f>
        <v>77972.377114487521</v>
      </c>
      <c r="AA67" s="95">
        <f>[8]FCST!$BU41</f>
        <v>1856485.1693925599</v>
      </c>
      <c r="AB67" s="456">
        <f t="shared" si="45"/>
        <v>15976</v>
      </c>
      <c r="AC67" s="102">
        <f t="shared" si="63"/>
        <v>14477.476756267715</v>
      </c>
      <c r="AD67" s="664"/>
      <c r="AG67" s="391">
        <f t="shared" si="64"/>
        <v>2034</v>
      </c>
      <c r="AH67" s="109"/>
      <c r="AI67" s="1008">
        <f>$T$74</f>
        <v>32.5</v>
      </c>
      <c r="AJ67" s="1008">
        <f>$U$74</f>
        <v>40.4</v>
      </c>
      <c r="AK67" s="897">
        <f>$S$74</f>
        <v>35.1</v>
      </c>
      <c r="AL67" s="165">
        <f t="shared" si="25"/>
        <v>2088391.1693925599</v>
      </c>
      <c r="AM67" s="391">
        <v>0</v>
      </c>
      <c r="AN67" s="391">
        <v>0</v>
      </c>
      <c r="AO67" s="699"/>
      <c r="AP67" s="766"/>
      <c r="AQ67" s="826">
        <v>25</v>
      </c>
      <c r="AR67" s="1408">
        <f t="shared" si="56"/>
        <v>11436</v>
      </c>
      <c r="AS67" s="390"/>
      <c r="AT67" s="390"/>
      <c r="AU67" s="361">
        <f>AR67-AR66</f>
        <v>86</v>
      </c>
      <c r="AV67" s="391"/>
      <c r="AW67" s="1"/>
      <c r="AX67" s="1"/>
      <c r="AY67" s="1"/>
      <c r="AZ67" s="1"/>
      <c r="BA67" s="1"/>
      <c r="BB67" s="1"/>
      <c r="BC67" s="1"/>
      <c r="BD67" s="1"/>
      <c r="BE67" s="1"/>
    </row>
    <row r="68" spans="1:57">
      <c r="A68" s="656">
        <f t="shared" si="59"/>
        <v>49329.333333333336</v>
      </c>
      <c r="I68" s="657"/>
      <c r="J68" s="657"/>
      <c r="K68" s="526"/>
      <c r="L68" s="629"/>
      <c r="V68" s="686">
        <f t="shared" si="62"/>
        <v>2088946.1710278301</v>
      </c>
      <c r="W68" s="102">
        <f>[8]FCST!$BC42</f>
        <v>2102633.5008914601</v>
      </c>
      <c r="X68" s="95">
        <f>Y68*Z68</f>
        <v>20195.329863629908</v>
      </c>
      <c r="Y68" s="561">
        <f t="shared" si="50"/>
        <v>0.25719999999999998</v>
      </c>
      <c r="Z68" s="95">
        <f>[8]FCST!$CM42</f>
        <v>78519.945037441328</v>
      </c>
      <c r="AA68" s="95">
        <f>[8]FCST!$BU42</f>
        <v>1869522.5008914601</v>
      </c>
      <c r="AB68" s="456">
        <f t="shared" si="45"/>
        <v>16056</v>
      </c>
      <c r="AC68" s="102">
        <f t="shared" si="63"/>
        <v>14101.497029116377</v>
      </c>
      <c r="AD68" s="664"/>
      <c r="AG68" s="391">
        <f t="shared" si="64"/>
        <v>2035</v>
      </c>
      <c r="AH68" s="109"/>
      <c r="AI68" s="1008">
        <f>$T$74</f>
        <v>32.5</v>
      </c>
      <c r="AJ68" s="1008">
        <f>$U$74</f>
        <v>40.4</v>
      </c>
      <c r="AK68" s="897">
        <f>$S$74</f>
        <v>35.1</v>
      </c>
      <c r="AL68" s="165">
        <f t="shared" si="25"/>
        <v>2102633.5008914601</v>
      </c>
      <c r="AM68" s="391">
        <v>0</v>
      </c>
      <c r="AN68" s="391">
        <v>0</v>
      </c>
      <c r="AO68" s="699"/>
      <c r="AP68" s="766"/>
      <c r="AQ68" s="826">
        <v>25</v>
      </c>
      <c r="AR68" s="1408">
        <f t="shared" si="56"/>
        <v>11519</v>
      </c>
      <c r="AS68" s="390"/>
      <c r="AT68" s="390"/>
      <c r="AU68" s="361">
        <f>AR68-AR67</f>
        <v>83</v>
      </c>
      <c r="AV68" s="391"/>
      <c r="AW68" s="1"/>
      <c r="AX68" s="1"/>
      <c r="AY68" s="1"/>
      <c r="AZ68" s="1"/>
      <c r="BA68" s="1"/>
      <c r="BB68" s="1"/>
      <c r="BC68" s="1"/>
      <c r="BD68" s="1"/>
      <c r="BE68" s="1"/>
    </row>
    <row r="69" spans="1:57">
      <c r="A69" s="656">
        <f t="shared" si="59"/>
        <v>49694.333333333336</v>
      </c>
      <c r="I69" s="657"/>
      <c r="J69" s="657"/>
      <c r="K69" s="526"/>
      <c r="L69" s="629"/>
      <c r="V69" s="686">
        <f t="shared" si="62"/>
        <v>2102683.4897922277</v>
      </c>
      <c r="W69" s="102">
        <f>[8]FCST!$BC43</f>
        <v>2116508.2231839499</v>
      </c>
      <c r="X69" s="95">
        <f t="shared" ref="X69:X73" si="65">Y69*Z69</f>
        <v>20332.7333917223</v>
      </c>
      <c r="Y69" s="561">
        <f t="shared" si="50"/>
        <v>0.25719999999999998</v>
      </c>
      <c r="Z69" s="95">
        <f>[8]FCST!$CM43</f>
        <v>79054.173373725906</v>
      </c>
      <c r="AA69" s="95">
        <f>[8]FCST!$BU43</f>
        <v>1882242.2231839499</v>
      </c>
      <c r="AB69" s="456">
        <f t="shared" si="45"/>
        <v>16136</v>
      </c>
      <c r="AC69" s="102">
        <f t="shared" ref="AC69:AC73" si="66">V69-V68</f>
        <v>13737.318764397642</v>
      </c>
      <c r="AD69" s="664"/>
      <c r="AG69" s="391">
        <f t="shared" si="64"/>
        <v>2036</v>
      </c>
      <c r="AH69" s="109"/>
      <c r="AI69" s="1008">
        <f t="shared" ref="AI69:AI73" si="67">$T$74</f>
        <v>32.5</v>
      </c>
      <c r="AJ69" s="1008">
        <f t="shared" ref="AJ69:AJ73" si="68">$U$74</f>
        <v>40.4</v>
      </c>
      <c r="AK69" s="897">
        <f t="shared" ref="AK69:AK73" si="69">$S$74</f>
        <v>35.1</v>
      </c>
      <c r="AL69" s="165">
        <f t="shared" si="25"/>
        <v>2116508.2231839499</v>
      </c>
      <c r="AM69" s="391">
        <v>0</v>
      </c>
      <c r="AN69" s="391">
        <v>0</v>
      </c>
      <c r="AO69" s="699"/>
      <c r="AP69" s="766"/>
      <c r="AQ69" s="826">
        <v>25</v>
      </c>
      <c r="AR69" s="1408">
        <f t="shared" si="56"/>
        <v>11601</v>
      </c>
      <c r="AS69" s="390"/>
      <c r="AT69" s="390"/>
      <c r="AU69" s="361">
        <f t="shared" ref="AU69:AU73" si="70">AR69-AR68</f>
        <v>82</v>
      </c>
      <c r="AV69" s="391"/>
      <c r="AW69" s="1"/>
      <c r="AX69" s="1"/>
      <c r="AY69" s="1"/>
      <c r="AZ69" s="1"/>
      <c r="BA69" s="1"/>
      <c r="BB69" s="1"/>
      <c r="BC69" s="1"/>
      <c r="BD69" s="1"/>
      <c r="BE69" s="1"/>
    </row>
    <row r="70" spans="1:57">
      <c r="A70" s="656">
        <f t="shared" si="59"/>
        <v>50059.333333333336</v>
      </c>
      <c r="I70" s="657"/>
      <c r="J70" s="657"/>
      <c r="K70" s="526"/>
      <c r="L70" s="629"/>
      <c r="V70" s="686">
        <f t="shared" si="62"/>
        <v>2116786.6177819991</v>
      </c>
      <c r="W70" s="102">
        <f>[8]FCST!$BC44</f>
        <v>2130752.5529059097</v>
      </c>
      <c r="X70" s="95">
        <f t="shared" si="65"/>
        <v>20473.9351239108</v>
      </c>
      <c r="Y70" s="561">
        <f t="shared" si="50"/>
        <v>0.25719999999999998</v>
      </c>
      <c r="Z70" s="95">
        <f>[8]FCST!$CM44</f>
        <v>79603.169222048222</v>
      </c>
      <c r="AA70" s="95">
        <f>[8]FCST!$BU44</f>
        <v>1895313.5529059099</v>
      </c>
      <c r="AB70" s="456">
        <f t="shared" si="45"/>
        <v>16217</v>
      </c>
      <c r="AC70" s="102">
        <f t="shared" si="66"/>
        <v>14103.12798977131</v>
      </c>
      <c r="AD70" s="664"/>
      <c r="AG70" s="391">
        <f t="shared" si="64"/>
        <v>2037</v>
      </c>
      <c r="AH70" s="109"/>
      <c r="AI70" s="1008">
        <f t="shared" si="67"/>
        <v>32.5</v>
      </c>
      <c r="AJ70" s="1008">
        <f t="shared" si="68"/>
        <v>40.4</v>
      </c>
      <c r="AK70" s="897">
        <f t="shared" si="69"/>
        <v>35.1</v>
      </c>
      <c r="AL70" s="165">
        <f t="shared" si="25"/>
        <v>2130752.5529059097</v>
      </c>
      <c r="AM70" s="391">
        <v>0</v>
      </c>
      <c r="AN70" s="391">
        <v>0</v>
      </c>
      <c r="AO70" s="699"/>
      <c r="AP70" s="766"/>
      <c r="AQ70" s="826">
        <v>25</v>
      </c>
      <c r="AR70" s="1408">
        <f t="shared" si="56"/>
        <v>11684</v>
      </c>
      <c r="AS70" s="390"/>
      <c r="AT70" s="390"/>
      <c r="AU70" s="361">
        <f t="shared" si="70"/>
        <v>83</v>
      </c>
      <c r="AV70" s="391"/>
      <c r="AW70" s="1"/>
      <c r="AX70" s="1"/>
      <c r="AY70" s="1"/>
      <c r="AZ70" s="1"/>
      <c r="BA70" s="1"/>
      <c r="BB70" s="1"/>
      <c r="BC70" s="1"/>
      <c r="BD70" s="1"/>
      <c r="BE70" s="1"/>
    </row>
    <row r="71" spans="1:57">
      <c r="A71" s="656">
        <f t="shared" si="59"/>
        <v>50424.333333333336</v>
      </c>
      <c r="I71" s="657"/>
      <c r="J71" s="657"/>
      <c r="K71" s="526"/>
      <c r="L71" s="629"/>
      <c r="V71" s="686">
        <f t="shared" si="62"/>
        <v>2131700.1649225648</v>
      </c>
      <c r="W71" s="102">
        <f>[8]FCST!$BC45</f>
        <v>2145815.2891436098</v>
      </c>
      <c r="X71" s="95">
        <f t="shared" si="65"/>
        <v>20623.124221044935</v>
      </c>
      <c r="Y71" s="561">
        <f t="shared" si="50"/>
        <v>0.25719999999999998</v>
      </c>
      <c r="Z71" s="95">
        <f>[8]FCST!$CM45</f>
        <v>80183.220144031628</v>
      </c>
      <c r="AA71" s="95">
        <f>[8]FCST!$BU45</f>
        <v>1909124.28914361</v>
      </c>
      <c r="AB71" s="456">
        <f t="shared" si="45"/>
        <v>16298</v>
      </c>
      <c r="AC71" s="102">
        <f t="shared" si="66"/>
        <v>14913.547140565701</v>
      </c>
      <c r="AD71" s="664"/>
      <c r="AG71" s="391">
        <f t="shared" si="64"/>
        <v>2038</v>
      </c>
      <c r="AH71" s="109"/>
      <c r="AI71" s="1008">
        <f t="shared" si="67"/>
        <v>32.5</v>
      </c>
      <c r="AJ71" s="1008">
        <f t="shared" si="68"/>
        <v>40.4</v>
      </c>
      <c r="AK71" s="897">
        <f t="shared" si="69"/>
        <v>35.1</v>
      </c>
      <c r="AL71" s="165">
        <f t="shared" si="25"/>
        <v>2145815.2891436098</v>
      </c>
      <c r="AM71" s="391">
        <v>0</v>
      </c>
      <c r="AN71" s="391">
        <v>0</v>
      </c>
      <c r="AO71" s="699"/>
      <c r="AP71" s="766"/>
      <c r="AQ71" s="826">
        <v>25</v>
      </c>
      <c r="AR71" s="1408">
        <f t="shared" si="56"/>
        <v>11773</v>
      </c>
      <c r="AS71" s="390"/>
      <c r="AT71" s="390"/>
      <c r="AU71" s="361">
        <f t="shared" si="70"/>
        <v>89</v>
      </c>
      <c r="AV71" s="391"/>
      <c r="AW71" s="1"/>
      <c r="AX71" s="1"/>
      <c r="AY71" s="1"/>
      <c r="AZ71" s="1"/>
      <c r="BA71" s="1"/>
      <c r="BB71" s="1"/>
      <c r="BC71" s="1"/>
      <c r="BD71" s="1"/>
      <c r="BE71" s="1"/>
    </row>
    <row r="72" spans="1:57">
      <c r="A72" s="656">
        <f t="shared" si="59"/>
        <v>50789.333333333336</v>
      </c>
      <c r="I72" s="657"/>
      <c r="J72" s="657"/>
      <c r="K72" s="526"/>
      <c r="L72" s="629"/>
      <c r="V72" s="686">
        <f t="shared" si="62"/>
        <v>2146459.2826895877</v>
      </c>
      <c r="W72" s="102">
        <f>[8]FCST!$BC46</f>
        <v>2160722.0843083197</v>
      </c>
      <c r="X72" s="95">
        <f t="shared" si="65"/>
        <v>20770.801618732195</v>
      </c>
      <c r="Y72" s="561">
        <f t="shared" si="50"/>
        <v>0.25719999999999998</v>
      </c>
      <c r="Z72" s="95">
        <f>[8]FCST!$CM46</f>
        <v>80757.393540949444</v>
      </c>
      <c r="AA72" s="95">
        <f>[8]FCST!$BU46</f>
        <v>1922795.08430832</v>
      </c>
      <c r="AB72" s="456">
        <f t="shared" si="45"/>
        <v>16379</v>
      </c>
      <c r="AC72" s="102">
        <f t="shared" si="66"/>
        <v>14759.117767022923</v>
      </c>
      <c r="AD72" s="664"/>
      <c r="AG72" s="391">
        <f t="shared" si="64"/>
        <v>2039</v>
      </c>
      <c r="AH72" s="109"/>
      <c r="AI72" s="1008">
        <f t="shared" si="67"/>
        <v>32.5</v>
      </c>
      <c r="AJ72" s="1008">
        <f t="shared" si="68"/>
        <v>40.4</v>
      </c>
      <c r="AK72" s="897">
        <f t="shared" si="69"/>
        <v>35.1</v>
      </c>
      <c r="AL72" s="165">
        <f t="shared" si="25"/>
        <v>2160722.0843083197</v>
      </c>
      <c r="AM72" s="391">
        <v>0</v>
      </c>
      <c r="AN72" s="391">
        <v>0</v>
      </c>
      <c r="AO72" s="699"/>
      <c r="AP72" s="766"/>
      <c r="AQ72" s="826">
        <v>25</v>
      </c>
      <c r="AR72" s="1408">
        <f t="shared" si="56"/>
        <v>11860</v>
      </c>
      <c r="AS72" s="390"/>
      <c r="AT72" s="390"/>
      <c r="AU72" s="361">
        <f t="shared" si="70"/>
        <v>87</v>
      </c>
      <c r="AV72" s="391"/>
      <c r="AW72" s="1"/>
      <c r="AX72" s="1"/>
      <c r="AY72" s="1"/>
      <c r="AZ72" s="1"/>
      <c r="BA72" s="1"/>
      <c r="BB72" s="1"/>
      <c r="BC72" s="1"/>
      <c r="BD72" s="1"/>
      <c r="BE72" s="1"/>
    </row>
    <row r="73" spans="1:57">
      <c r="A73" s="656">
        <f t="shared" si="59"/>
        <v>51154.333333333336</v>
      </c>
      <c r="I73" s="657"/>
      <c r="J73" s="657"/>
      <c r="K73" s="526"/>
      <c r="L73" s="629"/>
      <c r="V73" s="686">
        <f t="shared" si="62"/>
        <v>2161113.7990565076</v>
      </c>
      <c r="W73" s="102">
        <f>[8]FCST!$BC47</f>
        <v>2175523.4961594203</v>
      </c>
      <c r="X73" s="95">
        <f t="shared" si="65"/>
        <v>20917.69710291252</v>
      </c>
      <c r="Y73" s="561">
        <f t="shared" si="50"/>
        <v>0.25719999999999998</v>
      </c>
      <c r="Z73" s="95">
        <f>[8]FCST!$CM47</f>
        <v>81328.526838695645</v>
      </c>
      <c r="AA73" s="95">
        <f>[8]FCST!$BU47</f>
        <v>1936393.4961594201</v>
      </c>
      <c r="AB73" s="456">
        <f t="shared" si="45"/>
        <v>16461</v>
      </c>
      <c r="AC73" s="102">
        <f t="shared" si="66"/>
        <v>14654.516366919968</v>
      </c>
      <c r="AD73" s="664"/>
      <c r="AG73" s="391">
        <f t="shared" si="64"/>
        <v>2040</v>
      </c>
      <c r="AH73" s="109"/>
      <c r="AI73" s="1008">
        <f t="shared" si="67"/>
        <v>32.5</v>
      </c>
      <c r="AJ73" s="1008">
        <f t="shared" si="68"/>
        <v>40.4</v>
      </c>
      <c r="AK73" s="897">
        <f t="shared" si="69"/>
        <v>35.1</v>
      </c>
      <c r="AL73" s="165">
        <f t="shared" si="25"/>
        <v>2175523.4961594203</v>
      </c>
      <c r="AM73" s="391">
        <v>0</v>
      </c>
      <c r="AN73" s="391">
        <v>0</v>
      </c>
      <c r="AO73" s="699"/>
      <c r="AP73" s="766"/>
      <c r="AQ73" s="826">
        <v>25</v>
      </c>
      <c r="AR73" s="1408">
        <f t="shared" si="56"/>
        <v>11947</v>
      </c>
      <c r="AS73" s="390"/>
      <c r="AT73" s="390"/>
      <c r="AU73" s="361">
        <f t="shared" si="70"/>
        <v>87</v>
      </c>
      <c r="AV73" s="391"/>
      <c r="AW73" s="1"/>
      <c r="AX73" s="1"/>
      <c r="AY73" s="1"/>
      <c r="AZ73" s="1"/>
      <c r="BA73" s="1"/>
      <c r="BB73" s="1"/>
      <c r="BC73" s="1"/>
      <c r="BD73" s="1"/>
      <c r="BE73" s="1"/>
    </row>
    <row r="74" spans="1:57">
      <c r="K74" s="526"/>
      <c r="L74" s="629"/>
      <c r="P74" s="366" t="s">
        <v>333</v>
      </c>
      <c r="Q74" s="367" t="s">
        <v>185</v>
      </c>
      <c r="R74" s="367"/>
      <c r="S74" s="698">
        <f>ROUND(AVERAGE(S14:S43),1)</f>
        <v>35.1</v>
      </c>
      <c r="T74" s="698">
        <f>ROUND(AVERAGE(T14:T43),1)</f>
        <v>32.5</v>
      </c>
      <c r="U74" s="698">
        <f>ROUND(AVERAGE(U14:U43),1)</f>
        <v>40.4</v>
      </c>
      <c r="AO74" s="767"/>
      <c r="AP74" s="768"/>
      <c r="AR74" s="93"/>
      <c r="AS74" s="93"/>
      <c r="AW74" s="1"/>
      <c r="AX74" s="1"/>
      <c r="AY74" s="1"/>
      <c r="AZ74" s="1"/>
      <c r="BA74" s="1"/>
      <c r="BB74" s="1"/>
      <c r="BC74" s="1"/>
      <c r="BD74" s="1"/>
      <c r="BE74" s="1"/>
    </row>
    <row r="75" spans="1:57" ht="12.75" customHeight="1">
      <c r="AG75" s="1589"/>
      <c r="AH75" s="1590"/>
      <c r="AI75" s="688"/>
      <c r="AJ75" s="688"/>
      <c r="AK75" s="688"/>
      <c r="AL75" s="690"/>
      <c r="AN75" s="701"/>
      <c r="AO75" s="769"/>
      <c r="AP75" s="770"/>
      <c r="AR75" s="690"/>
      <c r="AU75" s="690"/>
      <c r="AW75" s="1"/>
      <c r="AX75" s="1"/>
      <c r="AY75" s="1"/>
      <c r="AZ75" s="1"/>
      <c r="BA75" s="1"/>
      <c r="BB75" s="1"/>
      <c r="BC75" s="1"/>
      <c r="BD75" s="1"/>
      <c r="BE75" s="1"/>
    </row>
    <row r="76" spans="1:57">
      <c r="AG76" s="1589"/>
      <c r="AH76" s="1590"/>
      <c r="AI76" s="689"/>
      <c r="AJ76" s="689"/>
      <c r="AK76" s="689"/>
      <c r="AL76" s="690"/>
      <c r="AN76" s="118"/>
      <c r="AO76" s="93"/>
      <c r="AR76" s="690"/>
      <c r="AS76" s="690"/>
      <c r="AU76" s="690"/>
      <c r="AW76" s="1"/>
      <c r="AX76" s="1"/>
      <c r="AY76" s="1"/>
      <c r="AZ76" s="1"/>
      <c r="BA76" s="1"/>
      <c r="BB76" s="1"/>
      <c r="BC76" s="1"/>
      <c r="BD76" s="1"/>
      <c r="BE76" s="1"/>
    </row>
    <row r="77" spans="1:57">
      <c r="AR77" s="93"/>
      <c r="AS77" s="93"/>
      <c r="AW77" s="1"/>
      <c r="AX77" s="1"/>
      <c r="AY77" s="1"/>
      <c r="AZ77" s="1"/>
      <c r="BA77" s="1"/>
      <c r="BB77" s="1"/>
      <c r="BC77" s="1"/>
      <c r="BD77" s="1"/>
      <c r="BE77" s="1"/>
    </row>
    <row r="78" spans="1:57">
      <c r="AR78" s="93"/>
      <c r="AS78" s="93"/>
      <c r="AW78" s="28"/>
      <c r="AX78" s="28"/>
      <c r="AY78" s="28"/>
      <c r="AZ78" s="28"/>
      <c r="BA78" s="28"/>
      <c r="BB78" s="28"/>
      <c r="BC78" s="28"/>
      <c r="BD78" s="28"/>
      <c r="BE78" s="28"/>
    </row>
    <row r="79" spans="1:57">
      <c r="V79" s="532"/>
      <c r="W79" s="532"/>
      <c r="X79" s="532"/>
      <c r="Y79" s="531"/>
      <c r="Z79" s="532"/>
      <c r="AA79" s="532"/>
      <c r="AB79" s="532"/>
      <c r="AR79" s="93"/>
      <c r="AS79" s="93"/>
      <c r="AW79" s="28"/>
      <c r="AX79" s="28"/>
      <c r="AY79" s="28"/>
      <c r="AZ79" s="28"/>
      <c r="BA79" s="28"/>
      <c r="BB79" s="28"/>
      <c r="BC79" s="28"/>
      <c r="BD79" s="28"/>
      <c r="BE79" s="28"/>
    </row>
    <row r="80" spans="1:57">
      <c r="V80" s="532"/>
      <c r="W80" s="532"/>
      <c r="X80" s="532"/>
      <c r="Y80" s="531"/>
      <c r="Z80" s="532"/>
      <c r="AA80" s="532"/>
      <c r="AB80" s="532"/>
      <c r="AR80" s="93"/>
      <c r="AS80" s="93"/>
      <c r="AW80" s="28"/>
      <c r="AX80" s="28"/>
      <c r="AY80" s="28"/>
      <c r="AZ80" s="28"/>
      <c r="BA80" s="28"/>
      <c r="BB80" s="28"/>
      <c r="BC80" s="28"/>
      <c r="BD80" s="28"/>
      <c r="BE80" s="28"/>
    </row>
    <row r="81" spans="22:57">
      <c r="V81" s="532"/>
      <c r="W81" s="532"/>
      <c r="X81" s="532"/>
      <c r="Y81" s="531"/>
      <c r="Z81" s="532"/>
      <c r="AA81" s="532"/>
      <c r="AB81" s="532"/>
      <c r="AR81" s="93"/>
      <c r="AS81" s="93"/>
      <c r="AW81" s="842" t="s">
        <v>393</v>
      </c>
    </row>
    <row r="82" spans="22:57">
      <c r="V82" s="532"/>
      <c r="W82" s="532"/>
      <c r="X82" s="532"/>
      <c r="Y82" s="531"/>
      <c r="Z82" s="532"/>
      <c r="AA82" s="532"/>
      <c r="AB82" s="532"/>
      <c r="AD82" s="629"/>
      <c r="AE82" s="93"/>
      <c r="AR82" s="93"/>
      <c r="AS82" s="93"/>
      <c r="AW82" s="842"/>
    </row>
    <row r="83" spans="22:57">
      <c r="V83" s="532"/>
      <c r="W83" s="532"/>
      <c r="X83" s="532"/>
      <c r="Y83" s="531"/>
      <c r="Z83" s="532"/>
      <c r="AA83" s="532"/>
      <c r="AB83" s="532"/>
      <c r="AD83" s="629"/>
      <c r="AE83" s="93"/>
      <c r="AR83" s="93"/>
      <c r="AS83" s="93"/>
      <c r="AW83" s="842"/>
    </row>
    <row r="84" spans="22:57">
      <c r="V84" s="532"/>
      <c r="W84" s="532"/>
      <c r="X84" s="532"/>
      <c r="Y84" s="531"/>
      <c r="Z84" s="532"/>
      <c r="AA84" s="532"/>
      <c r="AB84" s="532"/>
      <c r="AD84" s="629"/>
      <c r="AE84" s="93"/>
      <c r="AR84" s="93"/>
      <c r="AS84" s="93"/>
      <c r="AW84" s="842"/>
    </row>
    <row r="85" spans="22:57">
      <c r="V85" s="532"/>
      <c r="W85" s="532"/>
      <c r="X85" s="532"/>
      <c r="Y85" s="531"/>
      <c r="Z85" s="532"/>
      <c r="AA85" s="532"/>
      <c r="AB85" s="532"/>
      <c r="AD85" s="629"/>
      <c r="AE85" s="93"/>
      <c r="AR85" s="93"/>
      <c r="AS85" s="93"/>
      <c r="AW85" s="842"/>
    </row>
    <row r="86" spans="22:57">
      <c r="V86" s="532"/>
      <c r="W86" s="532"/>
      <c r="X86" s="532"/>
      <c r="Y86" s="531"/>
      <c r="Z86" s="532"/>
      <c r="AA86" s="532"/>
      <c r="AB86" s="532"/>
      <c r="AD86" s="629"/>
      <c r="AE86" s="93"/>
      <c r="AR86" s="93"/>
      <c r="AS86" s="93"/>
      <c r="AW86" s="1128"/>
    </row>
    <row r="87" spans="22:57">
      <c r="V87" s="532"/>
      <c r="W87" s="532"/>
      <c r="X87" s="532"/>
      <c r="Y87" s="531"/>
      <c r="Z87" s="532"/>
      <c r="AA87" s="532"/>
      <c r="AB87" s="532"/>
      <c r="AD87" s="629"/>
      <c r="AE87" s="93"/>
      <c r="AR87" s="93"/>
      <c r="AS87" s="93"/>
    </row>
    <row r="88" spans="22:57">
      <c r="V88" s="532"/>
      <c r="W88" s="532"/>
      <c r="X88" s="532"/>
      <c r="Y88" s="531"/>
      <c r="Z88" s="532"/>
      <c r="AA88" s="532"/>
      <c r="AB88" s="532"/>
      <c r="AD88" s="629"/>
      <c r="AE88" s="93"/>
      <c r="AR88" s="93"/>
      <c r="AS88" s="93"/>
    </row>
    <row r="89" spans="22:57">
      <c r="V89" s="532"/>
      <c r="W89" s="532"/>
      <c r="X89" s="532"/>
      <c r="Y89" s="531"/>
      <c r="Z89" s="532"/>
      <c r="AA89" s="532"/>
      <c r="AB89" s="532"/>
      <c r="AD89" s="629"/>
      <c r="AE89" s="93"/>
      <c r="AR89" s="93"/>
      <c r="AS89" s="93"/>
    </row>
    <row r="90" spans="22:57">
      <c r="V90" s="532"/>
      <c r="W90" s="532"/>
      <c r="X90" s="532"/>
      <c r="Y90" s="531"/>
      <c r="Z90" s="532"/>
      <c r="AA90" s="532"/>
      <c r="AB90" s="532"/>
      <c r="AD90" s="629"/>
      <c r="AE90" s="93"/>
      <c r="AR90" s="93"/>
      <c r="AS90" s="93"/>
      <c r="AW90" s="109"/>
      <c r="AX90" s="109"/>
      <c r="AY90" s="109"/>
      <c r="AZ90" s="109"/>
      <c r="BA90" s="109"/>
      <c r="BB90" s="109"/>
    </row>
    <row r="91" spans="22:57">
      <c r="V91" s="532"/>
      <c r="W91" s="532"/>
      <c r="X91" s="532"/>
      <c r="Y91" s="531"/>
      <c r="Z91" s="532"/>
      <c r="AA91" s="532"/>
      <c r="AB91" s="532"/>
      <c r="AD91" s="629"/>
      <c r="AE91" s="93"/>
      <c r="AR91" s="93"/>
      <c r="AS91" s="93"/>
      <c r="AW91" s="802" t="s">
        <v>393</v>
      </c>
      <c r="AX91" s="109"/>
      <c r="AY91" s="109"/>
      <c r="AZ91" s="109"/>
      <c r="BA91" s="109"/>
      <c r="BB91" s="109"/>
    </row>
    <row r="92" spans="22:57">
      <c r="V92" s="532"/>
      <c r="W92" s="532"/>
      <c r="X92" s="532"/>
      <c r="Y92" s="531"/>
      <c r="Z92" s="532"/>
      <c r="AA92" s="532"/>
      <c r="AB92" s="532"/>
      <c r="AD92" s="629"/>
      <c r="AE92" s="93"/>
      <c r="AR92" s="93"/>
      <c r="AS92" s="93"/>
      <c r="AW92" s="800" t="s">
        <v>22</v>
      </c>
      <c r="AX92" s="44"/>
      <c r="AY92" s="28"/>
      <c r="AZ92" s="28"/>
      <c r="BA92" s="28"/>
      <c r="BB92" s="28"/>
      <c r="BD92"/>
      <c r="BE92"/>
    </row>
    <row r="93" spans="22:57">
      <c r="V93" s="532"/>
      <c r="W93" s="532"/>
      <c r="X93" s="532"/>
      <c r="Y93" s="531"/>
      <c r="Z93" s="532"/>
      <c r="AA93" s="532"/>
      <c r="AB93" s="532"/>
      <c r="AD93" s="629"/>
      <c r="AE93" s="93"/>
      <c r="AR93" s="93"/>
      <c r="AS93" s="93"/>
      <c r="AW93" s="800" t="s">
        <v>388</v>
      </c>
      <c r="AX93" s="44"/>
      <c r="AY93" s="28"/>
      <c r="AZ93" s="28"/>
      <c r="BA93" s="28"/>
      <c r="BB93" s="28"/>
      <c r="BD93"/>
      <c r="BE93"/>
    </row>
    <row r="94" spans="22:57">
      <c r="V94" s="532"/>
      <c r="W94" s="532"/>
      <c r="X94" s="532"/>
      <c r="Y94" s="531"/>
      <c r="Z94" s="532"/>
      <c r="AA94" s="532"/>
      <c r="AB94" s="532"/>
      <c r="AD94" s="629"/>
      <c r="AE94" s="93"/>
      <c r="AR94" s="93"/>
      <c r="AS94" s="93"/>
      <c r="AW94" s="800" t="s">
        <v>389</v>
      </c>
      <c r="AX94" s="44"/>
      <c r="AY94" s="28"/>
      <c r="AZ94" s="28"/>
      <c r="BA94" s="28"/>
      <c r="BB94" s="28"/>
      <c r="BD94"/>
      <c r="BE94"/>
    </row>
    <row r="95" spans="22:57">
      <c r="V95" s="532"/>
      <c r="W95" s="532"/>
      <c r="X95" s="532"/>
      <c r="Y95" s="531"/>
      <c r="Z95" s="532"/>
      <c r="AA95" s="532"/>
      <c r="AB95" s="532"/>
      <c r="AD95" s="629"/>
      <c r="AE95" s="93"/>
      <c r="AR95" s="93"/>
      <c r="AS95" s="93"/>
      <c r="AW95" s="800" t="s">
        <v>390</v>
      </c>
      <c r="AX95" s="44"/>
      <c r="AY95" s="28"/>
      <c r="AZ95" s="28"/>
      <c r="BA95" s="28"/>
      <c r="BB95" s="28"/>
      <c r="BD95"/>
      <c r="BE95"/>
    </row>
    <row r="96" spans="22:57" ht="13.5" thickBot="1">
      <c r="AD96" s="629"/>
      <c r="AE96" s="93"/>
      <c r="AR96" s="93"/>
      <c r="AS96" s="93"/>
      <c r="AW96" s="803" t="s">
        <v>394</v>
      </c>
      <c r="AX96" s="44"/>
      <c r="AY96" s="28"/>
      <c r="AZ96" s="28"/>
      <c r="BA96" s="28"/>
      <c r="BB96" s="28"/>
      <c r="BC96"/>
      <c r="BD96"/>
      <c r="BE96"/>
    </row>
    <row r="97" spans="30:57">
      <c r="AD97" s="629"/>
      <c r="AE97" s="93"/>
      <c r="AR97" s="93"/>
      <c r="AS97" s="93"/>
      <c r="AW97" s="1"/>
      <c r="AX97" s="44"/>
      <c r="AY97" s="28"/>
      <c r="AZ97" s="28"/>
      <c r="BA97" s="28"/>
      <c r="BB97" s="28"/>
      <c r="BC97"/>
      <c r="BD97"/>
      <c r="BE97"/>
    </row>
    <row r="98" spans="30:57">
      <c r="AD98" s="629"/>
      <c r="AE98" s="93"/>
      <c r="AR98" s="93"/>
      <c r="AS98" s="93"/>
      <c r="AW98" s="28"/>
      <c r="AX98" s="44"/>
      <c r="AY98" s="28"/>
      <c r="AZ98" s="28"/>
      <c r="BA98" s="28"/>
      <c r="BB98" s="28"/>
      <c r="BC98"/>
      <c r="BD98"/>
      <c r="BE98"/>
    </row>
    <row r="99" spans="30:57">
      <c r="AD99" s="629"/>
      <c r="AE99" s="93"/>
      <c r="AR99" s="93"/>
      <c r="AS99" s="93"/>
      <c r="AW99" s="28"/>
      <c r="AX99" s="44"/>
      <c r="AY99" s="28"/>
      <c r="AZ99" s="28"/>
      <c r="BA99" s="28"/>
      <c r="BB99" s="28"/>
      <c r="BC99"/>
      <c r="BD99"/>
      <c r="BE99"/>
    </row>
    <row r="100" spans="30:57">
      <c r="AD100" s="629"/>
      <c r="AE100" s="93"/>
      <c r="AR100" s="93"/>
      <c r="AS100" s="93"/>
      <c r="AW100" s="45"/>
      <c r="AX100" s="44"/>
      <c r="AY100" s="45"/>
      <c r="AZ100" s="45"/>
      <c r="BA100" s="45"/>
      <c r="BB100" s="45"/>
      <c r="BC100"/>
      <c r="BD100"/>
      <c r="BE100"/>
    </row>
    <row r="101" spans="30:57">
      <c r="AD101" s="629"/>
      <c r="AE101" s="93"/>
      <c r="AR101" s="93"/>
      <c r="AS101" s="93"/>
      <c r="AW101" s="1"/>
      <c r="AX101" s="44"/>
      <c r="AY101" s="1"/>
      <c r="AZ101" s="1"/>
      <c r="BA101" s="1"/>
      <c r="BB101" s="1"/>
      <c r="BC101"/>
      <c r="BD101"/>
      <c r="BE101"/>
    </row>
    <row r="102" spans="30:57">
      <c r="AD102" s="629"/>
      <c r="AE102" s="93"/>
      <c r="AF102" s="361"/>
      <c r="AR102" s="93"/>
      <c r="AS102" s="93"/>
      <c r="AW102" s="1"/>
      <c r="AX102" s="44"/>
      <c r="AY102" s="1"/>
      <c r="AZ102" s="1"/>
      <c r="BA102" s="1"/>
      <c r="BB102" s="1"/>
      <c r="BC102" s="28"/>
      <c r="BD102" s="28"/>
      <c r="BE102" s="28"/>
    </row>
    <row r="103" spans="30:57">
      <c r="AD103" s="629"/>
      <c r="AE103" s="93"/>
      <c r="AF103" s="361"/>
      <c r="AR103" s="93"/>
      <c r="AS103" s="93"/>
      <c r="AW103" s="1"/>
      <c r="AX103" s="44"/>
      <c r="AY103" s="1"/>
      <c r="AZ103" s="1"/>
      <c r="BA103" s="1"/>
      <c r="BB103" s="1"/>
      <c r="BC103" s="28"/>
      <c r="BD103" s="28"/>
      <c r="BE103" s="28"/>
    </row>
    <row r="104" spans="30:57">
      <c r="AD104" s="629"/>
      <c r="AE104" s="93"/>
      <c r="AF104" s="361"/>
      <c r="AR104" s="93"/>
      <c r="AS104" s="93"/>
      <c r="AW104" s="28"/>
      <c r="AX104" s="44"/>
      <c r="AY104" s="28"/>
      <c r="AZ104" s="28"/>
      <c r="BA104" s="28"/>
      <c r="BB104" s="28"/>
      <c r="BC104" s="28"/>
      <c r="BD104" s="28"/>
      <c r="BE104" s="28"/>
    </row>
    <row r="105" spans="30:57">
      <c r="AW105" s="842"/>
      <c r="AX105" s="44"/>
      <c r="AY105" s="45"/>
      <c r="AZ105" s="1129"/>
      <c r="BA105" s="45"/>
      <c r="BB105" s="45"/>
      <c r="BC105" s="45"/>
      <c r="BD105" s="45"/>
      <c r="BE105" s="45"/>
    </row>
    <row r="106" spans="30:57">
      <c r="AW106" s="842"/>
      <c r="AX106" s="44"/>
      <c r="AY106" s="1007"/>
      <c r="AZ106" s="1075"/>
      <c r="BA106" s="1007"/>
      <c r="BB106" s="1007"/>
      <c r="BC106" s="1007"/>
      <c r="BD106" s="1007"/>
      <c r="BE106" s="1007"/>
    </row>
    <row r="107" spans="30:57">
      <c r="AW107" s="842"/>
      <c r="AX107" s="44"/>
      <c r="AY107" s="1007"/>
      <c r="AZ107" s="1075"/>
      <c r="BA107" s="1007"/>
      <c r="BB107" s="1007"/>
      <c r="BC107" s="1007"/>
      <c r="BD107" s="1007"/>
      <c r="BE107" s="1007"/>
    </row>
    <row r="108" spans="30:57">
      <c r="AW108" s="842"/>
      <c r="AX108" s="44"/>
      <c r="AY108" s="1007"/>
      <c r="AZ108" s="1075"/>
      <c r="BA108" s="1007"/>
      <c r="BB108" s="1007"/>
      <c r="BC108" s="1007"/>
      <c r="BD108" s="1007"/>
      <c r="BE108" s="1007"/>
    </row>
    <row r="109" spans="30:57">
      <c r="AW109" s="842"/>
      <c r="AX109" s="44"/>
      <c r="AY109" s="1007"/>
      <c r="AZ109" s="1075"/>
      <c r="BA109" s="1007"/>
      <c r="BB109" s="1007"/>
      <c r="BC109" s="1007"/>
      <c r="BD109" s="1007"/>
      <c r="BE109" s="1007"/>
    </row>
    <row r="110" spans="30:57">
      <c r="AW110" s="1128"/>
      <c r="AX110" s="44"/>
      <c r="AY110" s="1007"/>
      <c r="AZ110" s="1075"/>
      <c r="BA110" s="1007"/>
      <c r="BB110" s="1007"/>
      <c r="BC110" s="1007"/>
      <c r="BD110" s="1007"/>
      <c r="BE110" s="1007"/>
    </row>
    <row r="111" spans="30:57">
      <c r="AW111" s="1"/>
      <c r="AX111" s="44"/>
      <c r="AY111" s="1006"/>
      <c r="AZ111" s="1006"/>
      <c r="BA111" s="1006"/>
      <c r="BB111" s="1006"/>
      <c r="BC111" s="1006"/>
      <c r="BD111" s="1006"/>
      <c r="BE111" s="1006"/>
    </row>
    <row r="112" spans="30:57">
      <c r="AW112" s="1"/>
      <c r="AX112" s="44"/>
      <c r="AY112" s="1006"/>
      <c r="AZ112" s="1006"/>
      <c r="BA112" s="1006"/>
      <c r="BB112" s="1006"/>
      <c r="BC112" s="1006"/>
      <c r="BD112" s="1006"/>
      <c r="BE112" s="1006"/>
    </row>
    <row r="113" spans="49:57">
      <c r="AW113"/>
      <c r="AX113" s="44"/>
      <c r="AY113"/>
      <c r="AZ113"/>
      <c r="BA113"/>
      <c r="BB113"/>
      <c r="BC113" s="28"/>
      <c r="BD113" s="28"/>
      <c r="BE113" s="28"/>
    </row>
    <row r="114" spans="49:57">
      <c r="AW114"/>
      <c r="AX114"/>
      <c r="AY114"/>
      <c r="AZ114"/>
      <c r="BA114"/>
      <c r="BB114"/>
      <c r="BC114"/>
      <c r="BD114"/>
      <c r="BE114"/>
    </row>
    <row r="115" spans="49:57">
      <c r="AW115" s="28"/>
      <c r="AX115" s="28"/>
      <c r="AY115" s="28"/>
      <c r="AZ115" s="28"/>
      <c r="BA115" s="28"/>
      <c r="BB115" s="28"/>
      <c r="BC115" s="28"/>
      <c r="BD115" s="28"/>
      <c r="BE115" s="28"/>
    </row>
    <row r="116" spans="49:57">
      <c r="AW116" s="28"/>
      <c r="AX116" s="28"/>
      <c r="AY116" s="28"/>
      <c r="AZ116" s="28"/>
      <c r="BA116" s="28"/>
      <c r="BB116" s="28"/>
      <c r="BC116" s="28"/>
      <c r="BD116" s="28"/>
      <c r="BE116" s="28"/>
    </row>
    <row r="117" spans="49:57">
      <c r="AW117" s="44"/>
      <c r="AX117" s="44"/>
      <c r="AY117" s="28"/>
      <c r="AZ117" s="28"/>
      <c r="BA117" s="28"/>
      <c r="BB117" s="28"/>
      <c r="BC117" s="28"/>
      <c r="BD117" s="28"/>
      <c r="BE117" s="28"/>
    </row>
    <row r="118" spans="49:57">
      <c r="AW118" s="1"/>
      <c r="AX118" s="1"/>
      <c r="AY118" s="28"/>
      <c r="AZ118" s="28"/>
      <c r="BA118" s="28"/>
      <c r="BB118" s="28"/>
      <c r="BC118" s="28"/>
      <c r="BD118" s="28"/>
      <c r="BE118" s="28"/>
    </row>
    <row r="119" spans="49:57">
      <c r="AW119" s="1"/>
      <c r="AX119" s="1"/>
      <c r="AY119" s="28"/>
      <c r="AZ119" s="28"/>
      <c r="BA119" s="28"/>
      <c r="BB119" s="28"/>
      <c r="BC119" s="28"/>
      <c r="BD119" s="28"/>
      <c r="BE119" s="28"/>
    </row>
    <row r="120" spans="49:57">
      <c r="AW120" s="1"/>
      <c r="AX120" s="1"/>
      <c r="AY120" s="28"/>
      <c r="AZ120" s="28"/>
      <c r="BA120" s="28"/>
      <c r="BB120" s="28"/>
      <c r="BC120" s="28"/>
      <c r="BD120" s="28"/>
      <c r="BE120" s="28"/>
    </row>
    <row r="121" spans="49:57">
      <c r="AW121" s="1"/>
      <c r="AX121" s="1"/>
      <c r="AY121" s="28"/>
      <c r="AZ121" s="28"/>
      <c r="BA121" s="28"/>
      <c r="BB121" s="28"/>
      <c r="BC121" s="28"/>
      <c r="BD121" s="28"/>
      <c r="BE121" s="28"/>
    </row>
    <row r="122" spans="49:57">
      <c r="AW122" s="1"/>
      <c r="AX122" s="1"/>
      <c r="AY122" s="28"/>
      <c r="AZ122" s="28"/>
      <c r="BA122" s="28"/>
      <c r="BB122" s="28"/>
      <c r="BC122" s="28"/>
      <c r="BD122" s="28"/>
      <c r="BE122" s="28"/>
    </row>
    <row r="123" spans="49:57">
      <c r="AW123" s="28"/>
      <c r="AX123" s="28"/>
      <c r="AY123" s="28"/>
      <c r="AZ123" s="28"/>
      <c r="BA123" s="28"/>
      <c r="BB123" s="28"/>
      <c r="BC123" s="28"/>
      <c r="BD123" s="28"/>
      <c r="BE123" s="28"/>
    </row>
    <row r="124" spans="49:57">
      <c r="AW124" s="28"/>
      <c r="AX124" s="28"/>
      <c r="AY124" s="28"/>
      <c r="AZ124" s="28"/>
      <c r="BA124" s="28"/>
      <c r="BB124" s="28"/>
      <c r="BC124" s="28"/>
      <c r="BD124" s="28"/>
      <c r="BE124" s="28"/>
    </row>
    <row r="125" spans="49:57">
      <c r="AW125" s="45"/>
      <c r="AX125" s="45"/>
      <c r="AY125" s="45"/>
      <c r="AZ125" s="45"/>
      <c r="BA125" s="45"/>
      <c r="BB125" s="45"/>
      <c r="BC125" s="28"/>
      <c r="BD125" s="28"/>
      <c r="BE125" s="28"/>
    </row>
    <row r="126" spans="49:57">
      <c r="AW126" s="1"/>
      <c r="AX126" s="1"/>
      <c r="AY126" s="1"/>
      <c r="AZ126" s="1"/>
      <c r="BA126" s="1"/>
      <c r="BB126" s="1"/>
      <c r="BC126" s="28"/>
      <c r="BD126" s="28"/>
      <c r="BE126" s="28"/>
    </row>
    <row r="127" spans="49:57">
      <c r="AW127" s="1"/>
      <c r="AX127" s="1"/>
      <c r="AY127" s="1"/>
      <c r="AZ127" s="1"/>
      <c r="BA127" s="1"/>
      <c r="BB127" s="1"/>
      <c r="BC127" s="28"/>
      <c r="BD127" s="28"/>
      <c r="BE127" s="28"/>
    </row>
    <row r="128" spans="49:57">
      <c r="AW128" s="1"/>
      <c r="AX128" s="1"/>
      <c r="AY128" s="1"/>
      <c r="AZ128" s="1"/>
      <c r="BA128" s="1"/>
      <c r="BB128" s="1"/>
      <c r="BC128" s="28"/>
      <c r="BD128" s="28"/>
      <c r="BE128" s="28"/>
    </row>
    <row r="129" spans="49:57">
      <c r="AW129" s="28"/>
      <c r="AX129" s="28"/>
      <c r="AY129" s="28"/>
      <c r="AZ129" s="28"/>
      <c r="BA129" s="28"/>
      <c r="BB129" s="28"/>
      <c r="BC129" s="28"/>
      <c r="BD129" s="28"/>
      <c r="BE129" s="28"/>
    </row>
    <row r="130" spans="49:57">
      <c r="AW130" s="45"/>
      <c r="AX130" s="45"/>
      <c r="AY130" s="45"/>
      <c r="AZ130" s="45"/>
      <c r="BA130" s="45"/>
      <c r="BB130" s="45"/>
      <c r="BC130" s="45"/>
      <c r="BD130" s="45"/>
      <c r="BE130" s="45"/>
    </row>
    <row r="131" spans="49:57">
      <c r="AW131" s="1"/>
      <c r="AX131" s="1"/>
      <c r="AY131" s="1"/>
      <c r="AZ131" s="1"/>
      <c r="BA131" s="1"/>
      <c r="BB131" s="1"/>
      <c r="BC131" s="1"/>
      <c r="BD131" s="1"/>
      <c r="BE131" s="1"/>
    </row>
    <row r="132" spans="49:57">
      <c r="AW132" s="1"/>
      <c r="AX132" s="1"/>
      <c r="AY132" s="1"/>
      <c r="AZ132" s="1"/>
      <c r="BA132" s="1"/>
      <c r="BB132" s="1"/>
      <c r="BC132" s="1"/>
      <c r="BD132" s="1"/>
      <c r="BE132" s="1"/>
    </row>
    <row r="133" spans="49:57">
      <c r="AW133" s="1"/>
      <c r="AX133" s="1"/>
      <c r="AY133" s="1"/>
      <c r="AZ133" s="1"/>
      <c r="BA133" s="1"/>
      <c r="BB133" s="1"/>
      <c r="BC133" s="1"/>
      <c r="BD133" s="1"/>
      <c r="BE133" s="1"/>
    </row>
    <row r="134" spans="49:57">
      <c r="AW134" s="1"/>
      <c r="AX134" s="1"/>
      <c r="AY134" s="1"/>
      <c r="AZ134" s="1"/>
      <c r="BA134" s="1"/>
      <c r="BB134" s="1"/>
      <c r="BC134" s="1"/>
      <c r="BD134" s="1"/>
      <c r="BE134" s="1"/>
    </row>
    <row r="135" spans="49:57">
      <c r="AW135" s="1"/>
      <c r="AX135" s="1"/>
      <c r="AY135" s="1"/>
      <c r="AZ135" s="1"/>
      <c r="BA135" s="1"/>
      <c r="BB135" s="1"/>
      <c r="BC135" s="1"/>
      <c r="BD135" s="1"/>
      <c r="BE135" s="1"/>
    </row>
    <row r="136" spans="49:57">
      <c r="AW136" s="28"/>
      <c r="AX136" s="28"/>
      <c r="AY136" s="28"/>
      <c r="AZ136" s="28"/>
      <c r="BA136" s="28"/>
      <c r="BB136" s="28"/>
      <c r="BC136" s="28"/>
      <c r="BD136" s="28"/>
      <c r="BE136" s="28"/>
    </row>
    <row r="137" spans="49:57">
      <c r="AW137" s="28"/>
      <c r="AX137" s="28"/>
      <c r="AY137" s="28"/>
      <c r="AZ137" s="28"/>
      <c r="BA137" s="28"/>
      <c r="BB137" s="28"/>
      <c r="BC137" s="28"/>
      <c r="BD137" s="28"/>
      <c r="BE137" s="28"/>
    </row>
    <row r="138" spans="49:57">
      <c r="AW138" s="28"/>
      <c r="AX138" s="28"/>
      <c r="AY138" s="28"/>
      <c r="AZ138" s="28"/>
      <c r="BA138" s="28"/>
      <c r="BB138" s="28"/>
      <c r="BC138" s="28"/>
      <c r="BD138" s="28"/>
      <c r="BE138" s="28"/>
    </row>
  </sheetData>
  <mergeCells count="9">
    <mergeCell ref="AG75:AH75"/>
    <mergeCell ref="AG76:AH76"/>
    <mergeCell ref="D6:G6"/>
    <mergeCell ref="AI5:AJ5"/>
    <mergeCell ref="N4:O4"/>
    <mergeCell ref="N5:O5"/>
    <mergeCell ref="N6:O6"/>
    <mergeCell ref="S5:U5"/>
    <mergeCell ref="S6:U6"/>
  </mergeCells>
  <phoneticPr fontId="52" type="noConversion"/>
  <printOptions horizontalCentered="1"/>
  <pageMargins left="0.25" right="0.25" top="0.5" bottom="0.75" header="0" footer="0.25"/>
  <pageSetup scale="61" orientation="landscape" horizontalDpi="300" verticalDpi="300" r:id="rId1"/>
  <headerFooter alignWithMargins="0">
    <oddFooter>&amp;LLoad Forecasting : &amp;D&amp;R14LGBRA-NRGPOD1-6-DOC 38
14BGBRA-STAFFROG1-19A-DOC 38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87"/>
  <sheetViews>
    <sheetView tabSelected="1" zoomScale="75" workbookViewId="0">
      <pane xSplit="4" ySplit="6" topLeftCell="E7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/>
  <cols>
    <col min="1" max="1" width="6.28515625" style="123" bestFit="1" customWidth="1"/>
    <col min="2" max="2" width="9.28515625" style="123" customWidth="1"/>
    <col min="3" max="3" width="4" style="123" bestFit="1" customWidth="1"/>
    <col min="4" max="4" width="5.5703125" style="123" bestFit="1" customWidth="1"/>
    <col min="5" max="5" width="8.7109375" style="123" bestFit="1" customWidth="1"/>
    <col min="6" max="6" width="10.42578125" style="123" bestFit="1" customWidth="1"/>
    <col min="7" max="7" width="11.140625" style="123" bestFit="1" customWidth="1"/>
    <col min="8" max="8" width="8.28515625" style="123" bestFit="1" customWidth="1"/>
    <col min="9" max="9" width="9.42578125" style="123" bestFit="1" customWidth="1"/>
    <col min="10" max="10" width="8.7109375" style="123" bestFit="1" customWidth="1"/>
    <col min="11" max="11" width="10" style="123" bestFit="1" customWidth="1"/>
    <col min="12" max="12" width="7.7109375" style="123" bestFit="1" customWidth="1"/>
    <col min="13" max="13" width="11.42578125" style="123" bestFit="1" customWidth="1"/>
    <col min="14" max="14" width="7.140625" style="123" bestFit="1" customWidth="1"/>
    <col min="15" max="15" width="7.7109375" style="123" bestFit="1" customWidth="1"/>
    <col min="16" max="16" width="12.7109375" style="123" bestFit="1" customWidth="1"/>
    <col min="17" max="18" width="12.7109375" style="123" customWidth="1"/>
    <col min="19" max="19" width="14.28515625" style="123" bestFit="1" customWidth="1"/>
    <col min="20" max="20" width="13.85546875" style="123" bestFit="1" customWidth="1"/>
    <col min="21" max="21" width="12.7109375" style="123" bestFit="1" customWidth="1"/>
    <col min="22" max="22" width="9.85546875" style="124" bestFit="1" customWidth="1"/>
    <col min="23" max="23" width="12.28515625" style="124" bestFit="1" customWidth="1"/>
    <col min="24" max="27" width="9.140625" style="124"/>
    <col min="28" max="28" width="11" style="124" bestFit="1" customWidth="1"/>
    <col min="29" max="31" width="9.140625" style="124"/>
    <col min="32" max="32" width="10.28515625" style="124" bestFit="1" customWidth="1"/>
    <col min="33" max="33" width="9.140625" style="124"/>
    <col min="34" max="34" width="11.7109375" style="124" bestFit="1" customWidth="1"/>
    <col min="35" max="35" width="10.5703125" style="124" bestFit="1" customWidth="1"/>
    <col min="36" max="40" width="9.140625" style="124"/>
    <col min="41" max="41" width="6.5703125" style="124" customWidth="1"/>
    <col min="42" max="42" width="11.7109375" style="124" bestFit="1" customWidth="1"/>
    <col min="43" max="43" width="15" style="124" customWidth="1"/>
    <col min="44" max="44" width="16" style="124" customWidth="1"/>
    <col min="45" max="47" width="12.7109375" style="124" customWidth="1"/>
    <col min="48" max="48" width="14" style="124" bestFit="1" customWidth="1"/>
    <col min="49" max="51" width="9.140625" style="124"/>
    <col min="52" max="52" width="11.5703125" style="124" bestFit="1" customWidth="1"/>
    <col min="53" max="53" width="11.85546875" style="124" customWidth="1"/>
    <col min="54" max="16384" width="9.140625" style="124"/>
  </cols>
  <sheetData>
    <row r="1" spans="1:60" s="122" customFormat="1" ht="13.5" thickBot="1">
      <c r="A1" s="906" t="s">
        <v>103</v>
      </c>
      <c r="B1" s="1583"/>
      <c r="C1" s="1583"/>
      <c r="D1" s="1583"/>
      <c r="E1" s="1583"/>
      <c r="F1" s="1583"/>
      <c r="G1" s="1583"/>
      <c r="H1" s="1583"/>
      <c r="I1" s="1583"/>
      <c r="J1" s="1583"/>
      <c r="K1" s="1583" t="s">
        <v>634</v>
      </c>
      <c r="L1" s="1583"/>
      <c r="M1" s="1583"/>
      <c r="N1" s="1583"/>
      <c r="O1" s="1583"/>
      <c r="P1" s="1583"/>
      <c r="Q1" s="308" t="s">
        <v>634</v>
      </c>
      <c r="R1" s="308" t="s">
        <v>634</v>
      </c>
      <c r="S1" s="308" t="s">
        <v>634</v>
      </c>
      <c r="T1" s="308" t="s">
        <v>634</v>
      </c>
      <c r="U1" s="308" t="s">
        <v>634</v>
      </c>
      <c r="V1" s="1058" t="s">
        <v>634</v>
      </c>
      <c r="W1" s="1058" t="s">
        <v>634</v>
      </c>
      <c r="AD1" s="1604" t="s">
        <v>112</v>
      </c>
      <c r="AE1" s="1604"/>
      <c r="AF1" s="1604"/>
      <c r="AG1" s="1604"/>
      <c r="AH1" s="1604"/>
      <c r="AI1" s="1604"/>
      <c r="AJ1" s="1604"/>
      <c r="AK1" s="1604"/>
      <c r="AL1" s="1604"/>
      <c r="AM1" s="1604"/>
      <c r="AN1" s="1604"/>
      <c r="AO1" s="1604"/>
      <c r="AP1" s="1604"/>
      <c r="AQ1" s="1604"/>
      <c r="AR1" s="1604"/>
      <c r="AS1" s="1604"/>
      <c r="AT1" s="1604"/>
      <c r="AU1" s="1604"/>
    </row>
    <row r="2" spans="1:60">
      <c r="P2" s="1190" t="str">
        <f>Feb!P2</f>
        <v>CF_201309</v>
      </c>
      <c r="R2" s="1190" t="str">
        <f>Feb!R2</f>
        <v>13_EDB_Adjmt.xlsx</v>
      </c>
      <c r="S2" s="109"/>
      <c r="T2" s="1190" t="str">
        <f>P2</f>
        <v>CF_201309</v>
      </c>
      <c r="AC2" s="414"/>
    </row>
    <row r="3" spans="1:60">
      <c r="J3" s="265" t="s">
        <v>21</v>
      </c>
      <c r="M3" s="123" t="s">
        <v>58</v>
      </c>
      <c r="Q3" s="92"/>
      <c r="R3" s="92"/>
      <c r="S3" s="92"/>
      <c r="T3" s="92"/>
      <c r="AC3" s="414"/>
    </row>
    <row r="4" spans="1:60">
      <c r="J4" s="123" t="s">
        <v>6</v>
      </c>
      <c r="L4" s="780" t="s">
        <v>363</v>
      </c>
      <c r="M4" s="123" t="s">
        <v>6</v>
      </c>
      <c r="O4" s="123" t="s">
        <v>1</v>
      </c>
      <c r="Q4" s="353" t="s">
        <v>186</v>
      </c>
      <c r="R4" s="687">
        <f>[2]ssr!$K$181</f>
        <v>0.60929999999999995</v>
      </c>
      <c r="S4" s="370"/>
      <c r="T4" s="92"/>
      <c r="U4" s="810" t="s">
        <v>396</v>
      </c>
      <c r="X4" s="123"/>
      <c r="Y4" s="123"/>
      <c r="AC4" s="1338"/>
      <c r="AD4" s="125" t="s">
        <v>178</v>
      </c>
    </row>
    <row r="5" spans="1:60">
      <c r="J5" s="123" t="s">
        <v>61</v>
      </c>
      <c r="L5" s="123" t="s">
        <v>87</v>
      </c>
      <c r="M5" s="123" t="s">
        <v>61</v>
      </c>
      <c r="N5" s="123" t="s">
        <v>0</v>
      </c>
      <c r="O5" s="123" t="s">
        <v>6</v>
      </c>
      <c r="P5" s="810" t="s">
        <v>396</v>
      </c>
      <c r="Q5" s="351" t="s">
        <v>187</v>
      </c>
      <c r="R5" s="350" t="s">
        <v>189</v>
      </c>
      <c r="S5" s="350" t="s">
        <v>21</v>
      </c>
      <c r="T5" s="92"/>
      <c r="U5" s="309" t="s">
        <v>315</v>
      </c>
      <c r="V5" s="351" t="s">
        <v>346</v>
      </c>
      <c r="W5" s="350" t="s">
        <v>194</v>
      </c>
      <c r="X5" s="265" t="s">
        <v>213</v>
      </c>
      <c r="Y5" s="123"/>
      <c r="AC5" s="1339"/>
      <c r="AE5" s="810"/>
      <c r="AG5" s="265" t="s">
        <v>294</v>
      </c>
    </row>
    <row r="6" spans="1:60" s="129" customFormat="1" ht="13.5" thickBot="1">
      <c r="A6" s="121" t="s">
        <v>9</v>
      </c>
      <c r="B6" s="121" t="s">
        <v>88</v>
      </c>
      <c r="C6" s="121" t="s">
        <v>89</v>
      </c>
      <c r="D6" s="121" t="s">
        <v>90</v>
      </c>
      <c r="E6" s="121" t="s">
        <v>91</v>
      </c>
      <c r="F6" s="121" t="s">
        <v>92</v>
      </c>
      <c r="G6" s="121" t="s">
        <v>93</v>
      </c>
      <c r="H6" s="121" t="s">
        <v>94</v>
      </c>
      <c r="I6" s="121" t="s">
        <v>95</v>
      </c>
      <c r="J6" s="121" t="s">
        <v>62</v>
      </c>
      <c r="K6" s="121" t="s">
        <v>57</v>
      </c>
      <c r="L6" s="121" t="s">
        <v>77</v>
      </c>
      <c r="M6" s="121" t="s">
        <v>59</v>
      </c>
      <c r="N6" s="324" t="s">
        <v>66</v>
      </c>
      <c r="O6" s="1211" t="s">
        <v>567</v>
      </c>
      <c r="P6" s="178" t="s">
        <v>197</v>
      </c>
      <c r="Q6" s="352" t="s">
        <v>226</v>
      </c>
      <c r="R6" s="352" t="s">
        <v>190</v>
      </c>
      <c r="S6" s="94" t="s">
        <v>188</v>
      </c>
      <c r="T6" s="343" t="s">
        <v>191</v>
      </c>
      <c r="U6" s="112" t="s">
        <v>316</v>
      </c>
      <c r="V6" s="343" t="s">
        <v>345</v>
      </c>
      <c r="W6" s="359" t="s">
        <v>169</v>
      </c>
      <c r="X6" s="128" t="s">
        <v>8</v>
      </c>
      <c r="Y6" s="128" t="s">
        <v>96</v>
      </c>
      <c r="AD6" s="121" t="s">
        <v>9</v>
      </c>
      <c r="AE6" s="128" t="s">
        <v>179</v>
      </c>
      <c r="AF6" s="121" t="s">
        <v>97</v>
      </c>
      <c r="AG6" s="128" t="s">
        <v>170</v>
      </c>
      <c r="AH6" s="300" t="s">
        <v>245</v>
      </c>
      <c r="AI6" s="300" t="s">
        <v>79</v>
      </c>
      <c r="AJ6" s="121" t="s">
        <v>98</v>
      </c>
      <c r="AK6" s="121" t="s">
        <v>99</v>
      </c>
      <c r="AL6" s="121" t="s">
        <v>100</v>
      </c>
      <c r="AM6" s="178" t="str">
        <f>Sep!AM6</f>
        <v>Fall'13</v>
      </c>
      <c r="AN6" s="178" t="str">
        <f>Sep!AN6</f>
        <v>TYSP'13</v>
      </c>
      <c r="AO6" s="178" t="str">
        <f>Sep!AO6</f>
        <v>Diff</v>
      </c>
      <c r="AP6" s="178" t="str">
        <f>Sep!AP6</f>
        <v>Yr-Yr Growth</v>
      </c>
    </row>
    <row r="7" spans="1:60">
      <c r="B7" s="139"/>
      <c r="D7" s="346"/>
      <c r="E7" s="374"/>
      <c r="V7" s="123"/>
      <c r="W7" s="123"/>
      <c r="X7" s="123"/>
      <c r="Y7" s="123"/>
      <c r="AI7" s="379"/>
    </row>
    <row r="8" spans="1:60">
      <c r="A8" s="123">
        <v>1975</v>
      </c>
      <c r="B8" s="139">
        <v>27682</v>
      </c>
      <c r="C8" s="123">
        <v>18</v>
      </c>
      <c r="D8" s="346" t="str">
        <f t="shared" ref="D8:D34" si="0">TEXT(WEEKDAY(B8),"ddd")</f>
        <v>Wed</v>
      </c>
      <c r="E8" s="347">
        <v>2619</v>
      </c>
      <c r="P8" s="374">
        <f>[4]Data!$I304</f>
        <v>618409</v>
      </c>
      <c r="U8" s="374">
        <f t="shared" ref="U8:U29" si="1">P8-Q8</f>
        <v>618409</v>
      </c>
      <c r="V8" s="123"/>
      <c r="X8" s="339"/>
      <c r="Y8" s="339"/>
      <c r="AI8" s="379"/>
    </row>
    <row r="9" spans="1:60">
      <c r="A9" s="123">
        <v>1976</v>
      </c>
      <c r="B9" s="139">
        <v>28039</v>
      </c>
      <c r="C9" s="123">
        <v>19</v>
      </c>
      <c r="D9" s="346" t="str">
        <f t="shared" si="0"/>
        <v>Wed</v>
      </c>
      <c r="E9" s="347">
        <v>2499</v>
      </c>
      <c r="P9" s="374">
        <f>[4]Data!$I305</f>
        <v>641971</v>
      </c>
      <c r="U9" s="374">
        <f t="shared" si="1"/>
        <v>641971</v>
      </c>
      <c r="V9" s="123"/>
      <c r="X9" s="339">
        <f>[5]Oct!$J4</f>
        <v>82.9</v>
      </c>
      <c r="Y9" s="339">
        <f>[5]Oct!$M4</f>
        <v>84.9</v>
      </c>
      <c r="AI9" s="379"/>
      <c r="AP9" s="415"/>
      <c r="AQ9" s="792" t="s">
        <v>578</v>
      </c>
      <c r="AR9"/>
      <c r="AS9"/>
      <c r="AT9"/>
    </row>
    <row r="10" spans="1:60">
      <c r="A10" s="123">
        <v>1977</v>
      </c>
      <c r="B10" s="139">
        <v>28399</v>
      </c>
      <c r="C10" s="123">
        <v>18</v>
      </c>
      <c r="D10" s="346" t="str">
        <f t="shared" si="0"/>
        <v>Sat</v>
      </c>
      <c r="E10" s="347">
        <v>2845</v>
      </c>
      <c r="P10" s="374">
        <f>[4]Data!$I306</f>
        <v>667918</v>
      </c>
      <c r="U10" s="374">
        <f t="shared" si="1"/>
        <v>667918</v>
      </c>
      <c r="V10" s="123"/>
      <c r="X10" s="339">
        <f>[5]Oct!$J5</f>
        <v>89.2</v>
      </c>
      <c r="Y10" s="339">
        <f>[5]Oct!$M5</f>
        <v>89.6</v>
      </c>
      <c r="AI10" s="379"/>
      <c r="AQ10" s="107" t="s">
        <v>204</v>
      </c>
      <c r="AR10" s="266"/>
      <c r="AS10" s="266"/>
      <c r="AT10" s="266"/>
    </row>
    <row r="11" spans="1:60">
      <c r="A11" s="123">
        <v>1978</v>
      </c>
      <c r="B11" s="139">
        <v>28769</v>
      </c>
      <c r="C11" s="131">
        <v>17</v>
      </c>
      <c r="D11" s="346" t="str">
        <f t="shared" si="0"/>
        <v>Fri</v>
      </c>
      <c r="E11" s="347">
        <v>2857</v>
      </c>
      <c r="F11" s="132"/>
      <c r="G11" s="132"/>
      <c r="H11" s="132"/>
      <c r="I11" s="132"/>
      <c r="J11" s="133"/>
      <c r="K11" s="132"/>
      <c r="L11" s="133"/>
      <c r="M11" s="133"/>
      <c r="N11" s="133"/>
      <c r="O11" s="133"/>
      <c r="P11" s="374">
        <f>[4]Data!$I307</f>
        <v>699717</v>
      </c>
      <c r="U11" s="374">
        <f t="shared" si="1"/>
        <v>699717</v>
      </c>
      <c r="V11" s="132"/>
      <c r="X11" s="339">
        <f>[5]Oct!$J6</f>
        <v>89.4</v>
      </c>
      <c r="Y11" s="339">
        <f>[5]Oct!$M6</f>
        <v>88.9</v>
      </c>
      <c r="AI11" s="379"/>
      <c r="AQ11" t="s">
        <v>19</v>
      </c>
      <c r="AR11"/>
      <c r="AS11"/>
      <c r="AT11"/>
    </row>
    <row r="12" spans="1:60" ht="13.5" thickBot="1">
      <c r="A12" s="123">
        <v>1979</v>
      </c>
      <c r="B12" s="139">
        <v>29131</v>
      </c>
      <c r="C12" s="131">
        <v>18</v>
      </c>
      <c r="D12" s="346" t="str">
        <f t="shared" si="0"/>
        <v>Wed</v>
      </c>
      <c r="E12" s="347">
        <v>3173</v>
      </c>
      <c r="F12" s="132"/>
      <c r="G12" s="132"/>
      <c r="H12" s="132"/>
      <c r="I12" s="132"/>
      <c r="J12" s="133"/>
      <c r="K12" s="132"/>
      <c r="L12" s="133"/>
      <c r="M12" s="133"/>
      <c r="N12" s="133"/>
      <c r="O12" s="133"/>
      <c r="P12" s="374">
        <f>[4]Data!$I308</f>
        <v>736668</v>
      </c>
      <c r="U12" s="374">
        <f t="shared" si="1"/>
        <v>736668</v>
      </c>
      <c r="V12" s="132"/>
      <c r="X12" s="339">
        <f>[5]Oct!$J7</f>
        <v>85.4</v>
      </c>
      <c r="Y12" s="339">
        <f>[5]Oct!$M7</f>
        <v>86.5</v>
      </c>
      <c r="AC12" s="295"/>
      <c r="AI12" s="379"/>
      <c r="AQ12" s="1149" t="s">
        <v>171</v>
      </c>
      <c r="AR12" s="1058" t="s">
        <v>79</v>
      </c>
      <c r="AS12" s="1150" t="s">
        <v>245</v>
      </c>
      <c r="AT12" s="1150" t="s">
        <v>170</v>
      </c>
      <c r="AU12" s="1150" t="s">
        <v>169</v>
      </c>
      <c r="AV12" s="1150" t="s">
        <v>22</v>
      </c>
      <c r="BC12" s="121" t="s">
        <v>9</v>
      </c>
      <c r="BD12" s="488" t="s">
        <v>232</v>
      </c>
      <c r="BE12" s="482" t="s">
        <v>231</v>
      </c>
      <c r="BF12" s="482" t="s">
        <v>230</v>
      </c>
      <c r="BG12" s="479" t="s">
        <v>233</v>
      </c>
      <c r="BH12" s="483" t="s">
        <v>229</v>
      </c>
    </row>
    <row r="13" spans="1:60">
      <c r="A13" s="123">
        <v>1980</v>
      </c>
      <c r="B13" s="139">
        <v>29496</v>
      </c>
      <c r="C13" s="131">
        <v>18</v>
      </c>
      <c r="D13" s="346" t="str">
        <f t="shared" si="0"/>
        <v>Thu</v>
      </c>
      <c r="E13" s="134">
        <f>[6]Hist!G14</f>
        <v>3033</v>
      </c>
      <c r="F13" s="134">
        <f>[6]Hist!H14</f>
        <v>2578</v>
      </c>
      <c r="G13" s="164">
        <f>SUM([6]Hist!M14:O14)</f>
        <v>0</v>
      </c>
      <c r="H13" s="164">
        <f>[6]Hist!L14</f>
        <v>0</v>
      </c>
      <c r="I13" s="164">
        <f>[6]Hist!P14</f>
        <v>0</v>
      </c>
      <c r="J13" s="133">
        <f>SUM(F13:I13)</f>
        <v>2578</v>
      </c>
      <c r="K13" s="164">
        <f>[6]Hist!U14</f>
        <v>0</v>
      </c>
      <c r="L13" s="164">
        <f>[6]Hist!V14</f>
        <v>0</v>
      </c>
      <c r="M13" s="133">
        <f>SUM(J13:K13)</f>
        <v>2578</v>
      </c>
      <c r="N13" s="340">
        <v>150</v>
      </c>
      <c r="O13" s="1377">
        <f>J13-N13-L13</f>
        <v>2428</v>
      </c>
      <c r="P13" s="374">
        <f>[4]Data!$I309</f>
        <v>772808</v>
      </c>
      <c r="U13" s="374">
        <f t="shared" si="1"/>
        <v>772808</v>
      </c>
      <c r="V13" s="132"/>
      <c r="X13" s="339">
        <f>[5]Oct!$J8</f>
        <v>82.7</v>
      </c>
      <c r="Y13" s="339">
        <f>[5]Oct!$M8</f>
        <v>84.3</v>
      </c>
      <c r="AD13" s="123">
        <f t="shared" ref="AD13:AD58" si="2">A13</f>
        <v>1980</v>
      </c>
      <c r="AE13" s="133">
        <f t="shared" ref="AE13:AE38" si="3">O13</f>
        <v>2428</v>
      </c>
      <c r="AF13" s="132">
        <f>P13</f>
        <v>772808</v>
      </c>
      <c r="AG13" s="140">
        <f t="shared" ref="AG13:AG38" si="4">Y13</f>
        <v>84.3</v>
      </c>
      <c r="AH13" s="500">
        <v>0</v>
      </c>
      <c r="AI13" s="301">
        <v>0</v>
      </c>
      <c r="AJ13" s="134"/>
      <c r="AK13" s="134"/>
      <c r="AQ13" s="280" t="s">
        <v>172</v>
      </c>
      <c r="AR13" s="249">
        <f t="array" ref="AR13:AV18">LINEST(AE25:AE45,AF25:AI45,TRUE,TRUE)</f>
        <v>-725.41754661944935</v>
      </c>
      <c r="AS13" s="498">
        <v>-389.93316836734323</v>
      </c>
      <c r="AT13" s="251">
        <v>150.56336733737137</v>
      </c>
      <c r="AU13" s="251">
        <v>5.8594101627251691E-3</v>
      </c>
      <c r="AV13" s="1147">
        <v>-15343.321587257091</v>
      </c>
      <c r="BC13" s="123">
        <v>1980</v>
      </c>
      <c r="BD13" s="134">
        <f t="shared" ref="BD13:BD15" si="5">ROUND($AV$13+$AU$13*$AF13+$AT$13*$AG$73+$AS$13*$AH13+$AR$13*$AI13,0)</f>
        <v>2224</v>
      </c>
      <c r="BE13" s="133">
        <f t="shared" ref="BE13:BE40" si="6">AE13</f>
        <v>2428</v>
      </c>
      <c r="BF13" s="133">
        <f>BE13-BD13</f>
        <v>204</v>
      </c>
      <c r="BG13" s="133">
        <f t="shared" ref="BG13:BG40" si="7">AJ13</f>
        <v>0</v>
      </c>
      <c r="BH13" s="495">
        <f>BD13-BG13</f>
        <v>2224</v>
      </c>
    </row>
    <row r="14" spans="1:60">
      <c r="A14" s="123">
        <v>1981</v>
      </c>
      <c r="B14" s="139">
        <v>29860</v>
      </c>
      <c r="C14" s="131">
        <v>18</v>
      </c>
      <c r="D14" s="346" t="str">
        <f t="shared" si="0"/>
        <v>Thu</v>
      </c>
      <c r="E14" s="134">
        <f>[6]Hist!G26</f>
        <v>3325</v>
      </c>
      <c r="F14" s="134">
        <f>[6]Hist!H26</f>
        <v>2751</v>
      </c>
      <c r="G14" s="164">
        <f>SUM([6]Hist!M26:O26)</f>
        <v>0</v>
      </c>
      <c r="H14" s="164">
        <f>[6]Hist!L26</f>
        <v>0</v>
      </c>
      <c r="I14" s="164">
        <f>[6]Hist!P26</f>
        <v>0</v>
      </c>
      <c r="J14" s="133">
        <f t="shared" ref="J14:J31" si="8">SUM(F14:I14)</f>
        <v>2751</v>
      </c>
      <c r="K14" s="164">
        <f>[6]Hist!U26</f>
        <v>0</v>
      </c>
      <c r="L14" s="164">
        <f>[6]Hist!V26</f>
        <v>11</v>
      </c>
      <c r="M14" s="133">
        <f t="shared" ref="M14:M39" si="9">SUM(J14:K14)</f>
        <v>2751</v>
      </c>
      <c r="N14" s="340">
        <v>150</v>
      </c>
      <c r="O14" s="1377">
        <f t="shared" ref="O14:O45" si="10">J14-N14-L14</f>
        <v>2590</v>
      </c>
      <c r="P14" s="374">
        <f>[4]Data!$I310</f>
        <v>801557</v>
      </c>
      <c r="U14" s="374">
        <f t="shared" si="1"/>
        <v>801557</v>
      </c>
      <c r="V14" s="132"/>
      <c r="X14" s="339">
        <f>[5]Oct!$J9</f>
        <v>85.2</v>
      </c>
      <c r="Y14" s="339">
        <f>[5]Oct!$M9</f>
        <v>85.6</v>
      </c>
      <c r="AD14" s="123">
        <f t="shared" si="2"/>
        <v>1981</v>
      </c>
      <c r="AE14" s="133">
        <f t="shared" si="3"/>
        <v>2590</v>
      </c>
      <c r="AF14" s="132">
        <f t="shared" ref="AF14:AF73" si="11">P14</f>
        <v>801557</v>
      </c>
      <c r="AG14" s="140">
        <f t="shared" si="4"/>
        <v>85.6</v>
      </c>
      <c r="AH14" s="500">
        <v>0</v>
      </c>
      <c r="AI14" s="301">
        <v>0</v>
      </c>
      <c r="AJ14" s="134"/>
      <c r="AK14" s="134"/>
      <c r="AO14" s="129"/>
      <c r="AP14" s="322"/>
      <c r="AQ14" s="281" t="s">
        <v>173</v>
      </c>
      <c r="AR14" s="487">
        <v>115.02836806961321</v>
      </c>
      <c r="AS14" s="497">
        <v>93.194709414084485</v>
      </c>
      <c r="AT14" s="486">
        <v>23.134727596183389</v>
      </c>
      <c r="AU14" s="486">
        <v>2.4930903367561836E-4</v>
      </c>
      <c r="AV14" s="1145">
        <v>2012.4881672048973</v>
      </c>
      <c r="AW14"/>
      <c r="AX14"/>
      <c r="BC14" s="123">
        <v>1981</v>
      </c>
      <c r="BD14" s="134">
        <f t="shared" si="5"/>
        <v>2392</v>
      </c>
      <c r="BE14" s="133">
        <f t="shared" si="6"/>
        <v>2590</v>
      </c>
      <c r="BF14" s="133">
        <f>BE14-BD14</f>
        <v>198</v>
      </c>
      <c r="BG14" s="133">
        <f t="shared" si="7"/>
        <v>0</v>
      </c>
      <c r="BH14" s="495">
        <f>BD14-BG14</f>
        <v>2392</v>
      </c>
    </row>
    <row r="15" spans="1:60">
      <c r="A15" s="123">
        <v>1982</v>
      </c>
      <c r="B15" s="139">
        <v>30235</v>
      </c>
      <c r="C15" s="131">
        <v>17</v>
      </c>
      <c r="D15" s="346" t="str">
        <f t="shared" si="0"/>
        <v>Mon</v>
      </c>
      <c r="E15" s="134">
        <f>[6]Hist!G38</f>
        <v>3452</v>
      </c>
      <c r="F15" s="134">
        <f>[6]Hist!H38</f>
        <v>2848</v>
      </c>
      <c r="G15" s="164">
        <f>SUM([6]Hist!M38:O38)</f>
        <v>0</v>
      </c>
      <c r="H15" s="164">
        <f>[6]Hist!L38</f>
        <v>0</v>
      </c>
      <c r="I15" s="164">
        <f>[6]Hist!P38</f>
        <v>0</v>
      </c>
      <c r="J15" s="133">
        <f t="shared" si="8"/>
        <v>2848</v>
      </c>
      <c r="K15" s="164">
        <f>[6]Hist!U38</f>
        <v>14</v>
      </c>
      <c r="L15" s="164">
        <f>[6]Hist!V38</f>
        <v>12</v>
      </c>
      <c r="M15" s="133">
        <f t="shared" si="9"/>
        <v>2862</v>
      </c>
      <c r="N15" s="340">
        <v>150</v>
      </c>
      <c r="O15" s="1377">
        <f t="shared" si="10"/>
        <v>2686</v>
      </c>
      <c r="P15" s="374">
        <f>[4]Data!$I311</f>
        <v>826811</v>
      </c>
      <c r="U15" s="374">
        <f t="shared" si="1"/>
        <v>826811</v>
      </c>
      <c r="V15" s="132"/>
      <c r="X15" s="339">
        <f>[5]Oct!$J10</f>
        <v>84.6</v>
      </c>
      <c r="Y15" s="339">
        <f>[5]Oct!$M10</f>
        <v>84.7</v>
      </c>
      <c r="AD15" s="131">
        <f t="shared" si="2"/>
        <v>1982</v>
      </c>
      <c r="AE15" s="409">
        <f t="shared" si="3"/>
        <v>2686</v>
      </c>
      <c r="AF15" s="132">
        <f t="shared" si="11"/>
        <v>826811</v>
      </c>
      <c r="AG15" s="140">
        <f t="shared" si="4"/>
        <v>84.7</v>
      </c>
      <c r="AH15" s="1390">
        <v>0</v>
      </c>
      <c r="AI15" s="389">
        <v>0</v>
      </c>
      <c r="AJ15" s="132"/>
      <c r="AK15" s="132"/>
      <c r="AL15" s="129"/>
      <c r="AM15" s="129"/>
      <c r="AN15" s="129"/>
      <c r="AO15" s="129"/>
      <c r="AP15" s="322"/>
      <c r="AQ15" s="1389" t="s">
        <v>174</v>
      </c>
      <c r="AR15" s="257">
        <v>0.97939582171730089</v>
      </c>
      <c r="AS15" s="297">
        <v>159.10935694066515</v>
      </c>
      <c r="AT15" s="259" t="e">
        <v>#N/A</v>
      </c>
      <c r="AU15" s="259" t="e">
        <v>#N/A</v>
      </c>
      <c r="AV15" s="1145" t="e">
        <v>#N/A</v>
      </c>
      <c r="AW15"/>
      <c r="AX15"/>
      <c r="BC15" s="123">
        <v>1982</v>
      </c>
      <c r="BD15" s="134">
        <f t="shared" si="5"/>
        <v>2540</v>
      </c>
      <c r="BE15" s="133">
        <f t="shared" si="6"/>
        <v>2686</v>
      </c>
      <c r="BF15" s="133">
        <f t="shared" ref="BF15:BF35" si="12">BE15-BD15</f>
        <v>146</v>
      </c>
      <c r="BG15" s="133">
        <f t="shared" si="7"/>
        <v>0</v>
      </c>
      <c r="BH15" s="495">
        <f t="shared" ref="BH15:BH35" si="13">BD15-BG15</f>
        <v>2540</v>
      </c>
    </row>
    <row r="16" spans="1:60">
      <c r="A16" s="123">
        <v>1983</v>
      </c>
      <c r="B16" s="139">
        <v>30595</v>
      </c>
      <c r="C16" s="131">
        <v>18</v>
      </c>
      <c r="D16" s="346" t="str">
        <f t="shared" si="0"/>
        <v>Thu</v>
      </c>
      <c r="E16" s="134">
        <f>[6]Hist!G50</f>
        <v>3557</v>
      </c>
      <c r="F16" s="134">
        <f>[6]Hist!H50</f>
        <v>2984</v>
      </c>
      <c r="G16" s="164">
        <f>SUM([6]Hist!M50:O50)</f>
        <v>0</v>
      </c>
      <c r="H16" s="164">
        <f>[6]Hist!L50</f>
        <v>0</v>
      </c>
      <c r="I16" s="164">
        <f>[6]Hist!P50</f>
        <v>0</v>
      </c>
      <c r="J16" s="133">
        <f t="shared" si="8"/>
        <v>2984</v>
      </c>
      <c r="K16" s="164">
        <f>[6]Hist!U50</f>
        <v>28</v>
      </c>
      <c r="L16" s="164">
        <f>[6]Hist!V50</f>
        <v>36</v>
      </c>
      <c r="M16" s="133">
        <f t="shared" si="9"/>
        <v>3012</v>
      </c>
      <c r="N16" s="340">
        <v>150</v>
      </c>
      <c r="O16" s="1377">
        <f t="shared" si="10"/>
        <v>2798</v>
      </c>
      <c r="P16" s="374">
        <f>[4]Data!$I312</f>
        <v>861069</v>
      </c>
      <c r="U16" s="374">
        <f t="shared" si="1"/>
        <v>861069</v>
      </c>
      <c r="V16" s="132"/>
      <c r="X16" s="339">
        <f>[5]Oct!$J11</f>
        <v>85.9</v>
      </c>
      <c r="Y16" s="339">
        <f>[5]Oct!$M11</f>
        <v>86.9</v>
      </c>
      <c r="AD16" s="844">
        <f t="shared" si="2"/>
        <v>1983</v>
      </c>
      <c r="AE16" s="133">
        <f t="shared" si="3"/>
        <v>2798</v>
      </c>
      <c r="AF16" s="132">
        <f t="shared" si="11"/>
        <v>861069</v>
      </c>
      <c r="AG16" s="140">
        <f t="shared" si="4"/>
        <v>86.9</v>
      </c>
      <c r="AH16" s="500">
        <v>0</v>
      </c>
      <c r="AI16" s="301">
        <v>0</v>
      </c>
      <c r="AJ16" s="134">
        <f>ROUND($AV$13+$AU$13*$AF16+$AT$13*$AG16+$AS$13*$AH16+$AR$13*$AI16,0)</f>
        <v>2786</v>
      </c>
      <c r="AK16" s="134">
        <f t="shared" ref="AK16:AK33" si="14">AE16-AJ16</f>
        <v>12</v>
      </c>
      <c r="AO16" s="141"/>
      <c r="AP16" s="322"/>
      <c r="AQ16" s="282" t="s">
        <v>175</v>
      </c>
      <c r="AR16" s="255">
        <v>190.13538094643297</v>
      </c>
      <c r="AS16" s="298">
        <v>16</v>
      </c>
      <c r="AT16" s="259" t="e">
        <v>#N/A</v>
      </c>
      <c r="AU16" s="259" t="e">
        <v>#N/A</v>
      </c>
      <c r="AV16" s="1145" t="e">
        <v>#N/A</v>
      </c>
      <c r="AW16"/>
      <c r="AX16"/>
      <c r="BC16" s="123">
        <v>1983</v>
      </c>
      <c r="BD16" s="134">
        <f>ROUND($AV$13+$AU$13*$AF16+$AT$13*$AG$73+$AS$13*$AH16+$AR$13*$AI16,0)</f>
        <v>2741</v>
      </c>
      <c r="BE16" s="133">
        <f t="shared" si="6"/>
        <v>2798</v>
      </c>
      <c r="BF16" s="133">
        <f t="shared" si="12"/>
        <v>57</v>
      </c>
      <c r="BG16" s="133">
        <f t="shared" si="7"/>
        <v>2786</v>
      </c>
      <c r="BH16" s="495">
        <f t="shared" si="13"/>
        <v>-45</v>
      </c>
    </row>
    <row r="17" spans="1:60">
      <c r="A17" s="123">
        <v>1984</v>
      </c>
      <c r="B17" s="139">
        <v>30984</v>
      </c>
      <c r="C17" s="131">
        <v>19</v>
      </c>
      <c r="D17" s="346" t="str">
        <f t="shared" si="0"/>
        <v>Mon</v>
      </c>
      <c r="E17" s="134">
        <f>[6]Hist!G62</f>
        <v>3329</v>
      </c>
      <c r="F17" s="134">
        <f>[6]Hist!H62</f>
        <v>3016</v>
      </c>
      <c r="G17" s="164">
        <f>SUM([6]Hist!M62:O62)</f>
        <v>0</v>
      </c>
      <c r="H17" s="164">
        <f>[6]Hist!L62</f>
        <v>0</v>
      </c>
      <c r="I17" s="164">
        <f>[6]Hist!P62</f>
        <v>0</v>
      </c>
      <c r="J17" s="133">
        <f t="shared" si="8"/>
        <v>3016</v>
      </c>
      <c r="K17" s="164">
        <f>[6]Hist!U62</f>
        <v>43</v>
      </c>
      <c r="L17" s="164">
        <f>[6]Hist!V62</f>
        <v>36</v>
      </c>
      <c r="M17" s="133">
        <f t="shared" si="9"/>
        <v>3059</v>
      </c>
      <c r="N17" s="340">
        <v>150</v>
      </c>
      <c r="O17" s="1377">
        <f t="shared" si="10"/>
        <v>2830</v>
      </c>
      <c r="P17" s="374">
        <f>[4]Data!$I313</f>
        <v>902052</v>
      </c>
      <c r="U17" s="374">
        <f t="shared" si="1"/>
        <v>902052</v>
      </c>
      <c r="V17" s="132"/>
      <c r="X17" s="339">
        <f>[5]Oct!$J12</f>
        <v>79.099999999999994</v>
      </c>
      <c r="Y17" s="339">
        <f>[5]Oct!$M12</f>
        <v>82.5</v>
      </c>
      <c r="AD17" s="844">
        <f t="shared" si="2"/>
        <v>1984</v>
      </c>
      <c r="AE17" s="133">
        <f t="shared" si="3"/>
        <v>2830</v>
      </c>
      <c r="AF17" s="132">
        <f t="shared" si="11"/>
        <v>902052</v>
      </c>
      <c r="AG17" s="140">
        <f t="shared" si="4"/>
        <v>82.5</v>
      </c>
      <c r="AH17" s="500">
        <v>0</v>
      </c>
      <c r="AI17" s="301">
        <v>0</v>
      </c>
      <c r="AJ17" s="134">
        <f t="shared" ref="AJ17:AJ45" si="15">ROUND($AV$13+$AU$13*$AF17+$AT$13*$AG17+$AS$13*$AH17+$AR$13*$AI17,0)</f>
        <v>2364</v>
      </c>
      <c r="AK17" s="134">
        <f t="shared" si="14"/>
        <v>466</v>
      </c>
      <c r="AL17" s="123"/>
      <c r="AM17" s="123"/>
      <c r="AO17" s="135"/>
      <c r="AP17" s="322">
        <f t="shared" ref="AP17:AP45" si="16">AJ17-AJ16</f>
        <v>-422</v>
      </c>
      <c r="AQ17" s="282" t="s">
        <v>176</v>
      </c>
      <c r="AR17" s="261">
        <v>19253707.575282123</v>
      </c>
      <c r="AS17" s="298">
        <v>405052.59945715184</v>
      </c>
      <c r="AT17" s="259" t="e">
        <v>#N/A</v>
      </c>
      <c r="AU17" s="259" t="e">
        <v>#N/A</v>
      </c>
      <c r="AV17" s="1145" t="e">
        <v>#N/A</v>
      </c>
      <c r="AW17"/>
      <c r="AX17"/>
      <c r="BC17" s="123">
        <v>1984</v>
      </c>
      <c r="BD17" s="134">
        <f t="shared" ref="BD17:BD45" si="17">ROUND($AV$13+$AU$13*$AF17+$AT$13*$AG$73+$AS$13*$AH17+$AR$13*$AI17,0)</f>
        <v>2981</v>
      </c>
      <c r="BE17" s="133">
        <f t="shared" si="6"/>
        <v>2830</v>
      </c>
      <c r="BF17" s="133">
        <f t="shared" si="12"/>
        <v>-151</v>
      </c>
      <c r="BG17" s="133">
        <f t="shared" si="7"/>
        <v>2364</v>
      </c>
      <c r="BH17" s="495">
        <f t="shared" si="13"/>
        <v>617</v>
      </c>
    </row>
    <row r="18" spans="1:60">
      <c r="A18" s="123">
        <v>1985</v>
      </c>
      <c r="B18" s="139">
        <v>31323</v>
      </c>
      <c r="C18" s="131">
        <v>17</v>
      </c>
      <c r="D18" s="346" t="str">
        <f t="shared" si="0"/>
        <v>Thu</v>
      </c>
      <c r="E18" s="134">
        <f>[6]Hist!G74</f>
        <v>4037</v>
      </c>
      <c r="F18" s="134">
        <f>[6]Hist!H74</f>
        <v>3729</v>
      </c>
      <c r="G18" s="164">
        <f>SUM([6]Hist!M74:O74)</f>
        <v>0</v>
      </c>
      <c r="H18" s="164">
        <f>[6]Hist!L74</f>
        <v>0</v>
      </c>
      <c r="I18" s="164">
        <f>[6]Hist!P74</f>
        <v>0</v>
      </c>
      <c r="J18" s="133">
        <f t="shared" si="8"/>
        <v>3729</v>
      </c>
      <c r="K18" s="164">
        <f>[6]Hist!U74</f>
        <v>57</v>
      </c>
      <c r="L18" s="164">
        <f>[6]Hist!V74</f>
        <v>42</v>
      </c>
      <c r="M18" s="133">
        <f t="shared" si="9"/>
        <v>3786</v>
      </c>
      <c r="N18" s="164">
        <f>[6]Hist!AA74</f>
        <v>130</v>
      </c>
      <c r="O18" s="1377">
        <f t="shared" si="10"/>
        <v>3557</v>
      </c>
      <c r="P18" s="374">
        <f>[4]Data!$I314</f>
        <v>940547</v>
      </c>
      <c r="U18" s="374">
        <f t="shared" si="1"/>
        <v>940547</v>
      </c>
      <c r="V18" s="132"/>
      <c r="X18" s="339">
        <f>[5]Oct!$J13</f>
        <v>89.3</v>
      </c>
      <c r="Y18" s="339">
        <f>[5]Oct!$M13</f>
        <v>88.8</v>
      </c>
      <c r="AD18" s="844">
        <f t="shared" si="2"/>
        <v>1985</v>
      </c>
      <c r="AE18" s="133">
        <f t="shared" si="3"/>
        <v>3557</v>
      </c>
      <c r="AF18" s="132">
        <f t="shared" si="11"/>
        <v>940547</v>
      </c>
      <c r="AG18" s="140">
        <f t="shared" si="4"/>
        <v>88.8</v>
      </c>
      <c r="AH18" s="500">
        <v>0</v>
      </c>
      <c r="AI18" s="301">
        <v>0</v>
      </c>
      <c r="AJ18" s="134">
        <f t="shared" si="15"/>
        <v>3538</v>
      </c>
      <c r="AK18" s="134">
        <f t="shared" si="14"/>
        <v>19</v>
      </c>
      <c r="AL18" s="134"/>
      <c r="AM18" s="134"/>
      <c r="AO18" s="135"/>
      <c r="AP18" s="322">
        <f t="shared" si="16"/>
        <v>1174</v>
      </c>
      <c r="AQ18" s="262"/>
      <c r="AR18" s="263" t="e">
        <v>#N/A</v>
      </c>
      <c r="AS18" s="263" t="e">
        <v>#N/A</v>
      </c>
      <c r="AT18" s="263" t="e">
        <v>#N/A</v>
      </c>
      <c r="AU18" s="263" t="e">
        <v>#N/A</v>
      </c>
      <c r="AV18" s="247" t="e">
        <v>#N/A</v>
      </c>
      <c r="AW18"/>
      <c r="AX18"/>
      <c r="BC18" s="123">
        <v>1985</v>
      </c>
      <c r="BD18" s="134">
        <f t="shared" si="17"/>
        <v>3207</v>
      </c>
      <c r="BE18" s="133">
        <f t="shared" si="6"/>
        <v>3557</v>
      </c>
      <c r="BF18" s="133">
        <f t="shared" si="12"/>
        <v>350</v>
      </c>
      <c r="BG18" s="133">
        <f t="shared" si="7"/>
        <v>3538</v>
      </c>
      <c r="BH18" s="495">
        <f t="shared" si="13"/>
        <v>-331</v>
      </c>
    </row>
    <row r="19" spans="1:60">
      <c r="A19" s="123">
        <v>1986</v>
      </c>
      <c r="B19" s="139">
        <v>31686</v>
      </c>
      <c r="C19" s="131">
        <v>18</v>
      </c>
      <c r="D19" s="346" t="str">
        <f t="shared" si="0"/>
        <v>Wed</v>
      </c>
      <c r="E19" s="134">
        <f>[6]Hist!G86</f>
        <v>4432</v>
      </c>
      <c r="F19" s="134">
        <f>[6]Hist!H86</f>
        <v>4196</v>
      </c>
      <c r="G19" s="164">
        <f>SUM([6]Hist!M86:O86)</f>
        <v>0</v>
      </c>
      <c r="H19" s="164">
        <f>[6]Hist!L86</f>
        <v>0</v>
      </c>
      <c r="I19" s="164">
        <f>[6]Hist!P86</f>
        <v>0</v>
      </c>
      <c r="J19" s="133">
        <f t="shared" si="8"/>
        <v>4196</v>
      </c>
      <c r="K19" s="164">
        <f>[6]Hist!U86</f>
        <v>66</v>
      </c>
      <c r="L19" s="164">
        <f>[6]Hist!V86</f>
        <v>51</v>
      </c>
      <c r="M19" s="133">
        <f t="shared" si="9"/>
        <v>4262</v>
      </c>
      <c r="N19" s="164">
        <f>[6]Hist!AA86</f>
        <v>193</v>
      </c>
      <c r="O19" s="1377">
        <f t="shared" si="10"/>
        <v>3952</v>
      </c>
      <c r="P19" s="374">
        <f>[4]Data!$I315</f>
        <v>980414</v>
      </c>
      <c r="U19" s="374">
        <f t="shared" si="1"/>
        <v>980414</v>
      </c>
      <c r="V19" s="132"/>
      <c r="X19" s="339">
        <f>[5]Oct!$J14</f>
        <v>87.9</v>
      </c>
      <c r="Y19" s="339">
        <f>[5]Oct!$M14</f>
        <v>90</v>
      </c>
      <c r="AD19" s="844">
        <f t="shared" si="2"/>
        <v>1986</v>
      </c>
      <c r="AE19" s="133">
        <f t="shared" si="3"/>
        <v>3952</v>
      </c>
      <c r="AF19" s="132">
        <f t="shared" si="11"/>
        <v>980414</v>
      </c>
      <c r="AG19" s="140">
        <f t="shared" si="4"/>
        <v>90</v>
      </c>
      <c r="AH19" s="500">
        <v>0</v>
      </c>
      <c r="AI19" s="301">
        <v>0</v>
      </c>
      <c r="AJ19" s="134">
        <f t="shared" si="15"/>
        <v>3952</v>
      </c>
      <c r="AK19" s="134">
        <f t="shared" si="14"/>
        <v>0</v>
      </c>
      <c r="AL19" s="134"/>
      <c r="AM19" s="134"/>
      <c r="AO19" s="135"/>
      <c r="AP19" s="322">
        <f t="shared" si="16"/>
        <v>414</v>
      </c>
      <c r="AQ19" s="1078" t="s">
        <v>177</v>
      </c>
      <c r="AR19" s="1172">
        <f>AR13/AR14</f>
        <v>-6.3064230049794237</v>
      </c>
      <c r="AS19" s="1173">
        <f>AS13/AS14</f>
        <v>-4.1840697912880964</v>
      </c>
      <c r="AT19" s="1173">
        <f>AT13/AT14</f>
        <v>6.508110662267331</v>
      </c>
      <c r="AU19" s="1174">
        <f>AU13/AU14</f>
        <v>23.502598667760193</v>
      </c>
      <c r="AV19" s="1174">
        <f>AV13/AV14</f>
        <v>-7.6240555533636298</v>
      </c>
      <c r="AW19"/>
      <c r="AX19"/>
      <c r="BC19" s="123">
        <v>1986</v>
      </c>
      <c r="BD19" s="134">
        <f t="shared" si="17"/>
        <v>3440</v>
      </c>
      <c r="BE19" s="133">
        <f t="shared" si="6"/>
        <v>3952</v>
      </c>
      <c r="BF19" s="133">
        <f t="shared" si="12"/>
        <v>512</v>
      </c>
      <c r="BG19" s="133">
        <f t="shared" si="7"/>
        <v>3952</v>
      </c>
      <c r="BH19" s="495">
        <f t="shared" si="13"/>
        <v>-512</v>
      </c>
    </row>
    <row r="20" spans="1:60">
      <c r="A20" s="123">
        <v>1987</v>
      </c>
      <c r="B20" s="139">
        <v>32051</v>
      </c>
      <c r="C20" s="131">
        <v>18</v>
      </c>
      <c r="D20" s="346" t="str">
        <f t="shared" si="0"/>
        <v>Thu</v>
      </c>
      <c r="E20" s="134">
        <f>[6]Hist!G98</f>
        <v>3561</v>
      </c>
      <c r="F20" s="134">
        <f>[6]Hist!H98</f>
        <v>3372</v>
      </c>
      <c r="G20" s="164">
        <f>SUM([6]Hist!M98:O98)</f>
        <v>0</v>
      </c>
      <c r="H20" s="164">
        <f>[6]Hist!L98</f>
        <v>0</v>
      </c>
      <c r="I20" s="164">
        <f>[6]Hist!P98</f>
        <v>0</v>
      </c>
      <c r="J20" s="133">
        <f t="shared" si="8"/>
        <v>3372</v>
      </c>
      <c r="K20" s="164">
        <f>[6]Hist!U98</f>
        <v>72</v>
      </c>
      <c r="L20" s="164">
        <f>[6]Hist!V98</f>
        <v>58</v>
      </c>
      <c r="M20" s="133">
        <f t="shared" si="9"/>
        <v>3444</v>
      </c>
      <c r="N20" s="164">
        <f>[6]Hist!AA98</f>
        <v>219</v>
      </c>
      <c r="O20" s="1377">
        <f t="shared" si="10"/>
        <v>3095</v>
      </c>
      <c r="P20" s="374">
        <f>[4]Data!$I316</f>
        <v>1021951</v>
      </c>
      <c r="U20" s="374">
        <f t="shared" si="1"/>
        <v>1021951</v>
      </c>
      <c r="V20" s="132"/>
      <c r="X20" s="339">
        <f>[5]Oct!$J15</f>
        <v>83.1</v>
      </c>
      <c r="Y20" s="339">
        <f>[5]Oct!$M15</f>
        <v>84.2</v>
      </c>
      <c r="AD20" s="844">
        <f t="shared" si="2"/>
        <v>1987</v>
      </c>
      <c r="AE20" s="133">
        <f t="shared" si="3"/>
        <v>3095</v>
      </c>
      <c r="AF20" s="132">
        <f t="shared" si="11"/>
        <v>1021951</v>
      </c>
      <c r="AG20" s="140">
        <f t="shared" si="4"/>
        <v>84.2</v>
      </c>
      <c r="AH20" s="500">
        <v>0</v>
      </c>
      <c r="AI20" s="301">
        <v>0</v>
      </c>
      <c r="AJ20" s="134">
        <f t="shared" si="15"/>
        <v>3322</v>
      </c>
      <c r="AK20" s="134">
        <f t="shared" si="14"/>
        <v>-227</v>
      </c>
      <c r="AL20" s="134"/>
      <c r="AM20" s="134"/>
      <c r="AO20" s="135"/>
      <c r="AP20" s="322">
        <f t="shared" si="16"/>
        <v>-630</v>
      </c>
      <c r="AU20" s="268"/>
      <c r="AV20" s="268"/>
      <c r="AW20"/>
      <c r="AX20"/>
      <c r="BC20" s="123">
        <v>1987</v>
      </c>
      <c r="BD20" s="134">
        <f t="shared" si="17"/>
        <v>3683</v>
      </c>
      <c r="BE20" s="133">
        <f t="shared" si="6"/>
        <v>3095</v>
      </c>
      <c r="BF20" s="133">
        <f t="shared" si="12"/>
        <v>-588</v>
      </c>
      <c r="BG20" s="133">
        <f t="shared" si="7"/>
        <v>3322</v>
      </c>
      <c r="BH20" s="495">
        <f t="shared" si="13"/>
        <v>361</v>
      </c>
    </row>
    <row r="21" spans="1:60">
      <c r="A21" s="123">
        <v>1988</v>
      </c>
      <c r="B21" s="139">
        <v>32417</v>
      </c>
      <c r="C21" s="131">
        <v>18</v>
      </c>
      <c r="D21" s="915" t="str">
        <f t="shared" si="0"/>
        <v>Sat</v>
      </c>
      <c r="E21" s="134">
        <f>[6]Hist!G110</f>
        <v>4398</v>
      </c>
      <c r="F21" s="134">
        <f>[6]Hist!H110</f>
        <v>3804</v>
      </c>
      <c r="G21" s="164">
        <f>SUM([6]Hist!M110:O110)</f>
        <v>0</v>
      </c>
      <c r="H21" s="164">
        <f>[6]Hist!L110</f>
        <v>0</v>
      </c>
      <c r="I21" s="164">
        <f>[6]Hist!P110</f>
        <v>0</v>
      </c>
      <c r="J21" s="133">
        <f t="shared" si="8"/>
        <v>3804</v>
      </c>
      <c r="K21" s="164">
        <f>[6]Hist!U110</f>
        <v>76</v>
      </c>
      <c r="L21" s="164">
        <f>[6]Hist!V110</f>
        <v>61</v>
      </c>
      <c r="M21" s="133">
        <f t="shared" si="9"/>
        <v>3880</v>
      </c>
      <c r="N21" s="164">
        <f>[6]Hist!AA110</f>
        <v>262</v>
      </c>
      <c r="O21" s="1377">
        <f t="shared" si="10"/>
        <v>3481</v>
      </c>
      <c r="P21" s="374">
        <f>[4]Data!$I317</f>
        <v>1060749</v>
      </c>
      <c r="U21" s="374">
        <f t="shared" si="1"/>
        <v>1060749</v>
      </c>
      <c r="V21" s="132"/>
      <c r="X21" s="339">
        <f>[5]Oct!$J16</f>
        <v>86.3</v>
      </c>
      <c r="Y21" s="339">
        <f>[5]Oct!$M16</f>
        <v>87.5</v>
      </c>
      <c r="AD21" s="844">
        <f t="shared" si="2"/>
        <v>1988</v>
      </c>
      <c r="AE21" s="133">
        <f t="shared" si="3"/>
        <v>3481</v>
      </c>
      <c r="AF21" s="132">
        <f t="shared" si="11"/>
        <v>1060749</v>
      </c>
      <c r="AG21" s="140">
        <f t="shared" si="4"/>
        <v>87.5</v>
      </c>
      <c r="AH21" s="500">
        <v>1</v>
      </c>
      <c r="AI21" s="301">
        <v>0</v>
      </c>
      <c r="AJ21" s="134">
        <f t="shared" si="15"/>
        <v>3656</v>
      </c>
      <c r="AK21" s="134">
        <f t="shared" si="14"/>
        <v>-175</v>
      </c>
      <c r="AL21" s="134"/>
      <c r="AM21" s="134"/>
      <c r="AO21" s="135"/>
      <c r="AP21" s="322">
        <f t="shared" si="16"/>
        <v>334</v>
      </c>
      <c r="AU21" s="269"/>
      <c r="AV21" s="269"/>
      <c r="AW21"/>
      <c r="AX21"/>
      <c r="BC21" s="123">
        <v>1988</v>
      </c>
      <c r="BD21" s="134">
        <f t="shared" si="17"/>
        <v>3521</v>
      </c>
      <c r="BE21" s="133">
        <f t="shared" si="6"/>
        <v>3481</v>
      </c>
      <c r="BF21" s="133">
        <f t="shared" si="12"/>
        <v>-40</v>
      </c>
      <c r="BG21" s="133">
        <f t="shared" si="7"/>
        <v>3656</v>
      </c>
      <c r="BH21" s="495">
        <f t="shared" si="13"/>
        <v>-135</v>
      </c>
    </row>
    <row r="22" spans="1:60">
      <c r="A22" s="123">
        <v>1989</v>
      </c>
      <c r="B22" s="139">
        <v>32797</v>
      </c>
      <c r="C22" s="131">
        <v>20</v>
      </c>
      <c r="D22" s="346" t="str">
        <f t="shared" si="0"/>
        <v>Mon</v>
      </c>
      <c r="E22" s="134">
        <f>[6]Hist!G122</f>
        <v>4964</v>
      </c>
      <c r="F22" s="134">
        <f>[6]Hist!H122</f>
        <v>4682</v>
      </c>
      <c r="G22" s="164">
        <f>SUM([6]Hist!M122:O122)</f>
        <v>-200</v>
      </c>
      <c r="H22" s="164">
        <f>[6]Hist!L122</f>
        <v>0</v>
      </c>
      <c r="I22" s="164">
        <f>[6]Hist!P122</f>
        <v>0</v>
      </c>
      <c r="J22" s="133">
        <f t="shared" si="8"/>
        <v>4482</v>
      </c>
      <c r="K22" s="164">
        <f>[6]Hist!U122</f>
        <v>81</v>
      </c>
      <c r="L22" s="164">
        <f>[6]Hist!V122</f>
        <v>66</v>
      </c>
      <c r="M22" s="133">
        <f t="shared" si="9"/>
        <v>4563</v>
      </c>
      <c r="N22" s="164">
        <f>[6]Hist!AA122</f>
        <v>258</v>
      </c>
      <c r="O22" s="1377">
        <f t="shared" si="10"/>
        <v>4158</v>
      </c>
      <c r="P22" s="374">
        <f>[4]Data!$I318</f>
        <v>1101500</v>
      </c>
      <c r="U22" s="374">
        <f t="shared" si="1"/>
        <v>1101500</v>
      </c>
      <c r="V22" s="132"/>
      <c r="X22" s="339">
        <f>[5]Oct!$J17</f>
        <v>81.599999999999994</v>
      </c>
      <c r="Y22" s="339">
        <f>[5]Oct!$M17</f>
        <v>85.1</v>
      </c>
      <c r="AD22" s="844">
        <f t="shared" si="2"/>
        <v>1989</v>
      </c>
      <c r="AE22" s="133">
        <f t="shared" si="3"/>
        <v>4158</v>
      </c>
      <c r="AF22" s="132">
        <f t="shared" si="11"/>
        <v>1101500</v>
      </c>
      <c r="AG22" s="1144">
        <f>Y22+1</f>
        <v>86.1</v>
      </c>
      <c r="AH22" s="500">
        <v>0</v>
      </c>
      <c r="AI22" s="301">
        <v>0</v>
      </c>
      <c r="AJ22" s="134">
        <f t="shared" si="15"/>
        <v>4074</v>
      </c>
      <c r="AK22" s="134">
        <f t="shared" si="14"/>
        <v>84</v>
      </c>
      <c r="AL22" s="134"/>
      <c r="AM22" s="134"/>
      <c r="AO22" s="129"/>
      <c r="AP22" s="322">
        <f t="shared" si="16"/>
        <v>418</v>
      </c>
      <c r="AU22" s="269"/>
      <c r="AV22" s="269"/>
      <c r="AW22"/>
      <c r="AX22"/>
      <c r="BC22" s="123">
        <v>1989</v>
      </c>
      <c r="BD22" s="134">
        <f t="shared" si="17"/>
        <v>4150</v>
      </c>
      <c r="BE22" s="133">
        <f t="shared" si="6"/>
        <v>4158</v>
      </c>
      <c r="BF22" s="133">
        <f t="shared" si="12"/>
        <v>8</v>
      </c>
      <c r="BG22" s="133">
        <f t="shared" si="7"/>
        <v>4074</v>
      </c>
      <c r="BH22" s="495">
        <f t="shared" si="13"/>
        <v>76</v>
      </c>
    </row>
    <row r="23" spans="1:60">
      <c r="A23" s="123">
        <v>1990</v>
      </c>
      <c r="B23" s="139">
        <v>33150</v>
      </c>
      <c r="C23" s="131">
        <v>17</v>
      </c>
      <c r="D23" s="346" t="str">
        <f t="shared" si="0"/>
        <v>Thu</v>
      </c>
      <c r="E23" s="133">
        <f>[7]MoCoinMW!F14</f>
        <v>5221</v>
      </c>
      <c r="F23" s="133">
        <f>[7]MoCoinMW!G14</f>
        <v>4770.2040809208229</v>
      </c>
      <c r="G23" s="164">
        <f>SUM([6]Hist!M134:O134)</f>
        <v>0</v>
      </c>
      <c r="H23" s="164">
        <f>[6]Hist!L134</f>
        <v>0</v>
      </c>
      <c r="I23" s="164">
        <f>[6]Hist!P134</f>
        <v>0</v>
      </c>
      <c r="J23" s="133">
        <f t="shared" si="8"/>
        <v>4770.2040809208229</v>
      </c>
      <c r="K23" s="164">
        <f>[6]Hist!U134</f>
        <v>85</v>
      </c>
      <c r="L23" s="164">
        <f>[6]Hist!V134</f>
        <v>66</v>
      </c>
      <c r="M23" s="133">
        <f t="shared" si="9"/>
        <v>4855.2040809208229</v>
      </c>
      <c r="N23" s="164">
        <f>[6]Hist!AA134</f>
        <v>196</v>
      </c>
      <c r="O23" s="1377">
        <f t="shared" si="10"/>
        <v>4508.2040809208229</v>
      </c>
      <c r="P23" s="374">
        <f>[4]Data!$I319</f>
        <v>1131532</v>
      </c>
      <c r="U23" s="374">
        <f t="shared" si="1"/>
        <v>1131532</v>
      </c>
      <c r="V23" s="132"/>
      <c r="X23" s="339">
        <f>[5]Oct!$J18</f>
        <v>86.4</v>
      </c>
      <c r="Y23" s="339">
        <f>[5]Oct!$M18</f>
        <v>88.2</v>
      </c>
      <c r="AD23" s="844">
        <f t="shared" si="2"/>
        <v>1990</v>
      </c>
      <c r="AE23" s="133">
        <f t="shared" si="3"/>
        <v>4508.2040809208229</v>
      </c>
      <c r="AF23" s="132">
        <f t="shared" si="11"/>
        <v>1131532</v>
      </c>
      <c r="AG23" s="140">
        <f t="shared" si="4"/>
        <v>88.2</v>
      </c>
      <c r="AH23" s="500">
        <v>0</v>
      </c>
      <c r="AI23" s="301">
        <v>0</v>
      </c>
      <c r="AJ23" s="134">
        <f t="shared" si="15"/>
        <v>4566</v>
      </c>
      <c r="AK23" s="134">
        <f t="shared" si="14"/>
        <v>-57.795919079177111</v>
      </c>
      <c r="AL23" s="134"/>
      <c r="AM23" s="134"/>
      <c r="AO23" s="129"/>
      <c r="AP23" s="322">
        <f t="shared" si="16"/>
        <v>492</v>
      </c>
      <c r="AU23" s="269"/>
      <c r="AV23" s="269"/>
      <c r="AW23"/>
      <c r="AX23"/>
      <c r="BC23" s="123">
        <v>1990</v>
      </c>
      <c r="BD23" s="134">
        <f t="shared" si="17"/>
        <v>4326</v>
      </c>
      <c r="BE23" s="133">
        <f t="shared" si="6"/>
        <v>4508.2040809208229</v>
      </c>
      <c r="BF23" s="133">
        <f t="shared" si="12"/>
        <v>182.20408092082289</v>
      </c>
      <c r="BG23" s="133">
        <f t="shared" si="7"/>
        <v>4566</v>
      </c>
      <c r="BH23" s="495">
        <f t="shared" si="13"/>
        <v>-240</v>
      </c>
    </row>
    <row r="24" spans="1:60">
      <c r="A24" s="123">
        <v>1991</v>
      </c>
      <c r="B24" s="139">
        <v>33516</v>
      </c>
      <c r="C24" s="131">
        <v>15</v>
      </c>
      <c r="D24" s="915" t="str">
        <f t="shared" si="0"/>
        <v>Sat</v>
      </c>
      <c r="E24" s="133">
        <f>[7]MoCoinMW!F26</f>
        <v>4736</v>
      </c>
      <c r="F24" s="133">
        <f>[7]MoCoinMW!G26</f>
        <v>4333.76853854203</v>
      </c>
      <c r="G24" s="164">
        <f>SUM([6]Hist!M146:O146)</f>
        <v>0</v>
      </c>
      <c r="H24" s="164">
        <f>[6]Hist!L146</f>
        <v>0</v>
      </c>
      <c r="I24" s="164">
        <f>[6]Hist!P146</f>
        <v>0</v>
      </c>
      <c r="J24" s="133">
        <f t="shared" si="8"/>
        <v>4333.76853854203</v>
      </c>
      <c r="K24" s="164">
        <f>[6]Hist!U146</f>
        <v>88</v>
      </c>
      <c r="L24" s="164">
        <f>[6]Hist!V146</f>
        <v>65.5</v>
      </c>
      <c r="M24" s="133">
        <f t="shared" si="9"/>
        <v>4421.76853854203</v>
      </c>
      <c r="N24" s="164">
        <f>[6]Hist!AA146</f>
        <v>221</v>
      </c>
      <c r="O24" s="1377">
        <f t="shared" si="10"/>
        <v>4047.26853854203</v>
      </c>
      <c r="P24" s="374">
        <f>[4]Data!$I320</f>
        <v>1152706</v>
      </c>
      <c r="U24" s="374">
        <f t="shared" si="1"/>
        <v>1152706</v>
      </c>
      <c r="V24" s="132"/>
      <c r="X24" s="339">
        <f>[5]Oct!$J19</f>
        <v>88.1</v>
      </c>
      <c r="Y24" s="339">
        <f>[5]Oct!$M19</f>
        <v>86.5</v>
      </c>
      <c r="AD24" s="1384">
        <f t="shared" si="2"/>
        <v>1991</v>
      </c>
      <c r="AE24" s="408">
        <f t="shared" si="3"/>
        <v>4047.26853854203</v>
      </c>
      <c r="AF24" s="1385">
        <f t="shared" si="11"/>
        <v>1152706</v>
      </c>
      <c r="AG24" s="1386">
        <f t="shared" si="4"/>
        <v>86.5</v>
      </c>
      <c r="AH24" s="1388">
        <v>1</v>
      </c>
      <c r="AI24" s="421">
        <v>0</v>
      </c>
      <c r="AJ24" s="1385">
        <f t="shared" si="15"/>
        <v>4045</v>
      </c>
      <c r="AK24" s="1385">
        <f t="shared" si="14"/>
        <v>2.2685385420300008</v>
      </c>
      <c r="AL24" s="1385"/>
      <c r="AM24" s="1385"/>
      <c r="AN24" s="632"/>
      <c r="AO24" s="1387"/>
      <c r="AP24" s="597">
        <f t="shared" si="16"/>
        <v>-521</v>
      </c>
      <c r="AU24" s="289"/>
      <c r="AV24" s="270"/>
      <c r="AW24" s="28"/>
      <c r="AX24" s="28"/>
      <c r="BC24" s="123">
        <v>1991</v>
      </c>
      <c r="BD24" s="134">
        <f t="shared" si="17"/>
        <v>4060</v>
      </c>
      <c r="BE24" s="133">
        <f t="shared" si="6"/>
        <v>4047.26853854203</v>
      </c>
      <c r="BF24" s="133">
        <f t="shared" si="12"/>
        <v>-12.731461457969999</v>
      </c>
      <c r="BG24" s="133">
        <f t="shared" si="7"/>
        <v>4045</v>
      </c>
      <c r="BH24" s="495">
        <f t="shared" si="13"/>
        <v>15</v>
      </c>
    </row>
    <row r="25" spans="1:60">
      <c r="A25" s="123">
        <v>1992</v>
      </c>
      <c r="B25" s="139">
        <v>33886</v>
      </c>
      <c r="C25" s="131">
        <v>18</v>
      </c>
      <c r="D25" s="346" t="str">
        <f t="shared" si="0"/>
        <v>Fri</v>
      </c>
      <c r="E25" s="133">
        <f>[7]MoCoinMW!F38</f>
        <v>4599</v>
      </c>
      <c r="F25" s="133">
        <f>[7]MoCoinMW!G38</f>
        <v>4258.1393536279975</v>
      </c>
      <c r="G25" s="164">
        <f>SUM([6]Hist!M158:O158)</f>
        <v>98</v>
      </c>
      <c r="H25" s="164">
        <f>[6]Hist!L158</f>
        <v>0</v>
      </c>
      <c r="I25" s="164">
        <f>[6]Hist!P158</f>
        <v>0</v>
      </c>
      <c r="J25" s="133">
        <f t="shared" si="8"/>
        <v>4356.1393536279975</v>
      </c>
      <c r="K25" s="164">
        <f>[6]Hist!U158</f>
        <v>95</v>
      </c>
      <c r="L25" s="164">
        <f>[6]Hist!V158</f>
        <v>65.5</v>
      </c>
      <c r="M25" s="133">
        <f t="shared" si="9"/>
        <v>4451.1393536279975</v>
      </c>
      <c r="N25" s="164">
        <f>[6]Hist!AA158</f>
        <v>200</v>
      </c>
      <c r="O25" s="1377">
        <f t="shared" si="10"/>
        <v>4090.6393536279975</v>
      </c>
      <c r="P25" s="374">
        <f>[4]Data!$I321</f>
        <v>1176538</v>
      </c>
      <c r="U25" s="374">
        <f t="shared" si="1"/>
        <v>1176538</v>
      </c>
      <c r="V25" s="132"/>
      <c r="X25" s="339">
        <f>[5]Oct!$J20</f>
        <v>84.7</v>
      </c>
      <c r="Y25" s="339">
        <f>[5]Oct!$M20</f>
        <v>85.7</v>
      </c>
      <c r="AA25" s="499"/>
      <c r="AD25" s="844">
        <f t="shared" si="2"/>
        <v>1992</v>
      </c>
      <c r="AE25" s="133">
        <f t="shared" si="3"/>
        <v>4090.6393536279975</v>
      </c>
      <c r="AF25" s="132">
        <f t="shared" si="11"/>
        <v>1176538</v>
      </c>
      <c r="AG25" s="140">
        <f t="shared" si="4"/>
        <v>85.7</v>
      </c>
      <c r="AH25" s="500">
        <v>1</v>
      </c>
      <c r="AI25" s="301">
        <v>0</v>
      </c>
      <c r="AJ25" s="134">
        <f t="shared" si="15"/>
        <v>4064</v>
      </c>
      <c r="AK25" s="134">
        <f t="shared" si="14"/>
        <v>26.63935362799748</v>
      </c>
      <c r="AL25" s="134"/>
      <c r="AM25" s="134"/>
      <c r="AO25" s="135"/>
      <c r="AP25" s="322">
        <f t="shared" si="16"/>
        <v>19</v>
      </c>
      <c r="AQ25" s="1"/>
      <c r="AR25" s="1"/>
      <c r="AS25" s="1"/>
      <c r="AT25" s="1"/>
      <c r="AU25" s="1"/>
      <c r="AV25" s="28"/>
      <c r="AW25" s="28"/>
      <c r="AX25" s="28"/>
      <c r="BC25" s="123">
        <v>1992</v>
      </c>
      <c r="BD25" s="134">
        <f t="shared" si="17"/>
        <v>4199</v>
      </c>
      <c r="BE25" s="133">
        <f t="shared" si="6"/>
        <v>4090.6393536279975</v>
      </c>
      <c r="BF25" s="133">
        <f t="shared" si="12"/>
        <v>-108.36064637200252</v>
      </c>
      <c r="BG25" s="133">
        <f t="shared" si="7"/>
        <v>4064</v>
      </c>
      <c r="BH25" s="495">
        <f t="shared" si="13"/>
        <v>135</v>
      </c>
    </row>
    <row r="26" spans="1:60">
      <c r="A26" s="123">
        <v>1993</v>
      </c>
      <c r="B26" s="139">
        <v>34263</v>
      </c>
      <c r="C26" s="131">
        <v>17</v>
      </c>
      <c r="D26" s="346" t="str">
        <f t="shared" si="0"/>
        <v>Thu</v>
      </c>
      <c r="E26" s="133">
        <f>[7]MoCoinMW!F50</f>
        <v>5403</v>
      </c>
      <c r="F26" s="133">
        <f>[7]MoCoinMW!G50</f>
        <v>4938.3394841510944</v>
      </c>
      <c r="G26" s="164">
        <f>SUM([6]Hist!M170:O170)</f>
        <v>0</v>
      </c>
      <c r="H26" s="164">
        <f>[6]Hist!L170</f>
        <v>0</v>
      </c>
      <c r="I26" s="164">
        <f>[6]Hist!P170</f>
        <v>0</v>
      </c>
      <c r="J26" s="133">
        <f t="shared" si="8"/>
        <v>4938.3394841510944</v>
      </c>
      <c r="K26" s="164">
        <f>[6]Hist!U170</f>
        <v>111</v>
      </c>
      <c r="L26" s="164">
        <f>[6]Hist!V170</f>
        <v>65.5</v>
      </c>
      <c r="M26" s="133">
        <f t="shared" si="9"/>
        <v>5049.3394841510944</v>
      </c>
      <c r="N26" s="164">
        <f>[6]Hist!AA170</f>
        <v>216</v>
      </c>
      <c r="O26" s="1377">
        <f t="shared" si="10"/>
        <v>4656.8394841510944</v>
      </c>
      <c r="P26" s="374">
        <f>[4]Data!$I322</f>
        <v>1213580</v>
      </c>
      <c r="U26" s="374">
        <f t="shared" si="1"/>
        <v>1213580</v>
      </c>
      <c r="V26" s="132"/>
      <c r="X26" s="339">
        <f>[5]Oct!$J21</f>
        <v>88.4</v>
      </c>
      <c r="Y26" s="339">
        <f>[5]Oct!$M21</f>
        <v>87.9</v>
      </c>
      <c r="AA26" s="499"/>
      <c r="AD26" s="844">
        <f t="shared" si="2"/>
        <v>1993</v>
      </c>
      <c r="AE26" s="133">
        <f t="shared" si="3"/>
        <v>4656.8394841510944</v>
      </c>
      <c r="AF26" s="132">
        <f t="shared" si="11"/>
        <v>1213580</v>
      </c>
      <c r="AG26" s="140">
        <f t="shared" si="4"/>
        <v>87.9</v>
      </c>
      <c r="AH26" s="500">
        <v>1</v>
      </c>
      <c r="AI26" s="301">
        <v>0</v>
      </c>
      <c r="AJ26" s="134">
        <f t="shared" si="15"/>
        <v>4612</v>
      </c>
      <c r="AK26" s="134">
        <f t="shared" si="14"/>
        <v>44.839484151094439</v>
      </c>
      <c r="AL26" s="134"/>
      <c r="AM26" s="134"/>
      <c r="AO26" s="135"/>
      <c r="AP26" s="322">
        <f t="shared" si="16"/>
        <v>548</v>
      </c>
      <c r="AQ26" s="271"/>
      <c r="AR26" s="271"/>
      <c r="AS26" s="266"/>
      <c r="AT26" s="266"/>
      <c r="AU26" s="266"/>
      <c r="AV26" s="28"/>
      <c r="AW26" s="28"/>
      <c r="AX26" s="28"/>
      <c r="BC26" s="123">
        <v>1993</v>
      </c>
      <c r="BD26" s="134">
        <f t="shared" si="17"/>
        <v>4416</v>
      </c>
      <c r="BE26" s="133">
        <f t="shared" si="6"/>
        <v>4656.8394841510944</v>
      </c>
      <c r="BF26" s="133">
        <f t="shared" si="12"/>
        <v>240.83948415109444</v>
      </c>
      <c r="BG26" s="133">
        <f t="shared" si="7"/>
        <v>4612</v>
      </c>
      <c r="BH26" s="495">
        <f t="shared" si="13"/>
        <v>-196</v>
      </c>
    </row>
    <row r="27" spans="1:60">
      <c r="A27" s="123">
        <v>1994</v>
      </c>
      <c r="B27" s="139">
        <v>34610</v>
      </c>
      <c r="C27" s="131">
        <v>17</v>
      </c>
      <c r="D27" s="346" t="str">
        <f t="shared" si="0"/>
        <v>Mon</v>
      </c>
      <c r="E27" s="133">
        <f>[7]MoCoinMW!F62</f>
        <v>5482</v>
      </c>
      <c r="F27" s="133">
        <f>[7]MoCoinMW!G62</f>
        <v>5001.5819811591964</v>
      </c>
      <c r="G27" s="164">
        <f>SUM([6]Hist!M182:O182)</f>
        <v>0</v>
      </c>
      <c r="H27" s="164">
        <f>[6]Hist!L182</f>
        <v>0</v>
      </c>
      <c r="I27" s="164">
        <f>[6]Hist!P182</f>
        <v>0</v>
      </c>
      <c r="J27" s="133">
        <f t="shared" si="8"/>
        <v>5001.5819811591964</v>
      </c>
      <c r="K27" s="164">
        <f>[6]Hist!U182</f>
        <v>127</v>
      </c>
      <c r="L27" s="164">
        <f>[6]Hist!V182</f>
        <v>65.5</v>
      </c>
      <c r="M27" s="133">
        <f t="shared" si="9"/>
        <v>5128.5819811591964</v>
      </c>
      <c r="N27" s="164">
        <f>[6]Hist!AA182</f>
        <v>194</v>
      </c>
      <c r="O27" s="1377">
        <f t="shared" si="10"/>
        <v>4742.0819811591964</v>
      </c>
      <c r="P27" s="374">
        <f>[4]Data!$I323</f>
        <v>1237638</v>
      </c>
      <c r="U27" s="374">
        <f t="shared" si="1"/>
        <v>1237638</v>
      </c>
      <c r="W27" s="132">
        <f t="shared" ref="W27:W58" si="18">U27-U26</f>
        <v>24058</v>
      </c>
      <c r="X27" s="339">
        <f>[5]Oct!$J22</f>
        <v>86.2</v>
      </c>
      <c r="Y27" s="339">
        <f>[5]Oct!$M22</f>
        <v>85.7</v>
      </c>
      <c r="AA27" s="499"/>
      <c r="AD27" s="844">
        <f t="shared" si="2"/>
        <v>1994</v>
      </c>
      <c r="AE27" s="133">
        <f t="shared" si="3"/>
        <v>4742.0819811591964</v>
      </c>
      <c r="AF27" s="132">
        <f t="shared" si="11"/>
        <v>1237638</v>
      </c>
      <c r="AG27" s="140">
        <f t="shared" si="4"/>
        <v>85.7</v>
      </c>
      <c r="AH27" s="500">
        <v>0</v>
      </c>
      <c r="AI27" s="301">
        <v>0</v>
      </c>
      <c r="AJ27" s="134">
        <f t="shared" si="15"/>
        <v>4812</v>
      </c>
      <c r="AK27" s="134">
        <f t="shared" si="14"/>
        <v>-69.918018840803597</v>
      </c>
      <c r="AL27" s="134"/>
      <c r="AM27" s="134"/>
      <c r="AO27" s="135"/>
      <c r="AP27" s="322">
        <f t="shared" si="16"/>
        <v>200</v>
      </c>
      <c r="AQ27" s="272"/>
      <c r="AR27" s="273"/>
      <c r="AS27" s="274"/>
      <c r="AT27" s="273"/>
      <c r="AU27" s="267"/>
      <c r="AV27" s="28"/>
      <c r="AW27" s="28"/>
      <c r="AX27" s="28"/>
      <c r="BC27" s="123">
        <v>1994</v>
      </c>
      <c r="BD27" s="134">
        <f t="shared" si="17"/>
        <v>4947</v>
      </c>
      <c r="BE27" s="133">
        <f t="shared" si="6"/>
        <v>4742.0819811591964</v>
      </c>
      <c r="BF27" s="133">
        <f t="shared" si="12"/>
        <v>-204.9180188408036</v>
      </c>
      <c r="BG27" s="133">
        <f t="shared" si="7"/>
        <v>4812</v>
      </c>
      <c r="BH27" s="495">
        <f t="shared" si="13"/>
        <v>135</v>
      </c>
    </row>
    <row r="28" spans="1:60">
      <c r="A28" s="123">
        <v>1995</v>
      </c>
      <c r="B28" s="139">
        <v>34974</v>
      </c>
      <c r="C28" s="131">
        <v>17</v>
      </c>
      <c r="D28" s="346" t="str">
        <f t="shared" si="0"/>
        <v>Mon</v>
      </c>
      <c r="E28" s="133">
        <f>[7]MoCoinMW!F74</f>
        <v>6108</v>
      </c>
      <c r="F28" s="133">
        <f>[7]MoCoinMW!G74</f>
        <v>5552.8308778409855</v>
      </c>
      <c r="G28" s="164">
        <f>SUM([6]Hist!M194:O194)</f>
        <v>0</v>
      </c>
      <c r="H28" s="164">
        <f>[6]Hist!L194</f>
        <v>0</v>
      </c>
      <c r="I28" s="164">
        <f>[6]Hist!P194</f>
        <v>0</v>
      </c>
      <c r="J28" s="133">
        <f t="shared" si="8"/>
        <v>5552.8308778409855</v>
      </c>
      <c r="K28" s="164">
        <f>[6]Hist!U194</f>
        <v>151</v>
      </c>
      <c r="L28" s="164">
        <f>[6]Hist!V194</f>
        <v>65.5</v>
      </c>
      <c r="M28" s="133">
        <f t="shared" si="9"/>
        <v>5703.8308778409855</v>
      </c>
      <c r="N28" s="164">
        <f>[6]Hist!AA194</f>
        <v>293</v>
      </c>
      <c r="O28" s="1377">
        <f t="shared" si="10"/>
        <v>5194.3308778409855</v>
      </c>
      <c r="P28" s="814">
        <f>'[12]1996'!$K$113-[4]Data!$G$324</f>
        <v>1262875</v>
      </c>
      <c r="U28" s="374">
        <f t="shared" si="1"/>
        <v>1262875</v>
      </c>
      <c r="W28" s="132">
        <f t="shared" si="18"/>
        <v>25237</v>
      </c>
      <c r="X28" s="339">
        <f>[5]Oct!$J23</f>
        <v>87.8</v>
      </c>
      <c r="Y28" s="339">
        <f>[5]Oct!$M23</f>
        <v>87.7</v>
      </c>
      <c r="AA28" s="499"/>
      <c r="AD28" s="844">
        <f t="shared" si="2"/>
        <v>1995</v>
      </c>
      <c r="AE28" s="133">
        <f t="shared" si="3"/>
        <v>5194.3308778409855</v>
      </c>
      <c r="AF28" s="132">
        <f t="shared" si="11"/>
        <v>1262875</v>
      </c>
      <c r="AG28" s="140">
        <f t="shared" si="4"/>
        <v>87.7</v>
      </c>
      <c r="AH28" s="500">
        <v>0</v>
      </c>
      <c r="AI28" s="301">
        <v>0</v>
      </c>
      <c r="AJ28" s="134">
        <f t="shared" si="15"/>
        <v>5261</v>
      </c>
      <c r="AK28" s="134">
        <f t="shared" si="14"/>
        <v>-66.669122159014478</v>
      </c>
      <c r="AL28" s="134"/>
      <c r="AM28" s="134"/>
      <c r="AO28" s="129"/>
      <c r="AP28" s="322">
        <f t="shared" si="16"/>
        <v>449</v>
      </c>
      <c r="AQ28" s="275"/>
      <c r="AR28" s="268"/>
      <c r="AS28" s="276"/>
      <c r="AT28" s="268"/>
      <c r="AU28" s="268"/>
      <c r="AV28" s="28"/>
      <c r="AW28" s="28"/>
      <c r="AX28" s="28"/>
      <c r="BC28" s="123">
        <v>1995</v>
      </c>
      <c r="BD28" s="134">
        <f t="shared" si="17"/>
        <v>5095</v>
      </c>
      <c r="BE28" s="133">
        <f t="shared" si="6"/>
        <v>5194.3308778409855</v>
      </c>
      <c r="BF28" s="133">
        <f t="shared" si="12"/>
        <v>99.330877840985522</v>
      </c>
      <c r="BG28" s="133">
        <f t="shared" si="7"/>
        <v>5261</v>
      </c>
      <c r="BH28" s="495">
        <f t="shared" si="13"/>
        <v>-166</v>
      </c>
    </row>
    <row r="29" spans="1:60">
      <c r="A29" s="123">
        <v>1996</v>
      </c>
      <c r="B29" s="139">
        <v>35339</v>
      </c>
      <c r="C29" s="131">
        <v>17</v>
      </c>
      <c r="D29" s="346" t="str">
        <f t="shared" si="0"/>
        <v>Tue</v>
      </c>
      <c r="E29" s="133">
        <f>[7]MoCoinMW!F86</f>
        <v>5508</v>
      </c>
      <c r="F29" s="133">
        <f>[7]MoCoinMW!G86</f>
        <v>4907.0111325893449</v>
      </c>
      <c r="G29" s="164">
        <f>SUM([6]Hist!M206:O206)</f>
        <v>0</v>
      </c>
      <c r="H29" s="164">
        <f>[6]Hist!L206</f>
        <v>0</v>
      </c>
      <c r="I29" s="164">
        <f>[6]Hist!P206</f>
        <v>0</v>
      </c>
      <c r="J29" s="133">
        <f t="shared" si="8"/>
        <v>4907.0111325893449</v>
      </c>
      <c r="K29" s="164">
        <f>[6]Hist!U206</f>
        <v>173</v>
      </c>
      <c r="L29" s="164">
        <f>[6]Hist!V206</f>
        <v>71.5</v>
      </c>
      <c r="M29" s="133">
        <f t="shared" si="9"/>
        <v>5080.0111325893449</v>
      </c>
      <c r="N29" s="164">
        <f>[6]Hist!AA206</f>
        <v>299</v>
      </c>
      <c r="O29" s="1377">
        <f t="shared" si="10"/>
        <v>4536.5111325893449</v>
      </c>
      <c r="P29" s="814">
        <f>[8]FCST!$BL3</f>
        <v>1286537</v>
      </c>
      <c r="R29" s="677" t="s">
        <v>336</v>
      </c>
      <c r="U29" s="374">
        <f t="shared" si="1"/>
        <v>1286537</v>
      </c>
      <c r="W29" s="132">
        <f t="shared" si="18"/>
        <v>23662</v>
      </c>
      <c r="X29" s="339">
        <f>[5]Oct!$J24</f>
        <v>83.3</v>
      </c>
      <c r="Y29" s="339">
        <f>[5]Oct!$M24</f>
        <v>83.2</v>
      </c>
      <c r="AA29" s="499"/>
      <c r="AD29" s="844">
        <f t="shared" si="2"/>
        <v>1996</v>
      </c>
      <c r="AE29" s="133">
        <f t="shared" si="3"/>
        <v>4536.5111325893449</v>
      </c>
      <c r="AF29" s="132">
        <f t="shared" si="11"/>
        <v>1286537</v>
      </c>
      <c r="AG29" s="140">
        <f t="shared" si="4"/>
        <v>83.2</v>
      </c>
      <c r="AH29" s="500">
        <v>0</v>
      </c>
      <c r="AI29" s="301">
        <v>0</v>
      </c>
      <c r="AJ29" s="134">
        <f t="shared" si="15"/>
        <v>4722</v>
      </c>
      <c r="AK29" s="134">
        <f t="shared" si="14"/>
        <v>-185.48886741065508</v>
      </c>
      <c r="AL29" s="134"/>
      <c r="AM29" s="134"/>
      <c r="AO29" s="142"/>
      <c r="AP29" s="322">
        <f t="shared" si="16"/>
        <v>-539</v>
      </c>
      <c r="AQ29" s="277"/>
      <c r="AR29" s="278"/>
      <c r="AS29" s="269"/>
      <c r="AT29" s="269"/>
      <c r="AU29" s="269"/>
      <c r="AV29" s="45"/>
      <c r="AW29" s="45"/>
      <c r="AX29" s="45"/>
      <c r="BC29" s="123">
        <v>1996</v>
      </c>
      <c r="BD29" s="134">
        <f t="shared" si="17"/>
        <v>5234</v>
      </c>
      <c r="BE29" s="133">
        <f t="shared" si="6"/>
        <v>4536.5111325893449</v>
      </c>
      <c r="BF29" s="133">
        <f t="shared" si="12"/>
        <v>-697.48886741065508</v>
      </c>
      <c r="BG29" s="133">
        <f t="shared" si="7"/>
        <v>4722</v>
      </c>
      <c r="BH29" s="495">
        <f t="shared" si="13"/>
        <v>512</v>
      </c>
    </row>
    <row r="30" spans="1:60">
      <c r="A30" s="123">
        <v>1997</v>
      </c>
      <c r="B30" s="139">
        <v>35704</v>
      </c>
      <c r="C30" s="131">
        <v>17</v>
      </c>
      <c r="D30" s="346" t="str">
        <f t="shared" si="0"/>
        <v>Wed</v>
      </c>
      <c r="E30" s="133">
        <f>[7]MoCoinMW!F98</f>
        <v>6426</v>
      </c>
      <c r="F30" s="133">
        <f>[7]MoCoinMW!G98</f>
        <v>5865.8186585752383</v>
      </c>
      <c r="G30" s="164">
        <f>SUM([6]Hist!M218:O218)</f>
        <v>0</v>
      </c>
      <c r="H30" s="164">
        <f>[6]Hist!L218</f>
        <v>0</v>
      </c>
      <c r="I30" s="164">
        <f>[6]Hist!P218</f>
        <v>0</v>
      </c>
      <c r="J30" s="133">
        <f t="shared" si="8"/>
        <v>5865.8186585752383</v>
      </c>
      <c r="K30" s="164">
        <f>[6]Hist!U218</f>
        <v>188.5</v>
      </c>
      <c r="L30" s="164">
        <f>[6]Hist!V218</f>
        <v>71.5</v>
      </c>
      <c r="M30" s="133">
        <f t="shared" si="9"/>
        <v>6054.3186585752383</v>
      </c>
      <c r="N30" s="164">
        <f>[6]Hist!AA218</f>
        <v>341.2</v>
      </c>
      <c r="O30" s="1377">
        <f t="shared" si="10"/>
        <v>5453.1186585752384</v>
      </c>
      <c r="P30" s="132">
        <f>[8]FCST!$BL4</f>
        <v>1305947</v>
      </c>
      <c r="R30" s="123">
        <f>[9]Sheet1!$R$16</f>
        <v>6508</v>
      </c>
      <c r="U30" s="374">
        <f>P30-Q30+R30</f>
        <v>1312455</v>
      </c>
      <c r="W30" s="132">
        <f t="shared" si="18"/>
        <v>25918</v>
      </c>
      <c r="X30" s="339">
        <f>[5]Oct!$J25</f>
        <v>88.6</v>
      </c>
      <c r="Y30" s="339">
        <f>[5]Oct!$M25</f>
        <v>88.2</v>
      </c>
      <c r="AA30" s="499"/>
      <c r="AD30" s="844">
        <f t="shared" si="2"/>
        <v>1997</v>
      </c>
      <c r="AE30" s="133">
        <f t="shared" si="3"/>
        <v>5453.1186585752384</v>
      </c>
      <c r="AF30" s="132">
        <f t="shared" si="11"/>
        <v>1305947</v>
      </c>
      <c r="AG30" s="1144">
        <f>Y30-1</f>
        <v>87.2</v>
      </c>
      <c r="AH30" s="500">
        <v>0</v>
      </c>
      <c r="AI30" s="301">
        <v>0</v>
      </c>
      <c r="AJ30" s="134">
        <f t="shared" si="15"/>
        <v>5438</v>
      </c>
      <c r="AK30" s="134">
        <f t="shared" si="14"/>
        <v>15.118658575238442</v>
      </c>
      <c r="AL30" s="134"/>
      <c r="AM30" s="134"/>
      <c r="AO30" s="135"/>
      <c r="AP30" s="322">
        <f t="shared" si="16"/>
        <v>716</v>
      </c>
      <c r="AQ30" s="268"/>
      <c r="AR30" s="279"/>
      <c r="AS30" s="269"/>
      <c r="AT30" s="269"/>
      <c r="AU30" s="269"/>
      <c r="AV30" s="1"/>
      <c r="AW30" s="1"/>
      <c r="AX30" s="1"/>
      <c r="BC30" s="123">
        <v>1997</v>
      </c>
      <c r="BD30" s="134">
        <f t="shared" si="17"/>
        <v>5348</v>
      </c>
      <c r="BE30" s="133">
        <f t="shared" si="6"/>
        <v>5453.1186585752384</v>
      </c>
      <c r="BF30" s="133">
        <f t="shared" si="12"/>
        <v>105.11865857523844</v>
      </c>
      <c r="BG30" s="133">
        <f t="shared" si="7"/>
        <v>5438</v>
      </c>
      <c r="BH30" s="495">
        <f t="shared" si="13"/>
        <v>-90</v>
      </c>
    </row>
    <row r="31" spans="1:60">
      <c r="A31" s="123">
        <v>1998</v>
      </c>
      <c r="B31" s="139">
        <v>36075</v>
      </c>
      <c r="C31" s="131">
        <v>17</v>
      </c>
      <c r="D31" s="346" t="str">
        <f t="shared" si="0"/>
        <v>Wed</v>
      </c>
      <c r="E31" s="133">
        <f>[7]MoCoinMW!F110</f>
        <v>7034</v>
      </c>
      <c r="F31" s="133">
        <f>[7]MoCoinMW!G110</f>
        <v>6320.6926173604425</v>
      </c>
      <c r="G31" s="164">
        <f>SUM([6]Hist!M230:O230)</f>
        <v>0</v>
      </c>
      <c r="H31" s="164">
        <f>[6]Hist!L230</f>
        <v>0</v>
      </c>
      <c r="I31" s="164">
        <f>[6]Hist!P230</f>
        <v>0</v>
      </c>
      <c r="J31" s="133">
        <f t="shared" si="8"/>
        <v>6320.6926173604425</v>
      </c>
      <c r="K31" s="164">
        <f>[6]Hist!U230</f>
        <v>219</v>
      </c>
      <c r="L31" s="164">
        <f>[6]Hist!V230</f>
        <v>75</v>
      </c>
      <c r="M31" s="133">
        <f t="shared" si="9"/>
        <v>6539.6926173604425</v>
      </c>
      <c r="N31" s="164">
        <f>'Interruptible Forecast'!AQ9</f>
        <v>343</v>
      </c>
      <c r="O31" s="1377">
        <f t="shared" si="10"/>
        <v>5902.6926173604425</v>
      </c>
      <c r="P31" s="132">
        <f>[8]FCST!$BL5</f>
        <v>1337026</v>
      </c>
      <c r="Q31" s="463">
        <f>[8]FCST!$DN5</f>
        <v>11692</v>
      </c>
      <c r="R31" s="123">
        <f>[9]Sheet1!$R$28</f>
        <v>6634</v>
      </c>
      <c r="U31" s="374">
        <f>P31-Q31+R$31</f>
        <v>1331968</v>
      </c>
      <c r="W31" s="132">
        <f t="shared" si="18"/>
        <v>19513</v>
      </c>
      <c r="X31" s="339">
        <f>[5]Oct!$J26</f>
        <v>89.4</v>
      </c>
      <c r="Y31" s="339">
        <f>[5]Oct!$M26</f>
        <v>88.7</v>
      </c>
      <c r="AA31" s="499"/>
      <c r="AC31" s="103"/>
      <c r="AD31" s="844">
        <f t="shared" si="2"/>
        <v>1998</v>
      </c>
      <c r="AE31" s="133">
        <f t="shared" si="3"/>
        <v>5902.6926173604425</v>
      </c>
      <c r="AF31" s="132">
        <f t="shared" si="11"/>
        <v>1337026</v>
      </c>
      <c r="AG31" s="140">
        <f t="shared" si="4"/>
        <v>88.7</v>
      </c>
      <c r="AH31" s="500">
        <v>0</v>
      </c>
      <c r="AI31" s="301">
        <v>0</v>
      </c>
      <c r="AJ31" s="134">
        <f t="shared" si="15"/>
        <v>5846</v>
      </c>
      <c r="AK31" s="134">
        <f t="shared" si="14"/>
        <v>56.692617360442455</v>
      </c>
      <c r="AL31" s="134"/>
      <c r="AM31" s="134"/>
      <c r="AO31" s="135"/>
      <c r="AP31" s="322">
        <f t="shared" si="16"/>
        <v>408</v>
      </c>
      <c r="AQ31" s="279"/>
      <c r="AR31" s="279"/>
      <c r="AS31" s="269"/>
      <c r="AT31" s="269"/>
      <c r="AU31" s="269"/>
      <c r="AV31" s="1"/>
      <c r="AW31" s="1"/>
      <c r="AX31" s="1"/>
      <c r="BC31" s="123">
        <v>1998</v>
      </c>
      <c r="BD31" s="134">
        <f t="shared" si="17"/>
        <v>5530</v>
      </c>
      <c r="BE31" s="133">
        <f t="shared" si="6"/>
        <v>5902.6926173604425</v>
      </c>
      <c r="BF31" s="133">
        <f t="shared" si="12"/>
        <v>372.69261736044245</v>
      </c>
      <c r="BG31" s="133">
        <f t="shared" si="7"/>
        <v>5846</v>
      </c>
      <c r="BH31" s="495">
        <f t="shared" si="13"/>
        <v>-316</v>
      </c>
    </row>
    <row r="32" spans="1:60">
      <c r="A32" s="123">
        <v>1999</v>
      </c>
      <c r="B32" s="139">
        <v>36444</v>
      </c>
      <c r="C32" s="123">
        <v>17</v>
      </c>
      <c r="D32" s="346" t="str">
        <f t="shared" si="0"/>
        <v>Mon</v>
      </c>
      <c r="E32" s="133">
        <f>[7]MoCoinMW!F122</f>
        <v>6840</v>
      </c>
      <c r="F32" s="133">
        <f>[7]MoCoinMW!G122</f>
        <v>5937.2</v>
      </c>
      <c r="G32" s="164">
        <f>SUM([6]Hist!M242:O242)</f>
        <v>0</v>
      </c>
      <c r="H32" s="164">
        <f>[6]Hist!L242</f>
        <v>0</v>
      </c>
      <c r="I32" s="164">
        <f>[6]Hist!P242</f>
        <v>0</v>
      </c>
      <c r="J32" s="374">
        <f t="shared" ref="J32:J37" si="19">SUM(F32:I32)</f>
        <v>5937.2</v>
      </c>
      <c r="K32" s="164">
        <f>[6]Hist!U242</f>
        <v>234</v>
      </c>
      <c r="L32" s="164">
        <f>[6]Hist!V242</f>
        <v>75</v>
      </c>
      <c r="M32" s="133">
        <f t="shared" si="9"/>
        <v>6171.2</v>
      </c>
      <c r="N32" s="164">
        <f>'Interruptible Forecast'!AQ10</f>
        <v>276</v>
      </c>
      <c r="O32" s="1377">
        <f t="shared" si="10"/>
        <v>5586.2</v>
      </c>
      <c r="P32" s="132">
        <f>[8]FCST!$BL6</f>
        <v>1370769</v>
      </c>
      <c r="Q32" s="463">
        <f>[8]FCST!$DN6</f>
        <v>21433</v>
      </c>
      <c r="U32" s="374">
        <f t="shared" ref="U32:U58" si="20">P32-Q32+R$31</f>
        <v>1355970</v>
      </c>
      <c r="W32" s="132">
        <f t="shared" si="18"/>
        <v>24002</v>
      </c>
      <c r="X32" s="339">
        <f>[5]Oct!$J27</f>
        <v>84.8</v>
      </c>
      <c r="Y32" s="339">
        <f>[5]Oct!$M27</f>
        <v>85.7</v>
      </c>
      <c r="AA32" s="499"/>
      <c r="AC32" s="103"/>
      <c r="AD32" s="844">
        <f t="shared" si="2"/>
        <v>1999</v>
      </c>
      <c r="AE32" s="133">
        <f t="shared" si="3"/>
        <v>5586.2</v>
      </c>
      <c r="AF32" s="132">
        <f t="shared" si="11"/>
        <v>1370769</v>
      </c>
      <c r="AG32" s="140">
        <f t="shared" si="4"/>
        <v>85.7</v>
      </c>
      <c r="AH32" s="500">
        <v>0</v>
      </c>
      <c r="AI32" s="301">
        <v>0</v>
      </c>
      <c r="AJ32" s="134">
        <f t="shared" si="15"/>
        <v>5592</v>
      </c>
      <c r="AK32" s="134">
        <f t="shared" si="14"/>
        <v>-5.8000000000001819</v>
      </c>
      <c r="AL32" s="134"/>
      <c r="AM32" s="134"/>
      <c r="AN32" s="134"/>
      <c r="AO32" s="135"/>
      <c r="AP32" s="322">
        <f t="shared" si="16"/>
        <v>-254</v>
      </c>
      <c r="AQ32" s="270"/>
      <c r="AR32" s="270"/>
      <c r="AS32" s="270"/>
      <c r="AT32" s="270"/>
      <c r="AU32" s="270"/>
      <c r="AV32" s="1"/>
      <c r="AW32" s="1"/>
      <c r="AX32" s="1"/>
      <c r="BC32" s="123">
        <v>1999</v>
      </c>
      <c r="BD32" s="134">
        <f t="shared" si="17"/>
        <v>5727</v>
      </c>
      <c r="BE32" s="133">
        <f t="shared" si="6"/>
        <v>5586.2</v>
      </c>
      <c r="BF32" s="133">
        <f t="shared" si="12"/>
        <v>-140.80000000000018</v>
      </c>
      <c r="BG32" s="133">
        <f t="shared" si="7"/>
        <v>5592</v>
      </c>
      <c r="BH32" s="495">
        <f t="shared" si="13"/>
        <v>135</v>
      </c>
    </row>
    <row r="33" spans="1:60">
      <c r="A33" s="123">
        <v>2000</v>
      </c>
      <c r="B33" s="139">
        <v>36804</v>
      </c>
      <c r="C33" s="123">
        <v>18</v>
      </c>
      <c r="D33" s="346" t="str">
        <f t="shared" si="0"/>
        <v>Thu</v>
      </c>
      <c r="E33" s="133">
        <f>[7]MoCoinMW!F134</f>
        <v>7683</v>
      </c>
      <c r="F33" s="133">
        <f>[7]MoCoinMW!G134</f>
        <v>6608.3</v>
      </c>
      <c r="G33" s="164">
        <f>SUM([6]Hist!M254:O254)</f>
        <v>0</v>
      </c>
      <c r="H33" s="164">
        <f>[6]Hist!L254</f>
        <v>0</v>
      </c>
      <c r="I33" s="164">
        <f>[6]Hist!P254</f>
        <v>0</v>
      </c>
      <c r="J33" s="133">
        <f t="shared" si="19"/>
        <v>6608.3</v>
      </c>
      <c r="K33" s="164">
        <f>[6]Hist!U254</f>
        <v>247</v>
      </c>
      <c r="L33" s="164">
        <f>[6]Hist!V254</f>
        <v>75</v>
      </c>
      <c r="M33" s="133">
        <f t="shared" si="9"/>
        <v>6855.3</v>
      </c>
      <c r="N33" s="164">
        <f>'Interruptible Forecast'!AQ11</f>
        <v>258</v>
      </c>
      <c r="O33" s="1377">
        <f t="shared" si="10"/>
        <v>6275.3</v>
      </c>
      <c r="P33" s="132">
        <f>[8]FCST!$BL7</f>
        <v>1410296</v>
      </c>
      <c r="Q33" s="463">
        <f>[8]FCST!$DN7</f>
        <v>25728</v>
      </c>
      <c r="U33" s="374">
        <f t="shared" si="20"/>
        <v>1391202</v>
      </c>
      <c r="W33" s="132">
        <f t="shared" si="18"/>
        <v>35232</v>
      </c>
      <c r="X33" s="339">
        <f>[5]Oct!$J28</f>
        <v>86.9</v>
      </c>
      <c r="Y33" s="339">
        <f>[5]Oct!$M28</f>
        <v>87.8</v>
      </c>
      <c r="Z33" s="144"/>
      <c r="AA33" s="499"/>
      <c r="AC33" s="103"/>
      <c r="AD33" s="844">
        <f t="shared" si="2"/>
        <v>2000</v>
      </c>
      <c r="AE33" s="133">
        <f t="shared" si="3"/>
        <v>6275.3</v>
      </c>
      <c r="AF33" s="132">
        <f t="shared" si="11"/>
        <v>1410296</v>
      </c>
      <c r="AG33" s="140">
        <f t="shared" si="4"/>
        <v>87.8</v>
      </c>
      <c r="AH33" s="500">
        <v>0</v>
      </c>
      <c r="AI33" s="284">
        <v>0</v>
      </c>
      <c r="AJ33" s="134">
        <f t="shared" si="15"/>
        <v>6140</v>
      </c>
      <c r="AK33" s="134">
        <f t="shared" si="14"/>
        <v>135.30000000000018</v>
      </c>
      <c r="AL33" s="134"/>
      <c r="AM33" s="134"/>
      <c r="AN33" s="134"/>
      <c r="AO33" s="138"/>
      <c r="AP33" s="322">
        <f t="shared" si="16"/>
        <v>548</v>
      </c>
      <c r="AQ33" s="1"/>
      <c r="AR33" s="1"/>
      <c r="AS33" s="1"/>
      <c r="AT33" s="1"/>
      <c r="AU33" s="1"/>
      <c r="AV33" s="1"/>
      <c r="AW33" s="1"/>
      <c r="AX33" s="1"/>
      <c r="BC33" s="123">
        <v>2000</v>
      </c>
      <c r="BD33" s="134">
        <f t="shared" si="17"/>
        <v>5959</v>
      </c>
      <c r="BE33" s="133">
        <f t="shared" si="6"/>
        <v>6275.3</v>
      </c>
      <c r="BF33" s="133">
        <f t="shared" si="12"/>
        <v>316.30000000000018</v>
      </c>
      <c r="BG33" s="133">
        <f t="shared" si="7"/>
        <v>6140</v>
      </c>
      <c r="BH33" s="495">
        <f t="shared" si="13"/>
        <v>-181</v>
      </c>
    </row>
    <row r="34" spans="1:60">
      <c r="A34" s="123">
        <v>2001</v>
      </c>
      <c r="B34" s="139">
        <v>37170</v>
      </c>
      <c r="C34" s="123">
        <v>16</v>
      </c>
      <c r="D34" s="915" t="str">
        <f t="shared" si="0"/>
        <v>Sat</v>
      </c>
      <c r="E34" s="133">
        <f>[7]MoCoinMW!F146</f>
        <v>6909</v>
      </c>
      <c r="F34" s="133">
        <f>[7]MoCoinMW!G146</f>
        <v>5971</v>
      </c>
      <c r="G34" s="164">
        <f>SUM([6]Hist!M266:O266)</f>
        <v>0</v>
      </c>
      <c r="H34" s="164">
        <f>[6]Hist!L266</f>
        <v>0</v>
      </c>
      <c r="I34" s="164">
        <f>[6]Hist!P266</f>
        <v>0</v>
      </c>
      <c r="J34" s="133">
        <f t="shared" si="19"/>
        <v>5971</v>
      </c>
      <c r="K34" s="164">
        <f>[6]Hist!U266</f>
        <v>260</v>
      </c>
      <c r="L34" s="164">
        <f>[6]Hist!V266</f>
        <v>75</v>
      </c>
      <c r="M34" s="133">
        <f t="shared" si="9"/>
        <v>6231</v>
      </c>
      <c r="N34" s="164">
        <f>'Interruptible Forecast'!AQ12</f>
        <v>234</v>
      </c>
      <c r="O34" s="1377">
        <f t="shared" si="10"/>
        <v>5662</v>
      </c>
      <c r="P34" s="132">
        <f>[8]FCST!$BL8</f>
        <v>1443700</v>
      </c>
      <c r="Q34" s="463">
        <f>[8]FCST!$DN8</f>
        <v>28831</v>
      </c>
      <c r="U34" s="374">
        <f t="shared" si="20"/>
        <v>1421503</v>
      </c>
      <c r="W34" s="132">
        <f t="shared" si="18"/>
        <v>30301</v>
      </c>
      <c r="X34" s="339">
        <f>[5]Oct!$J29</f>
        <v>86.1</v>
      </c>
      <c r="Y34" s="339">
        <f>[5]Oct!$M29</f>
        <v>85.7</v>
      </c>
      <c r="AA34" s="499"/>
      <c r="AD34" s="844">
        <f t="shared" si="2"/>
        <v>2001</v>
      </c>
      <c r="AE34" s="133">
        <f t="shared" si="3"/>
        <v>5662</v>
      </c>
      <c r="AF34" s="132">
        <f t="shared" si="11"/>
        <v>1443700</v>
      </c>
      <c r="AG34" s="140">
        <f t="shared" si="4"/>
        <v>85.7</v>
      </c>
      <c r="AH34" s="500">
        <v>1</v>
      </c>
      <c r="AI34" s="284">
        <v>0</v>
      </c>
      <c r="AJ34" s="134">
        <f t="shared" si="15"/>
        <v>5629</v>
      </c>
      <c r="AK34" s="134">
        <f t="shared" ref="AK34:AK39" si="21">AE34-AJ34</f>
        <v>33</v>
      </c>
      <c r="AL34" s="134"/>
      <c r="AM34" s="134"/>
      <c r="AN34" s="134"/>
      <c r="AO34" s="138"/>
      <c r="AP34" s="322">
        <f t="shared" si="16"/>
        <v>-511</v>
      </c>
      <c r="AQ34" s="1"/>
      <c r="AR34" s="1"/>
      <c r="AS34" s="1"/>
      <c r="AT34" s="1"/>
      <c r="AU34" s="1"/>
      <c r="AV34" s="1"/>
      <c r="AW34" s="1"/>
      <c r="AX34" s="1"/>
      <c r="BC34" s="123">
        <v>2001</v>
      </c>
      <c r="BD34" s="134">
        <f t="shared" si="17"/>
        <v>5765</v>
      </c>
      <c r="BE34" s="133">
        <f t="shared" si="6"/>
        <v>5662</v>
      </c>
      <c r="BF34" s="133">
        <f t="shared" si="12"/>
        <v>-103</v>
      </c>
      <c r="BG34" s="133">
        <f t="shared" si="7"/>
        <v>5629</v>
      </c>
      <c r="BH34" s="495">
        <f t="shared" si="13"/>
        <v>136</v>
      </c>
    </row>
    <row r="35" spans="1:60">
      <c r="A35" s="123">
        <v>2002</v>
      </c>
      <c r="B35" s="139">
        <v>37536</v>
      </c>
      <c r="C35" s="123">
        <v>17</v>
      </c>
      <c r="D35" s="346" t="str">
        <f t="shared" ref="D35:D40" si="22">TEXT(WEEKDAY(B35),"ddd")</f>
        <v>Mon</v>
      </c>
      <c r="E35" s="133">
        <f>[7]MoCoinMW!F158</f>
        <v>7920</v>
      </c>
      <c r="F35" s="133">
        <f>[7]MoCoinMW!G158</f>
        <v>6941.69</v>
      </c>
      <c r="G35" s="164">
        <f>SUM([6]Hist!M278:O278)</f>
        <v>0</v>
      </c>
      <c r="H35" s="164">
        <f>[6]Hist!L278</f>
        <v>0</v>
      </c>
      <c r="I35" s="164">
        <f>[6]Hist!P278</f>
        <v>0</v>
      </c>
      <c r="J35" s="133">
        <f t="shared" si="19"/>
        <v>6941.69</v>
      </c>
      <c r="K35" s="164">
        <f>[6]Hist!U278</f>
        <v>274</v>
      </c>
      <c r="L35" s="164">
        <f>[6]Hist!V278</f>
        <v>75</v>
      </c>
      <c r="M35" s="133">
        <f t="shared" si="9"/>
        <v>7215.69</v>
      </c>
      <c r="N35" s="164">
        <f>'Interruptible Forecast'!AQ13</f>
        <v>252</v>
      </c>
      <c r="O35" s="1377">
        <f t="shared" si="10"/>
        <v>6614.69</v>
      </c>
      <c r="P35" s="132">
        <f>[8]FCST!$BL9</f>
        <v>1477288</v>
      </c>
      <c r="Q35" s="463">
        <f>[8]FCST!$DN9</f>
        <v>29453</v>
      </c>
      <c r="R35" s="385"/>
      <c r="S35" s="386"/>
      <c r="T35" s="387"/>
      <c r="U35" s="374">
        <f t="shared" si="20"/>
        <v>1454469</v>
      </c>
      <c r="W35" s="132">
        <f t="shared" si="18"/>
        <v>32966</v>
      </c>
      <c r="X35" s="339">
        <f>[5]Oct!$J30</f>
        <v>89.8</v>
      </c>
      <c r="Y35" s="339">
        <f>[5]Oct!$M30</f>
        <v>88.4</v>
      </c>
      <c r="AA35" s="499"/>
      <c r="AB35" s="125"/>
      <c r="AD35" s="844">
        <f t="shared" si="2"/>
        <v>2002</v>
      </c>
      <c r="AE35" s="133">
        <f t="shared" si="3"/>
        <v>6614.69</v>
      </c>
      <c r="AF35" s="132">
        <f t="shared" si="11"/>
        <v>1477288</v>
      </c>
      <c r="AG35" s="140">
        <f t="shared" si="4"/>
        <v>88.4</v>
      </c>
      <c r="AH35" s="500">
        <v>0</v>
      </c>
      <c r="AI35" s="284">
        <f t="shared" ref="AI35:AI36" si="23">AI34</f>
        <v>0</v>
      </c>
      <c r="AJ35" s="134">
        <f t="shared" si="15"/>
        <v>6623</v>
      </c>
      <c r="AK35" s="134">
        <f t="shared" si="21"/>
        <v>-8.3100000000004002</v>
      </c>
      <c r="AL35" s="134"/>
      <c r="AM35" s="134"/>
      <c r="AN35" s="134"/>
      <c r="AO35" s="138"/>
      <c r="AP35" s="322">
        <f t="shared" si="16"/>
        <v>994</v>
      </c>
      <c r="AQ35"/>
      <c r="AR35"/>
      <c r="AS35"/>
      <c r="AT35"/>
      <c r="AU35"/>
      <c r="AV35"/>
      <c r="AW35"/>
      <c r="AX35"/>
      <c r="BC35" s="123">
        <v>2002</v>
      </c>
      <c r="BD35" s="134">
        <f t="shared" si="17"/>
        <v>6352</v>
      </c>
      <c r="BE35" s="133">
        <f t="shared" si="6"/>
        <v>6614.69</v>
      </c>
      <c r="BF35" s="133">
        <f t="shared" si="12"/>
        <v>262.6899999999996</v>
      </c>
      <c r="BG35" s="133">
        <f t="shared" si="7"/>
        <v>6623</v>
      </c>
      <c r="BH35" s="495">
        <f t="shared" si="13"/>
        <v>-271</v>
      </c>
    </row>
    <row r="36" spans="1:60">
      <c r="A36" s="123">
        <v>2003</v>
      </c>
      <c r="B36" s="139">
        <v>37907</v>
      </c>
      <c r="C36" s="123">
        <v>17</v>
      </c>
      <c r="D36" s="346" t="str">
        <f t="shared" si="22"/>
        <v>Mon</v>
      </c>
      <c r="E36" s="133">
        <f>[7]MoCoinMW!F$170</f>
        <v>7383</v>
      </c>
      <c r="F36" s="133">
        <f>[7]MoCoinMW!G$170</f>
        <v>6846.9</v>
      </c>
      <c r="G36" s="164">
        <f>SUM([6]Hist!M$290:O$290)</f>
        <v>0</v>
      </c>
      <c r="H36" s="164">
        <f>[6]Hist!L$290</f>
        <v>0</v>
      </c>
      <c r="I36" s="164">
        <f>[6]Hist!P$290</f>
        <v>0</v>
      </c>
      <c r="J36" s="133">
        <f t="shared" si="19"/>
        <v>6846.9</v>
      </c>
      <c r="K36" s="164">
        <f>[6]Hist!U$290</f>
        <v>290</v>
      </c>
      <c r="L36" s="164">
        <f>[6]Hist!V$290</f>
        <v>75</v>
      </c>
      <c r="M36" s="133">
        <f t="shared" si="9"/>
        <v>7136.9</v>
      </c>
      <c r="N36" s="164">
        <f>'Interruptible Forecast'!AQ14</f>
        <v>281</v>
      </c>
      <c r="O36" s="1377">
        <f t="shared" si="10"/>
        <v>6490.9</v>
      </c>
      <c r="P36" s="132">
        <f>[8]FCST!$BL10</f>
        <v>1515838</v>
      </c>
      <c r="Q36" s="463">
        <f>[8]FCST!$DN10</f>
        <v>33307</v>
      </c>
      <c r="R36" s="558"/>
      <c r="S36" s="371">
        <f>[8]FCST!$CV10</f>
        <v>51509</v>
      </c>
      <c r="T36" s="387"/>
      <c r="U36" s="374">
        <f t="shared" si="20"/>
        <v>1489165</v>
      </c>
      <c r="W36" s="132">
        <f t="shared" si="18"/>
        <v>34696</v>
      </c>
      <c r="X36" s="339">
        <f>[5]Oct!$J31</f>
        <v>86.1</v>
      </c>
      <c r="Y36" s="339">
        <f>[5]Oct!$M31</f>
        <v>86.4</v>
      </c>
      <c r="AA36" s="499"/>
      <c r="AD36" s="844">
        <f t="shared" si="2"/>
        <v>2003</v>
      </c>
      <c r="AE36" s="133">
        <f t="shared" si="3"/>
        <v>6490.9</v>
      </c>
      <c r="AF36" s="132">
        <f t="shared" si="11"/>
        <v>1515838</v>
      </c>
      <c r="AG36" s="140">
        <f t="shared" si="4"/>
        <v>86.4</v>
      </c>
      <c r="AH36" s="500">
        <v>0</v>
      </c>
      <c r="AI36" s="284">
        <f t="shared" si="23"/>
        <v>0</v>
      </c>
      <c r="AJ36" s="134">
        <f t="shared" si="15"/>
        <v>6547</v>
      </c>
      <c r="AK36" s="134">
        <f t="shared" si="21"/>
        <v>-56.100000000000364</v>
      </c>
      <c r="AL36" s="569"/>
      <c r="AM36" s="134"/>
      <c r="AN36" s="134"/>
      <c r="AO36" s="138"/>
      <c r="AP36" s="322">
        <f t="shared" si="16"/>
        <v>-76</v>
      </c>
      <c r="AQ36"/>
      <c r="AR36"/>
      <c r="AS36"/>
      <c r="AT36"/>
      <c r="AU36"/>
      <c r="AV36"/>
      <c r="AW36"/>
      <c r="AX36"/>
      <c r="BC36" s="123">
        <v>2003</v>
      </c>
      <c r="BD36" s="134">
        <f t="shared" si="17"/>
        <v>6577</v>
      </c>
      <c r="BE36" s="133">
        <f t="shared" si="6"/>
        <v>6490.9</v>
      </c>
      <c r="BF36" s="133">
        <f t="shared" ref="BF36:BF43" si="24">BE36-BD36</f>
        <v>-86.100000000000364</v>
      </c>
      <c r="BG36" s="133">
        <f t="shared" si="7"/>
        <v>6547</v>
      </c>
      <c r="BH36" s="495">
        <f t="shared" ref="BH36:BH43" si="25">BD36-BG36</f>
        <v>30</v>
      </c>
    </row>
    <row r="37" spans="1:60">
      <c r="A37" s="123">
        <v>2004</v>
      </c>
      <c r="B37" s="139">
        <v>38261</v>
      </c>
      <c r="C37" s="123">
        <v>15</v>
      </c>
      <c r="D37" s="346" t="str">
        <f t="shared" si="22"/>
        <v>Fri</v>
      </c>
      <c r="E37" s="133">
        <f>[7]MoCoinMW!F$182</f>
        <v>8324.2999999999993</v>
      </c>
      <c r="F37" s="133">
        <f>[7]MoCoinMW!G$182</f>
        <v>7503.9999999999991</v>
      </c>
      <c r="G37" s="164">
        <f>SUM([6]Hist!M$302:O$302)</f>
        <v>0</v>
      </c>
      <c r="H37" s="164">
        <f>[6]Hist!L$302</f>
        <v>0</v>
      </c>
      <c r="I37" s="164">
        <f>[6]Hist!P$302</f>
        <v>0</v>
      </c>
      <c r="J37" s="133">
        <f t="shared" si="19"/>
        <v>7503.9999999999991</v>
      </c>
      <c r="K37" s="164">
        <f>[6]Hist!U$302</f>
        <v>305</v>
      </c>
      <c r="L37" s="164">
        <f>[6]Hist!V$302</f>
        <v>110</v>
      </c>
      <c r="M37" s="133">
        <f t="shared" si="9"/>
        <v>7808.9999999999991</v>
      </c>
      <c r="N37" s="164">
        <f>'Interruptible Forecast'!AQ15</f>
        <v>324</v>
      </c>
      <c r="O37" s="1377">
        <f t="shared" si="10"/>
        <v>7069.9999999999991</v>
      </c>
      <c r="P37" s="132">
        <f>[8]FCST!$BL11</f>
        <v>1555689</v>
      </c>
      <c r="Q37" s="463">
        <f>[8]FCST!$DN11</f>
        <v>32823</v>
      </c>
      <c r="R37" s="558"/>
      <c r="S37" s="371">
        <f>[8]FCST!$CV11</f>
        <v>53170</v>
      </c>
      <c r="T37" s="387"/>
      <c r="U37" s="374">
        <f t="shared" si="20"/>
        <v>1529500</v>
      </c>
      <c r="W37" s="132">
        <f t="shared" si="18"/>
        <v>40335</v>
      </c>
      <c r="X37" s="339">
        <f>[5]Oct!$J32</f>
        <v>86.2</v>
      </c>
      <c r="Y37" s="339">
        <f>[5]Oct!$M32</f>
        <v>84.8</v>
      </c>
      <c r="AA37" s="499"/>
      <c r="AD37" s="844">
        <f t="shared" si="2"/>
        <v>2004</v>
      </c>
      <c r="AE37" s="133">
        <f t="shared" si="3"/>
        <v>7069.9999999999991</v>
      </c>
      <c r="AF37" s="132">
        <f t="shared" si="11"/>
        <v>1555689</v>
      </c>
      <c r="AG37" s="1144">
        <f>Y37</f>
        <v>84.8</v>
      </c>
      <c r="AH37" s="500">
        <v>0</v>
      </c>
      <c r="AI37" s="284">
        <v>0</v>
      </c>
      <c r="AJ37" s="134">
        <f t="shared" si="15"/>
        <v>6540</v>
      </c>
      <c r="AK37" s="134">
        <f t="shared" si="21"/>
        <v>529.99999999999909</v>
      </c>
      <c r="AL37" s="569"/>
      <c r="AM37" s="134"/>
      <c r="AN37" s="134"/>
      <c r="AO37" s="138"/>
      <c r="AP37" s="322">
        <f t="shared" si="16"/>
        <v>-7</v>
      </c>
      <c r="AQ37"/>
      <c r="AR37"/>
      <c r="AS37"/>
      <c r="AT37"/>
      <c r="AU37"/>
      <c r="AV37"/>
      <c r="AW37"/>
      <c r="AX37"/>
      <c r="BC37" s="123">
        <v>2004</v>
      </c>
      <c r="BD37" s="134">
        <f t="shared" si="17"/>
        <v>6811</v>
      </c>
      <c r="BE37" s="133">
        <f t="shared" si="6"/>
        <v>7069.9999999999991</v>
      </c>
      <c r="BF37" s="133">
        <f t="shared" si="24"/>
        <v>258.99999999999909</v>
      </c>
      <c r="BG37" s="133">
        <f t="shared" si="7"/>
        <v>6540</v>
      </c>
      <c r="BH37" s="495">
        <f t="shared" si="25"/>
        <v>271</v>
      </c>
    </row>
    <row r="38" spans="1:60">
      <c r="A38" s="123">
        <v>2005</v>
      </c>
      <c r="B38" s="139">
        <v>38635</v>
      </c>
      <c r="C38" s="123">
        <v>17</v>
      </c>
      <c r="D38" s="346" t="str">
        <f t="shared" si="22"/>
        <v>Mon</v>
      </c>
      <c r="E38" s="133">
        <f>[7]MoCoinMW!F$194</f>
        <v>8301.2999999999993</v>
      </c>
      <c r="F38" s="133">
        <f>[7]MoCoinMW!G$194</f>
        <v>7435.1999999999989</v>
      </c>
      <c r="G38" s="164">
        <f>SUM([6]Hist!M$314:O$314)</f>
        <v>0</v>
      </c>
      <c r="H38" s="164">
        <f>[6]Hist!L$314</f>
        <v>0</v>
      </c>
      <c r="I38" s="164">
        <f>[6]Hist!P$314</f>
        <v>0</v>
      </c>
      <c r="J38" s="133">
        <f t="shared" ref="J38:J43" si="26">SUM(F38:I38)</f>
        <v>7435.1999999999989</v>
      </c>
      <c r="K38" s="164">
        <f>[6]Hist!U$314</f>
        <v>324</v>
      </c>
      <c r="L38" s="164">
        <f>[6]Hist!V$314</f>
        <v>110</v>
      </c>
      <c r="M38" s="133">
        <f t="shared" si="9"/>
        <v>7759.1999999999989</v>
      </c>
      <c r="N38" s="164">
        <f>'Interruptible Forecast'!AQ16</f>
        <v>365</v>
      </c>
      <c r="O38" s="1377">
        <f t="shared" si="10"/>
        <v>6960.1999999999989</v>
      </c>
      <c r="P38" s="132">
        <f>[8]FCST!$BL12</f>
        <v>1581327</v>
      </c>
      <c r="Q38" s="463">
        <f>[8]FCST!$DN12</f>
        <v>34020</v>
      </c>
      <c r="R38" s="558"/>
      <c r="S38" s="371">
        <f>[8]FCST!$CV12</f>
        <v>56452</v>
      </c>
      <c r="T38" s="387"/>
      <c r="U38" s="374">
        <f t="shared" si="20"/>
        <v>1553941</v>
      </c>
      <c r="V38" s="695">
        <f>[10]WP2004!$D$63</f>
        <v>14864</v>
      </c>
      <c r="W38" s="132">
        <f t="shared" si="18"/>
        <v>24441</v>
      </c>
      <c r="X38" s="339">
        <f>[5]Oct!$J33</f>
        <v>87.5</v>
      </c>
      <c r="Y38" s="339">
        <f>[5]Oct!$M33</f>
        <v>86.9</v>
      </c>
      <c r="AD38" s="844">
        <f t="shared" si="2"/>
        <v>2005</v>
      </c>
      <c r="AE38" s="133">
        <f t="shared" si="3"/>
        <v>6960.1999999999989</v>
      </c>
      <c r="AF38" s="132">
        <f t="shared" si="11"/>
        <v>1581327</v>
      </c>
      <c r="AG38" s="140">
        <f t="shared" si="4"/>
        <v>86.9</v>
      </c>
      <c r="AH38" s="500">
        <v>0</v>
      </c>
      <c r="AI38" s="284">
        <v>0</v>
      </c>
      <c r="AJ38" s="134">
        <f t="shared" si="15"/>
        <v>7006</v>
      </c>
      <c r="AK38" s="134">
        <f t="shared" si="21"/>
        <v>-45.800000000001091</v>
      </c>
      <c r="AL38" s="569"/>
      <c r="AM38" s="134"/>
      <c r="AN38" s="134"/>
      <c r="AO38" s="138"/>
      <c r="AP38" s="322">
        <f t="shared" si="16"/>
        <v>466</v>
      </c>
      <c r="BC38" s="123">
        <v>2005</v>
      </c>
      <c r="BD38" s="134">
        <f t="shared" si="17"/>
        <v>6961</v>
      </c>
      <c r="BE38" s="133">
        <f t="shared" si="6"/>
        <v>6960.1999999999989</v>
      </c>
      <c r="BF38" s="133">
        <f t="shared" si="24"/>
        <v>-0.80000000000109139</v>
      </c>
      <c r="BG38" s="133">
        <f t="shared" si="7"/>
        <v>7006</v>
      </c>
      <c r="BH38" s="495">
        <f t="shared" si="25"/>
        <v>-45</v>
      </c>
    </row>
    <row r="39" spans="1:60">
      <c r="A39" s="123">
        <v>2006</v>
      </c>
      <c r="B39" s="139">
        <v>39010</v>
      </c>
      <c r="C39" s="123">
        <v>17</v>
      </c>
      <c r="D39" s="346" t="str">
        <f t="shared" si="22"/>
        <v>Fri</v>
      </c>
      <c r="E39" s="133">
        <f>[7]MoCoinMW!F$206</f>
        <v>8285</v>
      </c>
      <c r="F39" s="133">
        <f>[7]MoCoinMW!G$206</f>
        <v>7484.2</v>
      </c>
      <c r="G39" s="164">
        <f>SUM([6]Hist!M$326:O$326)</f>
        <v>0</v>
      </c>
      <c r="H39" s="164">
        <f>[6]Hist!L$326</f>
        <v>0</v>
      </c>
      <c r="I39" s="164">
        <f>[6]Hist!P$326</f>
        <v>0</v>
      </c>
      <c r="J39" s="133">
        <f t="shared" si="26"/>
        <v>7484.2</v>
      </c>
      <c r="K39" s="164">
        <f>[6]Hist!U$326</f>
        <v>344</v>
      </c>
      <c r="L39" s="164">
        <f>[6]Hist!V$326</f>
        <v>110</v>
      </c>
      <c r="M39" s="133">
        <f t="shared" si="9"/>
        <v>7828.2</v>
      </c>
      <c r="N39" s="164">
        <f>'Interruptible Forecast'!AQ17</f>
        <v>267</v>
      </c>
      <c r="O39" s="1377">
        <f t="shared" si="10"/>
        <v>7107.2</v>
      </c>
      <c r="P39" s="132">
        <f>[8]FCST!$BL13</f>
        <v>1618650</v>
      </c>
      <c r="Q39" s="463">
        <f>[8]FCST!$DN13</f>
        <v>35235</v>
      </c>
      <c r="R39" s="558"/>
      <c r="S39" s="371">
        <f>[8]FCST!$CV13</f>
        <v>53924</v>
      </c>
      <c r="T39" s="387"/>
      <c r="U39" s="374">
        <f t="shared" si="20"/>
        <v>1590049</v>
      </c>
      <c r="V39" s="374">
        <f>ROUND(V38*1.01,0)</f>
        <v>15013</v>
      </c>
      <c r="W39" s="132">
        <f t="shared" si="18"/>
        <v>36108</v>
      </c>
      <c r="X39" s="339">
        <f>[5]Oct!$J34</f>
        <v>88.3</v>
      </c>
      <c r="Y39" s="339">
        <f>[5]Oct!$M34</f>
        <v>87</v>
      </c>
      <c r="Z39" s="295"/>
      <c r="AD39" s="844">
        <f t="shared" si="2"/>
        <v>2006</v>
      </c>
      <c r="AE39" s="133">
        <f t="shared" ref="AE39:AE44" si="27">O39</f>
        <v>7107.2</v>
      </c>
      <c r="AF39" s="132">
        <f t="shared" si="11"/>
        <v>1618650</v>
      </c>
      <c r="AG39" s="140">
        <f t="shared" ref="AG39:AG45" si="28">Y39</f>
        <v>87</v>
      </c>
      <c r="AH39" s="500">
        <v>0</v>
      </c>
      <c r="AI39" s="284">
        <v>0</v>
      </c>
      <c r="AJ39" s="134">
        <f t="shared" si="15"/>
        <v>7240</v>
      </c>
      <c r="AK39" s="134">
        <f t="shared" si="21"/>
        <v>-132.80000000000018</v>
      </c>
      <c r="AL39" s="569"/>
      <c r="AM39" s="134"/>
      <c r="AN39" s="134"/>
      <c r="AO39" s="138"/>
      <c r="AP39" s="322">
        <f t="shared" si="16"/>
        <v>234</v>
      </c>
      <c r="BC39" s="123">
        <v>2006</v>
      </c>
      <c r="BD39" s="134">
        <f t="shared" si="17"/>
        <v>7180</v>
      </c>
      <c r="BE39" s="133">
        <f t="shared" si="6"/>
        <v>7107.2</v>
      </c>
      <c r="BF39" s="133">
        <f t="shared" si="24"/>
        <v>-72.800000000000182</v>
      </c>
      <c r="BG39" s="133">
        <f t="shared" si="7"/>
        <v>7240</v>
      </c>
      <c r="BH39" s="495">
        <f t="shared" si="25"/>
        <v>-60</v>
      </c>
    </row>
    <row r="40" spans="1:60">
      <c r="A40" s="123">
        <v>2007</v>
      </c>
      <c r="B40" s="856">
        <v>39359</v>
      </c>
      <c r="C40" s="123">
        <v>16</v>
      </c>
      <c r="D40" s="346" t="str">
        <f t="shared" si="22"/>
        <v>Thu</v>
      </c>
      <c r="E40" s="133">
        <f>[7]MoCoinMW!F$218</f>
        <v>8618</v>
      </c>
      <c r="F40" s="133">
        <f>[7]MoCoinMW!G$218</f>
        <v>7608</v>
      </c>
      <c r="G40" s="164">
        <f>SUM([6]Hist!M$338:O$338)</f>
        <v>0</v>
      </c>
      <c r="H40" s="164">
        <f>[6]Hist!L$338</f>
        <v>0</v>
      </c>
      <c r="I40" s="164">
        <f>[6]Hist!P$338</f>
        <v>0</v>
      </c>
      <c r="J40" s="133">
        <f t="shared" si="26"/>
        <v>7608</v>
      </c>
      <c r="K40" s="164">
        <f>[6]Hist!U$338</f>
        <v>365</v>
      </c>
      <c r="L40" s="164">
        <f>[6]Hist!V$338</f>
        <v>110</v>
      </c>
      <c r="M40" s="133">
        <f t="shared" ref="M40:M45" si="29">SUM(J40:K40)</f>
        <v>7973</v>
      </c>
      <c r="N40" s="164">
        <f>'Interruptible Forecast'!AQ18</f>
        <v>301</v>
      </c>
      <c r="O40" s="1377">
        <f t="shared" si="10"/>
        <v>7197</v>
      </c>
      <c r="P40" s="132">
        <f>[8]FCST!$BL14</f>
        <v>1635506</v>
      </c>
      <c r="Q40" s="463">
        <f>[8]FCST!$DN14</f>
        <v>33824</v>
      </c>
      <c r="R40" s="558"/>
      <c r="S40" s="371">
        <f>[8]FCST!$CV14</f>
        <v>58809</v>
      </c>
      <c r="T40" s="387"/>
      <c r="U40" s="374">
        <f t="shared" si="20"/>
        <v>1608316</v>
      </c>
      <c r="V40" s="374">
        <f>ROUND(V39*1.01,0)</f>
        <v>15163</v>
      </c>
      <c r="W40" s="132">
        <f t="shared" si="18"/>
        <v>18267</v>
      </c>
      <c r="X40" s="339">
        <f>[5]Oct!$J35</f>
        <v>88.7</v>
      </c>
      <c r="Y40" s="339">
        <f>[5]Oct!$M35</f>
        <v>86.7</v>
      </c>
      <c r="AD40" s="844">
        <f t="shared" si="2"/>
        <v>2007</v>
      </c>
      <c r="AE40" s="133">
        <f t="shared" si="27"/>
        <v>7197</v>
      </c>
      <c r="AF40" s="132">
        <f t="shared" si="11"/>
        <v>1635506</v>
      </c>
      <c r="AG40" s="140">
        <f t="shared" si="28"/>
        <v>86.7</v>
      </c>
      <c r="AH40" s="500">
        <v>0</v>
      </c>
      <c r="AI40" s="284">
        <v>0</v>
      </c>
      <c r="AJ40" s="134">
        <f t="shared" si="15"/>
        <v>7294</v>
      </c>
      <c r="AK40" s="134">
        <f t="shared" ref="AK40:AK45" si="30">AE40-AJ40</f>
        <v>-97</v>
      </c>
      <c r="AL40" s="569"/>
      <c r="AM40" s="134"/>
      <c r="AN40" s="134"/>
      <c r="AO40" s="138"/>
      <c r="AP40" s="322">
        <f t="shared" si="16"/>
        <v>54</v>
      </c>
      <c r="BC40" s="123">
        <v>2007</v>
      </c>
      <c r="BD40" s="134">
        <f t="shared" si="17"/>
        <v>7279</v>
      </c>
      <c r="BE40" s="133">
        <f t="shared" si="6"/>
        <v>7197</v>
      </c>
      <c r="BF40" s="133">
        <f t="shared" si="24"/>
        <v>-82</v>
      </c>
      <c r="BG40" s="133">
        <f t="shared" si="7"/>
        <v>7294</v>
      </c>
      <c r="BH40" s="495">
        <f t="shared" si="25"/>
        <v>-15</v>
      </c>
    </row>
    <row r="41" spans="1:60">
      <c r="A41" s="123">
        <v>2008</v>
      </c>
      <c r="B41" s="856">
        <v>39733</v>
      </c>
      <c r="C41" s="123">
        <v>16</v>
      </c>
      <c r="D41" s="915" t="str">
        <f>TEXT(WEEKDAY(B41),"ddd")</f>
        <v>Sun</v>
      </c>
      <c r="E41" s="133">
        <f>[7]MoCoinMW!F$230</f>
        <v>8059</v>
      </c>
      <c r="F41" s="133">
        <f>[7]MoCoinMW!G$230</f>
        <v>6975</v>
      </c>
      <c r="G41" s="164">
        <f>SUM([6]Hist!M$350:O$350)</f>
        <v>0</v>
      </c>
      <c r="H41" s="164">
        <f>[6]Hist!L$350</f>
        <v>0</v>
      </c>
      <c r="I41" s="164">
        <f>[6]Hist!P$350</f>
        <v>0</v>
      </c>
      <c r="J41" s="133">
        <f t="shared" si="26"/>
        <v>6975</v>
      </c>
      <c r="K41" s="164">
        <f>[6]Hist!U$350</f>
        <v>393</v>
      </c>
      <c r="L41" s="164">
        <f>[6]Hist!V$350</f>
        <v>110</v>
      </c>
      <c r="M41" s="133">
        <f t="shared" si="29"/>
        <v>7368</v>
      </c>
      <c r="N41" s="164">
        <f>'Interruptible Forecast'!AQ19</f>
        <v>272</v>
      </c>
      <c r="O41" s="1377">
        <f t="shared" si="10"/>
        <v>6593</v>
      </c>
      <c r="P41" s="132">
        <f>[8]FCST!$BL15</f>
        <v>1631109</v>
      </c>
      <c r="Q41" s="463">
        <f>[8]FCST!$DN15</f>
        <v>35819</v>
      </c>
      <c r="R41" s="558"/>
      <c r="S41" s="371">
        <f>[8]FCST!$CV15</f>
        <v>56735</v>
      </c>
      <c r="T41" s="387"/>
      <c r="U41" s="374">
        <f t="shared" si="20"/>
        <v>1601924</v>
      </c>
      <c r="V41" s="374">
        <f>ROUND(V40*1.005,0)</f>
        <v>15239</v>
      </c>
      <c r="W41" s="132">
        <f t="shared" si="18"/>
        <v>-6392</v>
      </c>
      <c r="X41" s="339">
        <f>[5]Oct!$J36</f>
        <v>87.7</v>
      </c>
      <c r="Y41" s="339">
        <f>[5]Oct!$M36</f>
        <v>85.5</v>
      </c>
      <c r="AD41" s="844">
        <f>A41</f>
        <v>2008</v>
      </c>
      <c r="AE41" s="133">
        <f t="shared" si="27"/>
        <v>6593</v>
      </c>
      <c r="AF41" s="132">
        <f t="shared" si="11"/>
        <v>1631109</v>
      </c>
      <c r="AG41" s="140">
        <f t="shared" si="28"/>
        <v>85.5</v>
      </c>
      <c r="AH41" s="500">
        <v>1</v>
      </c>
      <c r="AI41" s="284">
        <v>0</v>
      </c>
      <c r="AJ41" s="134">
        <f t="shared" si="15"/>
        <v>6697</v>
      </c>
      <c r="AK41" s="134">
        <f t="shared" si="30"/>
        <v>-104</v>
      </c>
      <c r="AL41" s="569"/>
      <c r="AM41" s="134"/>
      <c r="AN41" s="134"/>
      <c r="AO41" s="138"/>
      <c r="AP41" s="322">
        <f t="shared" si="16"/>
        <v>-597</v>
      </c>
      <c r="BC41" s="123">
        <v>2008</v>
      </c>
      <c r="BD41" s="134">
        <f t="shared" si="17"/>
        <v>6863</v>
      </c>
      <c r="BE41" s="133">
        <f>AE41</f>
        <v>6593</v>
      </c>
      <c r="BF41" s="133">
        <f t="shared" si="24"/>
        <v>-270</v>
      </c>
      <c r="BG41" s="133">
        <f>AJ41</f>
        <v>6697</v>
      </c>
      <c r="BH41" s="495">
        <f t="shared" si="25"/>
        <v>166</v>
      </c>
    </row>
    <row r="42" spans="1:60">
      <c r="A42" s="123">
        <v>2009</v>
      </c>
      <c r="B42" s="856">
        <v>40095</v>
      </c>
      <c r="C42" s="123">
        <v>17</v>
      </c>
      <c r="D42" s="346" t="str">
        <f>TEXT(WEEKDAY(B42),"ddd")</f>
        <v>Fri</v>
      </c>
      <c r="E42" s="133">
        <f>[7]MoCoinMW!F$242</f>
        <v>8949</v>
      </c>
      <c r="F42" s="133">
        <f>[7]MoCoinMW!G$242</f>
        <v>7922</v>
      </c>
      <c r="G42" s="164">
        <f>SUM([6]Hist!M$362:O$362)</f>
        <v>0</v>
      </c>
      <c r="H42" s="164">
        <f>[6]Hist!L$362</f>
        <v>0</v>
      </c>
      <c r="I42" s="164">
        <f>[6]Hist!P$362</f>
        <v>0</v>
      </c>
      <c r="J42" s="133">
        <f t="shared" si="26"/>
        <v>7922</v>
      </c>
      <c r="K42" s="164">
        <f>[6]Hist!U$362</f>
        <v>424</v>
      </c>
      <c r="L42" s="164">
        <f>[6]Hist!V$362</f>
        <v>110</v>
      </c>
      <c r="M42" s="133">
        <f t="shared" si="29"/>
        <v>8346</v>
      </c>
      <c r="N42" s="164">
        <f>'Interruptible Forecast'!AQ20</f>
        <v>237</v>
      </c>
      <c r="O42" s="1377">
        <f t="shared" si="10"/>
        <v>7575</v>
      </c>
      <c r="P42" s="132">
        <f>[8]FCST!$BL16</f>
        <v>1623687</v>
      </c>
      <c r="Q42" s="463">
        <f>[8]FCST!$DN16</f>
        <v>33958</v>
      </c>
      <c r="R42" s="558"/>
      <c r="S42" s="371">
        <f>[8]FCST!$CV16</f>
        <v>57435</v>
      </c>
      <c r="T42" s="387"/>
      <c r="U42" s="347">
        <f t="shared" si="20"/>
        <v>1596363</v>
      </c>
      <c r="V42" s="374">
        <f t="shared" ref="V42:V62" si="31">ROUND(V41*1.005,0)</f>
        <v>15315</v>
      </c>
      <c r="W42" s="132">
        <f t="shared" si="18"/>
        <v>-5561</v>
      </c>
      <c r="X42" s="339">
        <f>[5]Oct!$J37</f>
        <v>90.5</v>
      </c>
      <c r="Y42" s="339">
        <f>[5]Oct!$M37</f>
        <v>89.5</v>
      </c>
      <c r="AD42" s="844">
        <f>A42</f>
        <v>2009</v>
      </c>
      <c r="AE42" s="133">
        <f t="shared" si="27"/>
        <v>7575</v>
      </c>
      <c r="AF42" s="132">
        <f t="shared" si="11"/>
        <v>1623687</v>
      </c>
      <c r="AG42" s="140">
        <f t="shared" si="28"/>
        <v>89.5</v>
      </c>
      <c r="AH42" s="500">
        <v>0</v>
      </c>
      <c r="AI42" s="284">
        <v>0</v>
      </c>
      <c r="AJ42" s="134">
        <f t="shared" si="15"/>
        <v>7646</v>
      </c>
      <c r="AK42" s="134">
        <f t="shared" si="30"/>
        <v>-71</v>
      </c>
      <c r="AL42" s="569"/>
      <c r="AM42" s="577"/>
      <c r="AN42" s="134"/>
      <c r="AO42" s="138"/>
      <c r="AP42" s="322">
        <f t="shared" si="16"/>
        <v>949</v>
      </c>
      <c r="BC42" s="123">
        <v>2009</v>
      </c>
      <c r="BD42" s="134">
        <f t="shared" si="17"/>
        <v>7209</v>
      </c>
      <c r="BE42" s="133">
        <f>AE42</f>
        <v>7575</v>
      </c>
      <c r="BF42" s="133">
        <f t="shared" si="24"/>
        <v>366</v>
      </c>
      <c r="BG42" s="133">
        <f>AJ42</f>
        <v>7646</v>
      </c>
      <c r="BH42" s="495">
        <f t="shared" si="25"/>
        <v>-437</v>
      </c>
    </row>
    <row r="43" spans="1:60">
      <c r="A43" s="123">
        <v>2010</v>
      </c>
      <c r="B43" s="856">
        <v>40478</v>
      </c>
      <c r="C43" s="123">
        <v>17</v>
      </c>
      <c r="D43" s="346" t="str">
        <f>TEXT(WEEKDAY(B43),"ddd")</f>
        <v>Wed</v>
      </c>
      <c r="E43" s="133">
        <f>[7]MoCoinMW!F$254</f>
        <v>7753</v>
      </c>
      <c r="F43" s="133">
        <f>[7]MoCoinMW!G$254</f>
        <v>6989</v>
      </c>
      <c r="G43" s="164">
        <f>SUM([6]Hist!M$374:O$374)</f>
        <v>0</v>
      </c>
      <c r="H43" s="164">
        <f>[6]Hist!L$374</f>
        <v>0</v>
      </c>
      <c r="I43" s="164">
        <f>[6]Hist!P$374</f>
        <v>0</v>
      </c>
      <c r="J43" s="133">
        <f t="shared" si="26"/>
        <v>6989</v>
      </c>
      <c r="K43" s="164">
        <f>[6]Hist!U$374</f>
        <v>464</v>
      </c>
      <c r="L43" s="164">
        <f>[6]Hist!V$374</f>
        <v>110</v>
      </c>
      <c r="M43" s="133">
        <f t="shared" si="29"/>
        <v>7453</v>
      </c>
      <c r="N43" s="164">
        <f>'Interruptible Forecast'!AQ21</f>
        <v>232</v>
      </c>
      <c r="O43" s="1377">
        <f t="shared" si="10"/>
        <v>6647</v>
      </c>
      <c r="P43" s="132">
        <f>[8]FCST!$BL17</f>
        <v>1632062</v>
      </c>
      <c r="Q43" s="463">
        <f>[8]FCST!$DN17</f>
        <v>36552</v>
      </c>
      <c r="R43" s="558"/>
      <c r="S43" s="371">
        <f>[8]FCST!$CV17</f>
        <v>56724</v>
      </c>
      <c r="T43" s="387"/>
      <c r="U43" s="347">
        <f t="shared" si="20"/>
        <v>1602144</v>
      </c>
      <c r="V43" s="374">
        <f t="shared" si="31"/>
        <v>15392</v>
      </c>
      <c r="W43" s="132">
        <f t="shared" si="18"/>
        <v>5781</v>
      </c>
      <c r="X43" s="339">
        <f>[5]Oct!$J38</f>
        <v>88</v>
      </c>
      <c r="Y43" s="339">
        <f>[5]Oct!$M38</f>
        <v>87</v>
      </c>
      <c r="AD43" s="844">
        <f>A43</f>
        <v>2010</v>
      </c>
      <c r="AE43" s="133">
        <f t="shared" si="27"/>
        <v>6647</v>
      </c>
      <c r="AF43" s="132">
        <f t="shared" si="11"/>
        <v>1632062</v>
      </c>
      <c r="AG43" s="140">
        <f t="shared" si="28"/>
        <v>87</v>
      </c>
      <c r="AH43" s="500">
        <v>0</v>
      </c>
      <c r="AI43" s="284">
        <v>1</v>
      </c>
      <c r="AJ43" s="134">
        <f t="shared" si="15"/>
        <v>6593</v>
      </c>
      <c r="AK43" s="134">
        <f t="shared" si="30"/>
        <v>54</v>
      </c>
      <c r="AL43" s="569"/>
      <c r="AM43" s="577"/>
      <c r="AN43" s="134"/>
      <c r="AO43" s="138"/>
      <c r="AP43" s="322">
        <f t="shared" si="16"/>
        <v>-1053</v>
      </c>
      <c r="BC43" s="123">
        <v>2010</v>
      </c>
      <c r="BD43" s="134">
        <f t="shared" si="17"/>
        <v>6533</v>
      </c>
      <c r="BE43" s="133">
        <f>AE43</f>
        <v>6647</v>
      </c>
      <c r="BF43" s="133">
        <f t="shared" si="24"/>
        <v>114</v>
      </c>
      <c r="BG43" s="133">
        <f>AJ43</f>
        <v>6593</v>
      </c>
      <c r="BH43" s="495">
        <f t="shared" si="25"/>
        <v>-60</v>
      </c>
    </row>
    <row r="44" spans="1:60">
      <c r="A44" s="123">
        <v>2011</v>
      </c>
      <c r="B44" s="856">
        <v>40827</v>
      </c>
      <c r="C44" s="123">
        <v>17</v>
      </c>
      <c r="D44" s="346" t="str">
        <f>TEXT(WEEKDAY(B44),"ddd")</f>
        <v>Tue</v>
      </c>
      <c r="E44" s="133">
        <f>[7]MoCoinMW!F$266</f>
        <v>7176</v>
      </c>
      <c r="F44" s="133">
        <f>[7]MoCoinMW!G$266</f>
        <v>6448</v>
      </c>
      <c r="G44" s="164">
        <f>SUM([6]Hist!M$386:O$386)</f>
        <v>0</v>
      </c>
      <c r="H44" s="164">
        <f>[6]Hist!L$386</f>
        <v>0</v>
      </c>
      <c r="I44" s="164">
        <f>[6]Hist!P$386</f>
        <v>0</v>
      </c>
      <c r="J44" s="133">
        <f t="shared" ref="J44" si="32">SUM(F44:I44)</f>
        <v>6448</v>
      </c>
      <c r="K44" s="164">
        <f>[6]Hist!U$386</f>
        <v>509</v>
      </c>
      <c r="L44" s="164">
        <f>[6]Hist!V$386</f>
        <v>110</v>
      </c>
      <c r="M44" s="133">
        <f t="shared" si="29"/>
        <v>6957</v>
      </c>
      <c r="N44" s="164">
        <f>'Interruptible Forecast'!AQ22</f>
        <v>263</v>
      </c>
      <c r="O44" s="1377">
        <f t="shared" si="10"/>
        <v>6075</v>
      </c>
      <c r="P44" s="132">
        <f>[8]FCST!$BL18</f>
        <v>1641111</v>
      </c>
      <c r="Q44" s="463">
        <f>[8]FCST!$DN18</f>
        <v>36507</v>
      </c>
      <c r="R44" s="558"/>
      <c r="S44" s="371">
        <f>[8]FCST!$CV18</f>
        <v>58220</v>
      </c>
      <c r="T44" s="387"/>
      <c r="U44" s="347">
        <f t="shared" si="20"/>
        <v>1611238</v>
      </c>
      <c r="V44" s="374">
        <f t="shared" si="31"/>
        <v>15469</v>
      </c>
      <c r="W44" s="132">
        <f t="shared" si="18"/>
        <v>9094</v>
      </c>
      <c r="X44" s="339">
        <f>[5]Oct!$J39</f>
        <v>84.8</v>
      </c>
      <c r="Y44" s="339">
        <f>[5]Oct!$M39</f>
        <v>83.6</v>
      </c>
      <c r="AD44" s="844">
        <f>A44</f>
        <v>2011</v>
      </c>
      <c r="AE44" s="133">
        <f t="shared" si="27"/>
        <v>6075</v>
      </c>
      <c r="AF44" s="132">
        <f t="shared" si="11"/>
        <v>1641111</v>
      </c>
      <c r="AG44" s="140">
        <f t="shared" si="28"/>
        <v>83.6</v>
      </c>
      <c r="AH44" s="500">
        <v>0</v>
      </c>
      <c r="AI44" s="284">
        <v>1</v>
      </c>
      <c r="AJ44" s="134">
        <f t="shared" si="15"/>
        <v>6134</v>
      </c>
      <c r="AK44" s="134">
        <f t="shared" si="30"/>
        <v>-59</v>
      </c>
      <c r="AL44" s="569"/>
      <c r="AM44" s="577"/>
      <c r="AN44" s="134"/>
      <c r="AO44" s="138"/>
      <c r="AP44" s="322">
        <f t="shared" si="16"/>
        <v>-459</v>
      </c>
      <c r="BC44" s="123">
        <v>2011</v>
      </c>
      <c r="BD44" s="134">
        <f t="shared" si="17"/>
        <v>6586</v>
      </c>
      <c r="BE44" s="133">
        <f>AE44</f>
        <v>6075</v>
      </c>
      <c r="BF44" s="133">
        <f t="shared" ref="BF44" si="33">BE44-BD44</f>
        <v>-511</v>
      </c>
      <c r="BG44" s="133">
        <f>AJ44</f>
        <v>6134</v>
      </c>
      <c r="BH44" s="495">
        <f t="shared" ref="BH44" si="34">BD44-BG44</f>
        <v>452</v>
      </c>
    </row>
    <row r="45" spans="1:60">
      <c r="A45" s="123">
        <v>2012</v>
      </c>
      <c r="B45" s="856">
        <v>41186</v>
      </c>
      <c r="C45" s="123">
        <v>16</v>
      </c>
      <c r="D45" s="346" t="str">
        <f>TEXT(WEEKDAY(B45),"ddd")</f>
        <v>Thu</v>
      </c>
      <c r="E45" s="133">
        <f>[7]MoCoinMW!F$278</f>
        <v>7790</v>
      </c>
      <c r="F45" s="133">
        <f>[7]MoCoinMW!G$278</f>
        <v>7130</v>
      </c>
      <c r="G45" s="164">
        <f>SUM([6]Hist!M$398:O$398)</f>
        <v>0</v>
      </c>
      <c r="H45" s="164">
        <f>[6]Hist!L$398</f>
        <v>0</v>
      </c>
      <c r="I45" s="164">
        <f>[6]Hist!P$398</f>
        <v>0</v>
      </c>
      <c r="J45" s="133">
        <f t="shared" ref="J45" si="35">SUM(F45:I45)</f>
        <v>7130</v>
      </c>
      <c r="K45" s="164">
        <f>[6]Hist!U$398</f>
        <v>548</v>
      </c>
      <c r="L45" s="164">
        <f>[6]Hist!V$398</f>
        <v>124</v>
      </c>
      <c r="M45" s="133">
        <f t="shared" si="29"/>
        <v>7678</v>
      </c>
      <c r="N45" s="164">
        <f>'Interruptible Forecast'!AQ23</f>
        <v>208</v>
      </c>
      <c r="O45" s="1377">
        <f t="shared" si="10"/>
        <v>6798</v>
      </c>
      <c r="P45" s="132">
        <f>[8]FCST!$BL19</f>
        <v>1655799</v>
      </c>
      <c r="Q45" s="463">
        <f>[8]FCST!$DN19</f>
        <v>36159</v>
      </c>
      <c r="R45" s="558"/>
      <c r="S45" s="371">
        <f>[8]FCST!$CV19</f>
        <v>61656</v>
      </c>
      <c r="T45" s="387"/>
      <c r="U45" s="347">
        <f t="shared" si="20"/>
        <v>1626274</v>
      </c>
      <c r="V45" s="374">
        <f t="shared" si="31"/>
        <v>15546</v>
      </c>
      <c r="W45" s="132">
        <f t="shared" si="18"/>
        <v>15036</v>
      </c>
      <c r="X45" s="339">
        <f>[5]Oct!$J40</f>
        <v>89.1</v>
      </c>
      <c r="Y45" s="339">
        <f>[5]Oct!$M40</f>
        <v>87.4</v>
      </c>
      <c r="AD45" s="844">
        <f>A45</f>
        <v>2012</v>
      </c>
      <c r="AE45" s="133">
        <f t="shared" ref="AE45" si="36">O45</f>
        <v>6798</v>
      </c>
      <c r="AF45" s="132">
        <f t="shared" si="11"/>
        <v>1655799</v>
      </c>
      <c r="AG45" s="140">
        <f t="shared" si="28"/>
        <v>87.4</v>
      </c>
      <c r="AH45" s="500">
        <v>0</v>
      </c>
      <c r="AI45" s="284">
        <v>1</v>
      </c>
      <c r="AJ45" s="134">
        <f t="shared" si="15"/>
        <v>6793</v>
      </c>
      <c r="AK45" s="134">
        <f t="shared" si="30"/>
        <v>5</v>
      </c>
      <c r="AL45" s="569"/>
      <c r="AM45" s="577"/>
      <c r="AN45" s="134"/>
      <c r="AO45" s="138"/>
      <c r="AP45" s="322">
        <f t="shared" si="16"/>
        <v>659</v>
      </c>
      <c r="BC45" s="123">
        <v>2012</v>
      </c>
      <c r="BD45" s="134">
        <f t="shared" si="17"/>
        <v>6672</v>
      </c>
      <c r="BE45" s="133">
        <f>AE45</f>
        <v>6798</v>
      </c>
      <c r="BF45" s="133">
        <f t="shared" ref="BF45" si="37">BE45-BD45</f>
        <v>126</v>
      </c>
      <c r="BG45" s="133">
        <f>AJ45</f>
        <v>6793</v>
      </c>
      <c r="BH45" s="495">
        <f t="shared" ref="BH45" si="38">BD45-BG45</f>
        <v>-121</v>
      </c>
    </row>
    <row r="46" spans="1:60">
      <c r="A46" s="123">
        <v>2013</v>
      </c>
      <c r="P46" s="132">
        <f>[8]FCST!$BL20</f>
        <v>1675865.0478194701</v>
      </c>
      <c r="Q46" s="371">
        <f t="shared" ref="Q46:Q53" si="39">R46*S46</f>
        <v>37966.67601452893</v>
      </c>
      <c r="R46" s="558">
        <f t="shared" ref="R46:R73" si="40">$R$4</f>
        <v>0.60929999999999995</v>
      </c>
      <c r="S46" s="371">
        <f>[8]FCST!$CV20</f>
        <v>62311.958008417743</v>
      </c>
      <c r="T46" s="387">
        <f>[8]FCST!$CD20</f>
        <v>1483618.0478194701</v>
      </c>
      <c r="U46" s="679">
        <f t="shared" si="20"/>
        <v>1644532.3718049412</v>
      </c>
      <c r="V46" s="374">
        <f t="shared" si="31"/>
        <v>15624</v>
      </c>
      <c r="W46" s="132">
        <f t="shared" si="18"/>
        <v>18258.371804941213</v>
      </c>
      <c r="X46" s="123"/>
      <c r="Y46" s="123"/>
      <c r="AD46" s="123">
        <f t="shared" si="2"/>
        <v>2013</v>
      </c>
      <c r="AF46" s="132">
        <f t="shared" si="11"/>
        <v>1675865.0478194701</v>
      </c>
      <c r="AG46" s="375">
        <f t="shared" ref="AG46:AG73" si="41">$Y$74</f>
        <v>86.6</v>
      </c>
      <c r="AH46" s="500">
        <v>0</v>
      </c>
      <c r="AI46" s="284">
        <f>AI45-0.2</f>
        <v>0.8</v>
      </c>
      <c r="AJ46" s="134"/>
      <c r="AK46" s="134"/>
      <c r="AL46" s="469">
        <v>25</v>
      </c>
      <c r="AM46" s="577">
        <f>ROUND($AV$13+$AU$13*$AF46+$AT$13*$AG46+$AS$13*$AH46+$AR$13*$AI46,0)-AL46</f>
        <v>6910</v>
      </c>
      <c r="AN46" s="134">
        <f>[11]Oct!$AM46</f>
        <v>7874</v>
      </c>
      <c r="AO46" s="138">
        <f t="shared" ref="AO46:AO53" si="42">AM46-AN46</f>
        <v>-964</v>
      </c>
      <c r="AP46" s="381">
        <f>AM46-AE45</f>
        <v>112</v>
      </c>
    </row>
    <row r="47" spans="1:60">
      <c r="A47" s="123">
        <v>2014</v>
      </c>
      <c r="P47" s="132">
        <f>[8]FCST!$BL21</f>
        <v>1698156.6006465401</v>
      </c>
      <c r="Q47" s="371">
        <f t="shared" si="39"/>
        <v>38479.832872905346</v>
      </c>
      <c r="R47" s="558">
        <f t="shared" si="40"/>
        <v>0.60929999999999995</v>
      </c>
      <c r="S47" s="371">
        <f>[8]FCST!$CV21</f>
        <v>63154.165227154685</v>
      </c>
      <c r="T47" s="387">
        <f>[8]FCST!$CD21</f>
        <v>1503670.6006465401</v>
      </c>
      <c r="U47" s="679">
        <f t="shared" si="20"/>
        <v>1666310.7677736348</v>
      </c>
      <c r="V47" s="374">
        <f t="shared" si="31"/>
        <v>15702</v>
      </c>
      <c r="W47" s="132">
        <f t="shared" si="18"/>
        <v>21778.395968693541</v>
      </c>
      <c r="X47" s="123"/>
      <c r="Y47" s="123"/>
      <c r="AD47" s="123">
        <f t="shared" si="2"/>
        <v>2014</v>
      </c>
      <c r="AF47" s="132">
        <f t="shared" si="11"/>
        <v>1698156.6006465401</v>
      </c>
      <c r="AG47" s="375">
        <f t="shared" si="41"/>
        <v>86.6</v>
      </c>
      <c r="AH47" s="500">
        <v>0</v>
      </c>
      <c r="AI47" s="284">
        <f t="shared" ref="AI47:AI49" si="43">AI46-0.2</f>
        <v>0.60000000000000009</v>
      </c>
      <c r="AJ47" s="134"/>
      <c r="AK47" s="134"/>
      <c r="AL47" s="469">
        <v>25</v>
      </c>
      <c r="AM47" s="577">
        <f t="shared" ref="AM47:AM73" si="44">ROUND($AV$13+$AU$13*$AF47+$AT$13*$AG47+$AS$13*$AH47+$AR$13*$AI47,0)-AL47</f>
        <v>7185</v>
      </c>
      <c r="AN47" s="134">
        <f>[11]Oct!$AM47</f>
        <v>8039</v>
      </c>
      <c r="AO47" s="138">
        <f t="shared" si="42"/>
        <v>-854</v>
      </c>
      <c r="AP47" s="381">
        <f t="shared" ref="AP47:AP58" si="45">AM47-AM46</f>
        <v>275</v>
      </c>
    </row>
    <row r="48" spans="1:60">
      <c r="A48" s="123">
        <v>2015</v>
      </c>
      <c r="P48" s="132">
        <f>[8]FCST!$BL22</f>
        <v>1725187.1530164599</v>
      </c>
      <c r="Q48" s="371">
        <f t="shared" si="39"/>
        <v>39100.163152383022</v>
      </c>
      <c r="R48" s="558">
        <f t="shared" si="40"/>
        <v>0.60929999999999995</v>
      </c>
      <c r="S48" s="371">
        <f>[8]FCST!$CV22</f>
        <v>64172.26842669132</v>
      </c>
      <c r="T48" s="387">
        <f>[8]FCST!$CD22</f>
        <v>1527911.1530164599</v>
      </c>
      <c r="U48" s="679">
        <f t="shared" si="20"/>
        <v>1692720.989864077</v>
      </c>
      <c r="V48" s="374">
        <f t="shared" si="31"/>
        <v>15781</v>
      </c>
      <c r="W48" s="132">
        <f t="shared" si="18"/>
        <v>26410.222090442199</v>
      </c>
      <c r="X48" s="123"/>
      <c r="Y48" s="123"/>
      <c r="AD48" s="123">
        <f t="shared" si="2"/>
        <v>2015</v>
      </c>
      <c r="AF48" s="132">
        <f t="shared" si="11"/>
        <v>1725187.1530164599</v>
      </c>
      <c r="AG48" s="375">
        <f t="shared" si="41"/>
        <v>86.6</v>
      </c>
      <c r="AH48" s="500">
        <v>0</v>
      </c>
      <c r="AI48" s="284">
        <f t="shared" si="43"/>
        <v>0.40000000000000008</v>
      </c>
      <c r="AJ48" s="134"/>
      <c r="AK48" s="134"/>
      <c r="AL48" s="469">
        <v>25</v>
      </c>
      <c r="AM48" s="577">
        <f t="shared" si="44"/>
        <v>7489</v>
      </c>
      <c r="AN48" s="134">
        <f>[11]Oct!$AM48</f>
        <v>8217</v>
      </c>
      <c r="AO48" s="138">
        <f t="shared" si="42"/>
        <v>-728</v>
      </c>
      <c r="AP48" s="381">
        <f t="shared" si="45"/>
        <v>304</v>
      </c>
    </row>
    <row r="49" spans="1:42">
      <c r="A49" s="123">
        <v>2016</v>
      </c>
      <c r="P49" s="132">
        <f>[8]FCST!$BL23</f>
        <v>1751511.2201030699</v>
      </c>
      <c r="Q49" s="371">
        <f t="shared" si="39"/>
        <v>39705.177834369621</v>
      </c>
      <c r="R49" s="558">
        <f t="shared" si="40"/>
        <v>0.60929999999999995</v>
      </c>
      <c r="S49" s="371">
        <f>[8]FCST!$CV23</f>
        <v>65165.235244328942</v>
      </c>
      <c r="T49" s="387">
        <f>[8]FCST!$CD23</f>
        <v>1551553.2201030699</v>
      </c>
      <c r="U49" s="679">
        <f t="shared" si="20"/>
        <v>1718440.0422687002</v>
      </c>
      <c r="V49" s="374">
        <f t="shared" si="31"/>
        <v>15860</v>
      </c>
      <c r="W49" s="132">
        <f t="shared" si="18"/>
        <v>25719.052404623246</v>
      </c>
      <c r="X49" s="123"/>
      <c r="Y49" s="123"/>
      <c r="AD49" s="123">
        <f t="shared" si="2"/>
        <v>2016</v>
      </c>
      <c r="AF49" s="132">
        <f t="shared" si="11"/>
        <v>1751511.2201030699</v>
      </c>
      <c r="AG49" s="375">
        <f t="shared" si="41"/>
        <v>86.6</v>
      </c>
      <c r="AH49" s="500">
        <v>0</v>
      </c>
      <c r="AI49" s="284">
        <f t="shared" si="43"/>
        <v>0.20000000000000007</v>
      </c>
      <c r="AJ49" s="134"/>
      <c r="AK49" s="134"/>
      <c r="AL49" s="469">
        <v>25</v>
      </c>
      <c r="AM49" s="577">
        <f t="shared" si="44"/>
        <v>7788</v>
      </c>
      <c r="AN49" s="134">
        <f>[11]Oct!$AM49</f>
        <v>8390</v>
      </c>
      <c r="AO49" s="138">
        <f t="shared" si="42"/>
        <v>-602</v>
      </c>
      <c r="AP49" s="381">
        <f t="shared" si="45"/>
        <v>299</v>
      </c>
    </row>
    <row r="50" spans="1:42">
      <c r="A50" s="123">
        <v>2017</v>
      </c>
      <c r="P50" s="132">
        <f>[8]FCST!$BL24</f>
        <v>1777929.3740268999</v>
      </c>
      <c r="Q50" s="371">
        <f t="shared" si="39"/>
        <v>40312.600254972778</v>
      </c>
      <c r="R50" s="558">
        <f t="shared" si="40"/>
        <v>0.60929999999999995</v>
      </c>
      <c r="S50" s="371">
        <f>[8]FCST!$CV24</f>
        <v>66162.153709129794</v>
      </c>
      <c r="T50" s="387">
        <f>[8]FCST!$CD24</f>
        <v>1575289.3740268999</v>
      </c>
      <c r="U50" s="679">
        <f t="shared" si="20"/>
        <v>1744250.7737719272</v>
      </c>
      <c r="V50" s="374">
        <f t="shared" si="31"/>
        <v>15939</v>
      </c>
      <c r="W50" s="132">
        <f t="shared" si="18"/>
        <v>25810.731503227027</v>
      </c>
      <c r="X50" s="123"/>
      <c r="Y50" s="123"/>
      <c r="AD50" s="123">
        <f t="shared" si="2"/>
        <v>2017</v>
      </c>
      <c r="AF50" s="132">
        <f t="shared" si="11"/>
        <v>1777929.3740268999</v>
      </c>
      <c r="AG50" s="375">
        <f t="shared" si="41"/>
        <v>86.6</v>
      </c>
      <c r="AH50" s="500">
        <v>0</v>
      </c>
      <c r="AI50" s="284"/>
      <c r="AJ50" s="134"/>
      <c r="AK50" s="134"/>
      <c r="AL50" s="469">
        <v>25</v>
      </c>
      <c r="AM50" s="577">
        <f t="shared" si="44"/>
        <v>8088</v>
      </c>
      <c r="AN50" s="134">
        <f>[11]Oct!$AM50</f>
        <v>8570</v>
      </c>
      <c r="AO50" s="138">
        <f t="shared" si="42"/>
        <v>-482</v>
      </c>
      <c r="AP50" s="381">
        <f t="shared" si="45"/>
        <v>300</v>
      </c>
    </row>
    <row r="51" spans="1:42">
      <c r="A51" s="123">
        <v>2018</v>
      </c>
      <c r="P51" s="132">
        <f>[8]FCST!$BL25</f>
        <v>1802933.5815413699</v>
      </c>
      <c r="Q51" s="371">
        <f t="shared" si="39"/>
        <v>40888.035796992583</v>
      </c>
      <c r="R51" s="558">
        <f t="shared" si="40"/>
        <v>0.60929999999999995</v>
      </c>
      <c r="S51" s="371">
        <f>[8]FCST!$CV25</f>
        <v>67106.574424737541</v>
      </c>
      <c r="T51" s="387">
        <f>[8]FCST!$CD25</f>
        <v>1597775.5815413699</v>
      </c>
      <c r="U51" s="679">
        <f t="shared" si="20"/>
        <v>1768679.5457443774</v>
      </c>
      <c r="V51" s="374">
        <f t="shared" si="31"/>
        <v>16019</v>
      </c>
      <c r="W51" s="132">
        <f t="shared" si="18"/>
        <v>24428.771972450195</v>
      </c>
      <c r="X51" s="123"/>
      <c r="Y51" s="123"/>
      <c r="AD51" s="123">
        <f t="shared" si="2"/>
        <v>2018</v>
      </c>
      <c r="AF51" s="132">
        <f t="shared" si="11"/>
        <v>1802933.5815413699</v>
      </c>
      <c r="AG51" s="375">
        <f t="shared" si="41"/>
        <v>86.6</v>
      </c>
      <c r="AH51" s="500">
        <v>0</v>
      </c>
      <c r="AI51" s="284"/>
      <c r="AJ51" s="134"/>
      <c r="AK51" s="134"/>
      <c r="AL51" s="469">
        <v>25</v>
      </c>
      <c r="AM51" s="577">
        <f t="shared" si="44"/>
        <v>8235</v>
      </c>
      <c r="AN51" s="134">
        <f>[11]Oct!$AM51</f>
        <v>8753</v>
      </c>
      <c r="AO51" s="138">
        <f t="shared" si="42"/>
        <v>-518</v>
      </c>
      <c r="AP51" s="381">
        <f t="shared" si="45"/>
        <v>147</v>
      </c>
    </row>
    <row r="52" spans="1:42">
      <c r="A52" s="123">
        <v>2019</v>
      </c>
      <c r="P52" s="132">
        <f>[8]FCST!$BL26</f>
        <v>1826633.4205078499</v>
      </c>
      <c r="Q52" s="371">
        <f t="shared" si="39"/>
        <v>41434.288623648186</v>
      </c>
      <c r="R52" s="558">
        <f t="shared" si="40"/>
        <v>0.60929999999999995</v>
      </c>
      <c r="S52" s="371">
        <f>[8]FCST!$CV26</f>
        <v>68003.099661329703</v>
      </c>
      <c r="T52" s="387">
        <f>[8]FCST!$CD26</f>
        <v>1619121.4205078499</v>
      </c>
      <c r="U52" s="679">
        <f t="shared" si="20"/>
        <v>1791833.1318842017</v>
      </c>
      <c r="V52" s="374">
        <f t="shared" si="31"/>
        <v>16099</v>
      </c>
      <c r="W52" s="132">
        <f t="shared" si="18"/>
        <v>23153.586139824241</v>
      </c>
      <c r="X52" s="123"/>
      <c r="Y52" s="123"/>
      <c r="AD52" s="123">
        <f t="shared" si="2"/>
        <v>2019</v>
      </c>
      <c r="AF52" s="132">
        <f t="shared" si="11"/>
        <v>1826633.4205078499</v>
      </c>
      <c r="AG52" s="375">
        <f t="shared" si="41"/>
        <v>86.6</v>
      </c>
      <c r="AH52" s="500">
        <v>0</v>
      </c>
      <c r="AI52" s="284"/>
      <c r="AJ52" s="134"/>
      <c r="AK52" s="134"/>
      <c r="AL52" s="469">
        <v>25</v>
      </c>
      <c r="AM52" s="577">
        <f t="shared" si="44"/>
        <v>8373</v>
      </c>
      <c r="AN52" s="134">
        <f>[11]Oct!$AM52</f>
        <v>8936</v>
      </c>
      <c r="AO52" s="138">
        <f t="shared" si="42"/>
        <v>-563</v>
      </c>
      <c r="AP52" s="381">
        <f t="shared" si="45"/>
        <v>138</v>
      </c>
    </row>
    <row r="53" spans="1:42">
      <c r="A53" s="123">
        <v>2020</v>
      </c>
      <c r="P53" s="132">
        <f>[8]FCST!$BL27</f>
        <v>1849939.42601038</v>
      </c>
      <c r="Q53" s="371">
        <f t="shared" si="39"/>
        <v>41971.768136261227</v>
      </c>
      <c r="R53" s="558">
        <f t="shared" si="40"/>
        <v>0.60929999999999995</v>
      </c>
      <c r="S53" s="371">
        <f>[8]FCST!$CV27</f>
        <v>68885.225892435963</v>
      </c>
      <c r="T53" s="387">
        <f>[8]FCST!$CD27</f>
        <v>1640124.42601038</v>
      </c>
      <c r="U53" s="679">
        <f t="shared" si="20"/>
        <v>1814601.6578741188</v>
      </c>
      <c r="V53" s="374">
        <f t="shared" si="31"/>
        <v>16179</v>
      </c>
      <c r="W53" s="132">
        <f t="shared" si="18"/>
        <v>22768.525989917107</v>
      </c>
      <c r="X53" s="123"/>
      <c r="Y53" s="123"/>
      <c r="AD53" s="123">
        <f t="shared" si="2"/>
        <v>2020</v>
      </c>
      <c r="AF53" s="132">
        <f t="shared" si="11"/>
        <v>1849939.42601038</v>
      </c>
      <c r="AG53" s="375">
        <f t="shared" si="41"/>
        <v>86.6</v>
      </c>
      <c r="AH53" s="500">
        <v>0</v>
      </c>
      <c r="AI53" s="284"/>
      <c r="AJ53" s="134"/>
      <c r="AK53" s="134"/>
      <c r="AL53" s="469">
        <v>25</v>
      </c>
      <c r="AM53" s="577">
        <f t="shared" si="44"/>
        <v>8510</v>
      </c>
      <c r="AN53" s="134">
        <f>[11]Oct!$AM53</f>
        <v>9119</v>
      </c>
      <c r="AO53" s="138">
        <f t="shared" si="42"/>
        <v>-609</v>
      </c>
      <c r="AP53" s="381">
        <f t="shared" si="45"/>
        <v>137</v>
      </c>
    </row>
    <row r="54" spans="1:42">
      <c r="A54" s="123">
        <v>2021</v>
      </c>
      <c r="P54" s="132">
        <f>[8]FCST!$BL28</f>
        <v>1872408.37298779</v>
      </c>
      <c r="Q54" s="371">
        <f t="shared" ref="Q54:Q63" si="46">R54*S54</f>
        <v>42490.513831981334</v>
      </c>
      <c r="R54" s="558">
        <f t="shared" si="40"/>
        <v>0.60929999999999995</v>
      </c>
      <c r="S54" s="371">
        <f>[8]FCST!$CV28</f>
        <v>69736.605665487179</v>
      </c>
      <c r="T54" s="387">
        <f>[8]FCST!$CD28</f>
        <v>1660395.37298779</v>
      </c>
      <c r="U54" s="679">
        <f t="shared" si="20"/>
        <v>1836551.8591558088</v>
      </c>
      <c r="V54" s="374">
        <f t="shared" si="31"/>
        <v>16260</v>
      </c>
      <c r="W54" s="132">
        <f t="shared" si="18"/>
        <v>21950.201281690039</v>
      </c>
      <c r="AD54" s="123">
        <f t="shared" si="2"/>
        <v>2021</v>
      </c>
      <c r="AF54" s="132">
        <f t="shared" si="11"/>
        <v>1872408.37298779</v>
      </c>
      <c r="AG54" s="375">
        <f t="shared" si="41"/>
        <v>86.6</v>
      </c>
      <c r="AH54" s="500">
        <v>0</v>
      </c>
      <c r="AI54" s="284"/>
      <c r="AL54" s="469">
        <v>25</v>
      </c>
      <c r="AM54" s="577">
        <f t="shared" si="44"/>
        <v>8642</v>
      </c>
      <c r="AN54" s="134">
        <f>[11]Oct!$AM54</f>
        <v>9298</v>
      </c>
      <c r="AO54" s="138">
        <f t="shared" ref="AO54:AO63" si="47">AM54-AN54</f>
        <v>-656</v>
      </c>
      <c r="AP54" s="381">
        <f t="shared" si="45"/>
        <v>132</v>
      </c>
    </row>
    <row r="55" spans="1:42">
      <c r="A55" s="123">
        <v>2022</v>
      </c>
      <c r="P55" s="132">
        <f>[8]FCST!$BL29</f>
        <v>1894176.8234685301</v>
      </c>
      <c r="Q55" s="371">
        <f t="shared" si="46"/>
        <v>42993.329468853764</v>
      </c>
      <c r="R55" s="558">
        <f t="shared" si="40"/>
        <v>0.60929999999999995</v>
      </c>
      <c r="S55" s="371">
        <f>[8]FCST!$CV29</f>
        <v>70561.840585678263</v>
      </c>
      <c r="T55" s="387">
        <f>[8]FCST!$CD29</f>
        <v>1680043.8234685301</v>
      </c>
      <c r="U55" s="679">
        <f t="shared" si="20"/>
        <v>1857817.4939996763</v>
      </c>
      <c r="V55" s="374">
        <f t="shared" si="31"/>
        <v>16341</v>
      </c>
      <c r="W55" s="132">
        <f t="shared" si="18"/>
        <v>21265.634843867505</v>
      </c>
      <c r="AD55" s="123">
        <f t="shared" si="2"/>
        <v>2022</v>
      </c>
      <c r="AF55" s="132">
        <f t="shared" si="11"/>
        <v>1894176.8234685301</v>
      </c>
      <c r="AG55" s="375">
        <f t="shared" si="41"/>
        <v>86.6</v>
      </c>
      <c r="AH55" s="500">
        <v>0</v>
      </c>
      <c r="AI55" s="284"/>
      <c r="AL55" s="469">
        <v>25</v>
      </c>
      <c r="AM55" s="577">
        <f t="shared" si="44"/>
        <v>8769</v>
      </c>
      <c r="AN55" s="134">
        <f>[11]Oct!$AM55</f>
        <v>9474</v>
      </c>
      <c r="AO55" s="138">
        <f t="shared" si="47"/>
        <v>-705</v>
      </c>
      <c r="AP55" s="381">
        <f t="shared" si="45"/>
        <v>127</v>
      </c>
    </row>
    <row r="56" spans="1:42">
      <c r="A56" s="123">
        <v>2023</v>
      </c>
      <c r="P56" s="132">
        <f>[8]FCST!$BL30</f>
        <v>1914634.7600971099</v>
      </c>
      <c r="Q56" s="371">
        <f t="shared" si="46"/>
        <v>43466.600403541102</v>
      </c>
      <c r="R56" s="558">
        <f t="shared" si="40"/>
        <v>0.60929999999999995</v>
      </c>
      <c r="S56" s="371">
        <f>[8]FCST!$CV30</f>
        <v>71338.585924078623</v>
      </c>
      <c r="T56" s="387">
        <f>[8]FCST!$CD30</f>
        <v>1698537.7600971099</v>
      </c>
      <c r="U56" s="679">
        <f t="shared" si="20"/>
        <v>1877802.1596935689</v>
      </c>
      <c r="V56" s="374">
        <f t="shared" si="31"/>
        <v>16423</v>
      </c>
      <c r="W56" s="132">
        <f t="shared" si="18"/>
        <v>19984.665693892632</v>
      </c>
      <c r="AD56" s="123">
        <f t="shared" si="2"/>
        <v>2023</v>
      </c>
      <c r="AF56" s="132">
        <f t="shared" si="11"/>
        <v>1914634.7600971099</v>
      </c>
      <c r="AG56" s="375">
        <f t="shared" si="41"/>
        <v>86.6</v>
      </c>
      <c r="AH56" s="500">
        <v>0</v>
      </c>
      <c r="AI56" s="284"/>
      <c r="AL56" s="469">
        <v>25</v>
      </c>
      <c r="AM56" s="577">
        <f t="shared" si="44"/>
        <v>8889</v>
      </c>
      <c r="AN56" s="134">
        <f>[11]Oct!$AM56</f>
        <v>9649</v>
      </c>
      <c r="AO56" s="138">
        <f t="shared" si="47"/>
        <v>-760</v>
      </c>
      <c r="AP56" s="381">
        <f t="shared" si="45"/>
        <v>120</v>
      </c>
    </row>
    <row r="57" spans="1:42">
      <c r="A57" s="123">
        <v>2024</v>
      </c>
      <c r="P57" s="132">
        <f>[8]FCST!$BL31</f>
        <v>1934557.8502625001</v>
      </c>
      <c r="Q57" s="371">
        <f t="shared" si="46"/>
        <v>43927.873275927537</v>
      </c>
      <c r="R57" s="558">
        <f t="shared" si="40"/>
        <v>0.60929999999999995</v>
      </c>
      <c r="S57" s="371">
        <f>[8]FCST!$CV31</f>
        <v>72095.639711025011</v>
      </c>
      <c r="T57" s="387">
        <f>[8]FCST!$CD31</f>
        <v>1716562.8502625001</v>
      </c>
      <c r="U57" s="679">
        <f t="shared" si="20"/>
        <v>1897263.9769865726</v>
      </c>
      <c r="V57" s="374">
        <f t="shared" si="31"/>
        <v>16505</v>
      </c>
      <c r="W57" s="132">
        <f t="shared" si="18"/>
        <v>19461.817293003667</v>
      </c>
      <c r="AD57" s="123">
        <f t="shared" si="2"/>
        <v>2024</v>
      </c>
      <c r="AF57" s="132">
        <f t="shared" si="11"/>
        <v>1934557.8502625001</v>
      </c>
      <c r="AG57" s="375">
        <f t="shared" si="41"/>
        <v>86.6</v>
      </c>
      <c r="AH57" s="500">
        <v>0</v>
      </c>
      <c r="AI57" s="284"/>
      <c r="AL57" s="469">
        <v>25</v>
      </c>
      <c r="AM57" s="577">
        <f t="shared" si="44"/>
        <v>9006</v>
      </c>
      <c r="AN57" s="134">
        <f>[11]Oct!$AM57</f>
        <v>9821</v>
      </c>
      <c r="AO57" s="138">
        <f t="shared" si="47"/>
        <v>-815</v>
      </c>
      <c r="AP57" s="381">
        <f t="shared" si="45"/>
        <v>117</v>
      </c>
    </row>
    <row r="58" spans="1:42">
      <c r="A58" s="123">
        <v>2025</v>
      </c>
      <c r="P58" s="132">
        <f>[8]FCST!$BL32</f>
        <v>1953497.50215546</v>
      </c>
      <c r="Q58" s="371">
        <f t="shared" si="46"/>
        <v>44366.819929459511</v>
      </c>
      <c r="R58" s="558">
        <f t="shared" si="40"/>
        <v>0.60929999999999995</v>
      </c>
      <c r="S58" s="371">
        <f>[8]FCST!$CV32</f>
        <v>72816.051090529319</v>
      </c>
      <c r="T58" s="387">
        <f>[8]FCST!$CD32</f>
        <v>1733715.50215546</v>
      </c>
      <c r="U58" s="679">
        <f t="shared" si="20"/>
        <v>1915764.6822260004</v>
      </c>
      <c r="V58" s="374">
        <f t="shared" si="31"/>
        <v>16588</v>
      </c>
      <c r="W58" s="132">
        <f t="shared" si="18"/>
        <v>18500.705239427742</v>
      </c>
      <c r="AD58" s="123">
        <f t="shared" si="2"/>
        <v>2025</v>
      </c>
      <c r="AF58" s="132">
        <f t="shared" si="11"/>
        <v>1953497.50215546</v>
      </c>
      <c r="AG58" s="375">
        <f t="shared" si="41"/>
        <v>86.6</v>
      </c>
      <c r="AH58" s="500">
        <v>0</v>
      </c>
      <c r="AI58" s="284"/>
      <c r="AL58" s="469">
        <v>25</v>
      </c>
      <c r="AM58" s="577">
        <f t="shared" si="44"/>
        <v>9117</v>
      </c>
      <c r="AN58" s="134">
        <f>[11]Oct!$AM58</f>
        <v>9992</v>
      </c>
      <c r="AO58" s="138">
        <f t="shared" si="47"/>
        <v>-875</v>
      </c>
      <c r="AP58" s="381">
        <f t="shared" si="45"/>
        <v>111</v>
      </c>
    </row>
    <row r="59" spans="1:42">
      <c r="A59" s="123">
        <v>2026</v>
      </c>
      <c r="P59" s="132">
        <f>[8]FCST!$BL33</f>
        <v>1971600.8891471601</v>
      </c>
      <c r="Q59" s="371">
        <f t="shared" si="46"/>
        <v>44787.001894209316</v>
      </c>
      <c r="R59" s="558">
        <f t="shared" si="40"/>
        <v>0.60929999999999995</v>
      </c>
      <c r="S59" s="371">
        <f>[8]FCST!$CV33</f>
        <v>73505.665344180728</v>
      </c>
      <c r="T59" s="387">
        <f>[8]FCST!$CD33</f>
        <v>1750134.8891471601</v>
      </c>
      <c r="U59" s="679">
        <f>P59-Q59+R$31</f>
        <v>1933447.8872529508</v>
      </c>
      <c r="V59" s="374">
        <f t="shared" si="31"/>
        <v>16671</v>
      </c>
      <c r="W59" s="132">
        <f>U59-U58</f>
        <v>17683.205026950454</v>
      </c>
      <c r="X59" s="696"/>
      <c r="Y59" s="696"/>
      <c r="Z59" s="302"/>
      <c r="AD59" s="123">
        <f>A59</f>
        <v>2026</v>
      </c>
      <c r="AF59" s="132">
        <f t="shared" si="11"/>
        <v>1971600.8891471601</v>
      </c>
      <c r="AG59" s="375">
        <f t="shared" si="41"/>
        <v>86.6</v>
      </c>
      <c r="AH59" s="500">
        <v>0</v>
      </c>
      <c r="AI59" s="284"/>
      <c r="AL59" s="469">
        <v>25</v>
      </c>
      <c r="AM59" s="577">
        <f t="shared" si="44"/>
        <v>9223</v>
      </c>
      <c r="AN59" s="134">
        <f>[11]Oct!$AM59</f>
        <v>10161</v>
      </c>
      <c r="AO59" s="138">
        <f t="shared" si="47"/>
        <v>-938</v>
      </c>
      <c r="AP59" s="381">
        <f>AM59-AM58</f>
        <v>106</v>
      </c>
    </row>
    <row r="60" spans="1:42">
      <c r="A60" s="123">
        <v>2027</v>
      </c>
      <c r="P60" s="132">
        <f>[8]FCST!$BL34</f>
        <v>1989337.6798872701</v>
      </c>
      <c r="Q60" s="371">
        <f t="shared" si="46"/>
        <v>45199.030789723169</v>
      </c>
      <c r="R60" s="558">
        <f t="shared" si="40"/>
        <v>0.60929999999999995</v>
      </c>
      <c r="S60" s="371">
        <f>[8]FCST!$CV34</f>
        <v>74181.898555265347</v>
      </c>
      <c r="T60" s="387">
        <f>[8]FCST!$CD34</f>
        <v>1766235.6798872701</v>
      </c>
      <c r="U60" s="679">
        <f>P60-Q60+R$31</f>
        <v>1950772.6490975469</v>
      </c>
      <c r="V60" s="374">
        <f t="shared" si="31"/>
        <v>16754</v>
      </c>
      <c r="W60" s="132">
        <f>U60-U59</f>
        <v>17324.761844596127</v>
      </c>
      <c r="X60" s="696"/>
      <c r="Y60" s="696"/>
      <c r="Z60" s="302"/>
      <c r="AD60" s="123">
        <f>A60</f>
        <v>2027</v>
      </c>
      <c r="AF60" s="132">
        <f t="shared" si="11"/>
        <v>1989337.6798872701</v>
      </c>
      <c r="AG60" s="375">
        <f t="shared" si="41"/>
        <v>86.6</v>
      </c>
      <c r="AH60" s="500">
        <v>0</v>
      </c>
      <c r="AI60" s="284"/>
      <c r="AL60" s="469">
        <v>25</v>
      </c>
      <c r="AM60" s="577">
        <f t="shared" si="44"/>
        <v>9327</v>
      </c>
      <c r="AN60" s="134">
        <f>[11]Oct!$AM60</f>
        <v>10330</v>
      </c>
      <c r="AO60" s="138">
        <f t="shared" si="47"/>
        <v>-1003</v>
      </c>
      <c r="AP60" s="381">
        <f>AM60-AM59</f>
        <v>104</v>
      </c>
    </row>
    <row r="61" spans="1:42">
      <c r="A61" s="123">
        <v>2028</v>
      </c>
      <c r="P61" s="132">
        <f>[8]FCST!$BL35</f>
        <v>2006698.19735768</v>
      </c>
      <c r="Q61" s="371">
        <f t="shared" si="46"/>
        <v>45602.710156501438</v>
      </c>
      <c r="R61" s="558">
        <f t="shared" si="40"/>
        <v>0.60929999999999995</v>
      </c>
      <c r="S61" s="371">
        <f>[8]FCST!$CV35</f>
        <v>74844.428289022559</v>
      </c>
      <c r="T61" s="387">
        <f>[8]FCST!$CD35</f>
        <v>1782010.19735768</v>
      </c>
      <c r="U61" s="679">
        <f>P61-Q61+R$31</f>
        <v>1967729.4872011784</v>
      </c>
      <c r="V61" s="374">
        <f t="shared" si="31"/>
        <v>16838</v>
      </c>
      <c r="W61" s="132">
        <f>U61-U60</f>
        <v>16956.838103631511</v>
      </c>
      <c r="X61" s="696"/>
      <c r="Y61" s="696"/>
      <c r="Z61" s="302"/>
      <c r="AD61" s="123">
        <f>A61</f>
        <v>2028</v>
      </c>
      <c r="AF61" s="132">
        <f t="shared" si="11"/>
        <v>2006698.19735768</v>
      </c>
      <c r="AG61" s="375">
        <f t="shared" si="41"/>
        <v>86.6</v>
      </c>
      <c r="AH61" s="500">
        <v>0</v>
      </c>
      <c r="AI61" s="284"/>
      <c r="AL61" s="469">
        <v>25</v>
      </c>
      <c r="AM61" s="577">
        <f t="shared" si="44"/>
        <v>9429</v>
      </c>
      <c r="AN61" s="134">
        <f>[11]Oct!$AM61</f>
        <v>10497</v>
      </c>
      <c r="AO61" s="138">
        <f t="shared" si="47"/>
        <v>-1068</v>
      </c>
      <c r="AP61" s="381">
        <f>AM61-AM60</f>
        <v>102</v>
      </c>
    </row>
    <row r="62" spans="1:42">
      <c r="A62" s="123">
        <v>2029</v>
      </c>
      <c r="P62" s="132">
        <f>[8]FCST!$BL36</f>
        <v>2023514.8433437401</v>
      </c>
      <c r="Q62" s="371">
        <f t="shared" si="46"/>
        <v>45994.006961672312</v>
      </c>
      <c r="R62" s="558">
        <f t="shared" si="40"/>
        <v>0.60929999999999995</v>
      </c>
      <c r="S62" s="371">
        <f>[8]FCST!$CV36</f>
        <v>75486.635420437087</v>
      </c>
      <c r="T62" s="387">
        <f>[8]FCST!$CD36</f>
        <v>1797300.8433437401</v>
      </c>
      <c r="U62" s="679">
        <f>P62-Q62+R$31</f>
        <v>1984154.8363820678</v>
      </c>
      <c r="V62" s="374">
        <f t="shared" si="31"/>
        <v>16922</v>
      </c>
      <c r="W62" s="132">
        <f>U62-U61</f>
        <v>16425.349180889316</v>
      </c>
      <c r="X62" s="696"/>
      <c r="Y62" s="696"/>
      <c r="Z62" s="302"/>
      <c r="AD62" s="123">
        <f>A62</f>
        <v>2029</v>
      </c>
      <c r="AF62" s="132">
        <f t="shared" si="11"/>
        <v>2023514.8433437401</v>
      </c>
      <c r="AG62" s="375">
        <f t="shared" si="41"/>
        <v>86.6</v>
      </c>
      <c r="AH62" s="500">
        <v>0</v>
      </c>
      <c r="AI62" s="284"/>
      <c r="AL62" s="469">
        <v>25</v>
      </c>
      <c r="AM62" s="577">
        <f t="shared" si="44"/>
        <v>9527</v>
      </c>
      <c r="AN62" s="134">
        <f>[11]Oct!$AM62</f>
        <v>10662</v>
      </c>
      <c r="AO62" s="138">
        <f t="shared" si="47"/>
        <v>-1135</v>
      </c>
      <c r="AP62" s="381">
        <f>AM62-AM61</f>
        <v>98</v>
      </c>
    </row>
    <row r="63" spans="1:42">
      <c r="A63" s="123">
        <v>2030</v>
      </c>
      <c r="P63" s="132">
        <f>[8]FCST!$BL37</f>
        <v>2039430.78237404</v>
      </c>
      <c r="Q63" s="371">
        <f t="shared" si="46"/>
        <v>46365.017920221107</v>
      </c>
      <c r="R63" s="558">
        <f t="shared" si="40"/>
        <v>0.60929999999999995</v>
      </c>
      <c r="S63" s="371">
        <f>[8]FCST!$CV37</f>
        <v>76095.548859709685</v>
      </c>
      <c r="T63" s="387">
        <f>[8]FCST!$CD37</f>
        <v>1811798.78237404</v>
      </c>
      <c r="U63" s="679">
        <f>P63-Q63+R$31</f>
        <v>1999699.7644538188</v>
      </c>
      <c r="V63" s="374"/>
      <c r="W63" s="132">
        <f>U63-U62</f>
        <v>15544.928071751026</v>
      </c>
      <c r="AD63" s="123">
        <f>A63</f>
        <v>2030</v>
      </c>
      <c r="AF63" s="132">
        <f t="shared" si="11"/>
        <v>2039430.78237404</v>
      </c>
      <c r="AG63" s="375">
        <f t="shared" si="41"/>
        <v>86.6</v>
      </c>
      <c r="AH63" s="500">
        <v>0</v>
      </c>
      <c r="AI63" s="284"/>
      <c r="AL63" s="469">
        <v>25</v>
      </c>
      <c r="AM63" s="577">
        <f t="shared" si="44"/>
        <v>9620</v>
      </c>
      <c r="AN63" s="134">
        <f>[11]Oct!$AM63</f>
        <v>10826</v>
      </c>
      <c r="AO63" s="138">
        <f t="shared" si="47"/>
        <v>-1206</v>
      </c>
      <c r="AP63" s="381">
        <f>AM63-AM62</f>
        <v>93</v>
      </c>
    </row>
    <row r="64" spans="1:42">
      <c r="A64" s="123">
        <v>2031</v>
      </c>
      <c r="P64" s="132">
        <f>[8]FCST!$BL38</f>
        <v>2054938.9464507401</v>
      </c>
      <c r="Q64" s="371">
        <f t="shared" ref="Q64:Q73" si="48">R64*S64</f>
        <v>46726.924384242302</v>
      </c>
      <c r="R64" s="558">
        <f t="shared" si="40"/>
        <v>0.60929999999999995</v>
      </c>
      <c r="S64" s="371">
        <f>[8]FCST!$CV38</f>
        <v>76689.519750931082</v>
      </c>
      <c r="T64" s="387">
        <f>[8]FCST!$CD38</f>
        <v>1825940.9464507401</v>
      </c>
      <c r="U64" s="679">
        <f t="shared" ref="U64:U73" si="49">P64-Q64+R$31</f>
        <v>2014846.0220664977</v>
      </c>
      <c r="V64" s="374"/>
      <c r="W64" s="132">
        <f t="shared" ref="W64:W73" si="50">U64-U63</f>
        <v>15146.257612678921</v>
      </c>
      <c r="AD64" s="123">
        <f t="shared" ref="AD64:AD73" si="51">A64</f>
        <v>2031</v>
      </c>
      <c r="AF64" s="132">
        <f t="shared" si="11"/>
        <v>2054938.9464507401</v>
      </c>
      <c r="AG64" s="375">
        <f t="shared" si="41"/>
        <v>86.6</v>
      </c>
      <c r="AH64" s="500">
        <v>0</v>
      </c>
      <c r="AI64" s="284"/>
      <c r="AL64" s="469">
        <v>25</v>
      </c>
      <c r="AM64" s="577">
        <f t="shared" si="44"/>
        <v>9711</v>
      </c>
      <c r="AN64" s="134"/>
      <c r="AO64" s="138"/>
      <c r="AP64" s="381">
        <f t="shared" ref="AP64:AP73" si="52">AM64-AM63</f>
        <v>91</v>
      </c>
    </row>
    <row r="65" spans="1:43">
      <c r="A65" s="123">
        <v>2032</v>
      </c>
      <c r="P65" s="132">
        <f>[8]FCST!$BL39</f>
        <v>2070047.4771883499</v>
      </c>
      <c r="Q65" s="371">
        <f t="shared" si="48"/>
        <v>47079.883521336189</v>
      </c>
      <c r="R65" s="558">
        <f t="shared" si="40"/>
        <v>0.60929999999999995</v>
      </c>
      <c r="S65" s="371">
        <f>[8]FCST!$CV39</f>
        <v>77268.806041910706</v>
      </c>
      <c r="T65" s="387">
        <f>[8]FCST!$CD39</f>
        <v>1839733.4771883499</v>
      </c>
      <c r="U65" s="679">
        <f t="shared" si="49"/>
        <v>2029601.5936670138</v>
      </c>
      <c r="V65" s="374"/>
      <c r="W65" s="132">
        <f t="shared" si="50"/>
        <v>14755.571600516094</v>
      </c>
      <c r="AD65" s="123">
        <f t="shared" si="51"/>
        <v>2032</v>
      </c>
      <c r="AF65" s="132">
        <f t="shared" si="11"/>
        <v>2070047.4771883499</v>
      </c>
      <c r="AG65" s="375">
        <f t="shared" si="41"/>
        <v>86.6</v>
      </c>
      <c r="AH65" s="500">
        <v>0</v>
      </c>
      <c r="AI65" s="284"/>
      <c r="AL65" s="469">
        <v>25</v>
      </c>
      <c r="AM65" s="577">
        <f t="shared" si="44"/>
        <v>9800</v>
      </c>
      <c r="AN65" s="134"/>
      <c r="AO65" s="138"/>
      <c r="AP65" s="381">
        <f t="shared" si="52"/>
        <v>89</v>
      </c>
    </row>
    <row r="66" spans="1:43">
      <c r="A66" s="123">
        <v>2033</v>
      </c>
      <c r="P66" s="132">
        <f>[8]FCST!$BL40</f>
        <v>2084764.03865016</v>
      </c>
      <c r="Q66" s="371">
        <f t="shared" si="48"/>
        <v>47424.117050080778</v>
      </c>
      <c r="R66" s="558">
        <f t="shared" si="40"/>
        <v>0.60929999999999995</v>
      </c>
      <c r="S66" s="371">
        <f>[8]FCST!$CV40</f>
        <v>77833.771623306719</v>
      </c>
      <c r="T66" s="387">
        <f>[8]FCST!$CD40</f>
        <v>1853185.03865016</v>
      </c>
      <c r="U66" s="679">
        <f t="shared" si="49"/>
        <v>2043973.9216000792</v>
      </c>
      <c r="V66" s="374"/>
      <c r="W66" s="132">
        <f t="shared" si="50"/>
        <v>14372.32793306536</v>
      </c>
      <c r="AD66" s="123">
        <f t="shared" si="51"/>
        <v>2033</v>
      </c>
      <c r="AF66" s="132">
        <f t="shared" si="11"/>
        <v>2084764.03865016</v>
      </c>
      <c r="AG66" s="375">
        <f t="shared" si="41"/>
        <v>86.6</v>
      </c>
      <c r="AH66" s="500">
        <v>0</v>
      </c>
      <c r="AI66" s="284"/>
      <c r="AL66" s="469">
        <v>25</v>
      </c>
      <c r="AM66" s="577">
        <f t="shared" si="44"/>
        <v>9886</v>
      </c>
      <c r="AN66" s="134"/>
      <c r="AO66" s="138"/>
      <c r="AP66" s="381">
        <f t="shared" si="52"/>
        <v>86</v>
      </c>
    </row>
    <row r="67" spans="1:43">
      <c r="A67" s="123">
        <v>2034</v>
      </c>
      <c r="P67" s="132">
        <f>[8]FCST!$BL41</f>
        <v>2099098.9658844098</v>
      </c>
      <c r="Q67" s="371">
        <f t="shared" si="48"/>
        <v>47759.838269361586</v>
      </c>
      <c r="R67" s="558">
        <f t="shared" si="40"/>
        <v>0.60929999999999995</v>
      </c>
      <c r="S67" s="371">
        <f>[8]FCST!$CV41</f>
        <v>78384.766567145227</v>
      </c>
      <c r="T67" s="387">
        <f>[8]FCST!$CD41</f>
        <v>1866303.9658844101</v>
      </c>
      <c r="U67" s="679">
        <f t="shared" si="49"/>
        <v>2057973.1276150483</v>
      </c>
      <c r="V67" s="374"/>
      <c r="W67" s="132">
        <f t="shared" si="50"/>
        <v>13999.206014969153</v>
      </c>
      <c r="AD67" s="123">
        <f t="shared" si="51"/>
        <v>2034</v>
      </c>
      <c r="AF67" s="132">
        <f t="shared" si="11"/>
        <v>2099098.9658844098</v>
      </c>
      <c r="AG67" s="375">
        <f t="shared" si="41"/>
        <v>86.6</v>
      </c>
      <c r="AH67" s="500">
        <v>0</v>
      </c>
      <c r="AI67" s="284"/>
      <c r="AL67" s="469">
        <v>25</v>
      </c>
      <c r="AM67" s="577">
        <f t="shared" si="44"/>
        <v>9970</v>
      </c>
      <c r="AN67" s="134"/>
      <c r="AO67" s="138"/>
      <c r="AP67" s="381">
        <f t="shared" si="52"/>
        <v>84</v>
      </c>
    </row>
    <row r="68" spans="1:43">
      <c r="A68" s="123">
        <v>2035</v>
      </c>
      <c r="P68" s="132">
        <f>[8]FCST!$BL42</f>
        <v>2113062.8970447499</v>
      </c>
      <c r="Q68" s="371">
        <f t="shared" si="48"/>
        <v>48087.319415913378</v>
      </c>
      <c r="R68" s="558">
        <f t="shared" si="40"/>
        <v>0.60929999999999995</v>
      </c>
      <c r="S68" s="371">
        <f>[8]FCST!$CV42</f>
        <v>78922.2376758795</v>
      </c>
      <c r="T68" s="387">
        <f>[8]FCST!$CD42</f>
        <v>1879100.8970447499</v>
      </c>
      <c r="U68" s="679">
        <f t="shared" si="49"/>
        <v>2071609.5776288365</v>
      </c>
      <c r="V68" s="374"/>
      <c r="W68" s="132">
        <f t="shared" si="50"/>
        <v>13636.450013788184</v>
      </c>
      <c r="AD68" s="123">
        <f t="shared" si="51"/>
        <v>2035</v>
      </c>
      <c r="AF68" s="132">
        <f t="shared" si="11"/>
        <v>2113062.8970447499</v>
      </c>
      <c r="AG68" s="375">
        <f t="shared" si="41"/>
        <v>86.6</v>
      </c>
      <c r="AH68" s="500">
        <v>0</v>
      </c>
      <c r="AI68" s="284"/>
      <c r="AL68" s="469">
        <v>25</v>
      </c>
      <c r="AM68" s="577">
        <f t="shared" si="44"/>
        <v>10052</v>
      </c>
      <c r="AN68" s="134"/>
      <c r="AO68" s="138"/>
      <c r="AP68" s="381">
        <f t="shared" si="52"/>
        <v>82</v>
      </c>
    </row>
    <row r="69" spans="1:43">
      <c r="A69" s="123">
        <v>2036</v>
      </c>
      <c r="P69" s="132">
        <f>[8]FCST!$BL43</f>
        <v>2127028.2141841203</v>
      </c>
      <c r="Q69" s="371">
        <f t="shared" si="48"/>
        <v>48415.347842500145</v>
      </c>
      <c r="R69" s="558">
        <f t="shared" si="40"/>
        <v>0.60929999999999995</v>
      </c>
      <c r="S69" s="371">
        <f>[8]FCST!$CV43</f>
        <v>79460.606995733047</v>
      </c>
      <c r="T69" s="387">
        <f>[8]FCST!$CD43</f>
        <v>1891919.2141841201</v>
      </c>
      <c r="U69" s="679">
        <f t="shared" si="49"/>
        <v>2085246.8663416202</v>
      </c>
      <c r="V69" s="374"/>
      <c r="W69" s="132">
        <f t="shared" si="50"/>
        <v>13637.288712783717</v>
      </c>
      <c r="AD69" s="123">
        <f t="shared" si="51"/>
        <v>2036</v>
      </c>
      <c r="AF69" s="132">
        <f t="shared" si="11"/>
        <v>2127028.2141841203</v>
      </c>
      <c r="AG69" s="375">
        <f t="shared" si="41"/>
        <v>86.6</v>
      </c>
      <c r="AH69" s="500">
        <v>0</v>
      </c>
      <c r="AI69" s="284"/>
      <c r="AL69" s="469">
        <v>25</v>
      </c>
      <c r="AM69" s="577">
        <f t="shared" si="44"/>
        <v>10134</v>
      </c>
      <c r="AN69" s="134"/>
      <c r="AO69" s="138"/>
      <c r="AP69" s="381">
        <f t="shared" si="52"/>
        <v>82</v>
      </c>
    </row>
    <row r="70" spans="1:43">
      <c r="A70" s="123">
        <v>2037</v>
      </c>
      <c r="P70" s="132">
        <f>[8]FCST!$BL44</f>
        <v>2141964.2597465403</v>
      </c>
      <c r="Q70" s="371">
        <f t="shared" si="48"/>
        <v>48765.78668486981</v>
      </c>
      <c r="R70" s="558">
        <f t="shared" si="40"/>
        <v>0.60929999999999995</v>
      </c>
      <c r="S70" s="371">
        <f>[8]FCST!$CV44</f>
        <v>80035.756909354692</v>
      </c>
      <c r="T70" s="387">
        <f>[8]FCST!$CD44</f>
        <v>1905613.2597465401</v>
      </c>
      <c r="U70" s="679">
        <f t="shared" si="49"/>
        <v>2099832.4730616705</v>
      </c>
      <c r="V70" s="374"/>
      <c r="W70" s="132">
        <f t="shared" si="50"/>
        <v>14585.606720050331</v>
      </c>
      <c r="AD70" s="123">
        <f t="shared" si="51"/>
        <v>2037</v>
      </c>
      <c r="AF70" s="132">
        <f t="shared" si="11"/>
        <v>2141964.2597465403</v>
      </c>
      <c r="AG70" s="375">
        <f t="shared" si="41"/>
        <v>86.6</v>
      </c>
      <c r="AH70" s="500">
        <v>0</v>
      </c>
      <c r="AI70" s="284"/>
      <c r="AL70" s="469">
        <v>25</v>
      </c>
      <c r="AM70" s="577">
        <f t="shared" si="44"/>
        <v>10221</v>
      </c>
      <c r="AN70" s="134"/>
      <c r="AO70" s="138"/>
      <c r="AP70" s="381">
        <f t="shared" si="52"/>
        <v>87</v>
      </c>
    </row>
    <row r="71" spans="1:43">
      <c r="A71" s="123">
        <v>2038</v>
      </c>
      <c r="P71" s="132">
        <f>[8]FCST!$BL45</f>
        <v>2157081.7161230301</v>
      </c>
      <c r="Q71" s="371">
        <f t="shared" si="48"/>
        <v>49120.40730801801</v>
      </c>
      <c r="R71" s="558">
        <f t="shared" si="40"/>
        <v>0.60929999999999995</v>
      </c>
      <c r="S71" s="371">
        <f>[8]FCST!$CV45</f>
        <v>80617.770077167268</v>
      </c>
      <c r="T71" s="387">
        <f>[8]FCST!$CD45</f>
        <v>1919470.7161230301</v>
      </c>
      <c r="U71" s="679">
        <f t="shared" si="49"/>
        <v>2114595.3088150122</v>
      </c>
      <c r="V71" s="374"/>
      <c r="W71" s="132">
        <f t="shared" si="50"/>
        <v>14762.835753341671</v>
      </c>
      <c r="AD71" s="123">
        <f t="shared" si="51"/>
        <v>2038</v>
      </c>
      <c r="AF71" s="132">
        <f t="shared" si="11"/>
        <v>2157081.7161230301</v>
      </c>
      <c r="AG71" s="375">
        <f t="shared" si="41"/>
        <v>86.6</v>
      </c>
      <c r="AH71" s="500">
        <v>0</v>
      </c>
      <c r="AI71" s="284"/>
      <c r="AL71" s="469">
        <v>25</v>
      </c>
      <c r="AM71" s="577">
        <f t="shared" si="44"/>
        <v>10310</v>
      </c>
      <c r="AN71" s="134"/>
      <c r="AO71" s="138"/>
      <c r="AP71" s="381">
        <f t="shared" si="52"/>
        <v>89</v>
      </c>
    </row>
    <row r="72" spans="1:43">
      <c r="A72" s="123">
        <v>2039</v>
      </c>
      <c r="P72" s="132">
        <f>[8]FCST!$BL46</f>
        <v>2171718.6584191602</v>
      </c>
      <c r="Q72" s="371">
        <f t="shared" si="48"/>
        <v>49464.548220141354</v>
      </c>
      <c r="R72" s="558">
        <f t="shared" si="40"/>
        <v>0.60929999999999995</v>
      </c>
      <c r="S72" s="371">
        <f>[8]FCST!$CV46</f>
        <v>81182.583653604728</v>
      </c>
      <c r="T72" s="387">
        <f>[8]FCST!$CD46</f>
        <v>1932918.6584191599</v>
      </c>
      <c r="U72" s="679">
        <f t="shared" si="49"/>
        <v>2128888.1101990188</v>
      </c>
      <c r="V72" s="374"/>
      <c r="W72" s="132">
        <f t="shared" si="50"/>
        <v>14292.801384006627</v>
      </c>
      <c r="AD72" s="123">
        <f t="shared" si="51"/>
        <v>2039</v>
      </c>
      <c r="AF72" s="132">
        <f t="shared" si="11"/>
        <v>2171718.6584191602</v>
      </c>
      <c r="AG72" s="375">
        <f t="shared" si="41"/>
        <v>86.6</v>
      </c>
      <c r="AH72" s="500">
        <v>0</v>
      </c>
      <c r="AI72" s="284"/>
      <c r="AL72" s="469">
        <v>25</v>
      </c>
      <c r="AM72" s="577">
        <f t="shared" si="44"/>
        <v>10395</v>
      </c>
      <c r="AN72" s="134"/>
      <c r="AO72" s="138"/>
      <c r="AP72" s="381">
        <f t="shared" si="52"/>
        <v>85</v>
      </c>
    </row>
    <row r="73" spans="1:43">
      <c r="A73" s="123">
        <v>2040</v>
      </c>
      <c r="P73" s="132">
        <f>[8]FCST!$BL47</f>
        <v>2186355.6007152898</v>
      </c>
      <c r="Q73" s="371">
        <f t="shared" si="48"/>
        <v>49808.689132264699</v>
      </c>
      <c r="R73" s="558">
        <f t="shared" si="40"/>
        <v>0.60929999999999995</v>
      </c>
      <c r="S73" s="371">
        <f>[8]FCST!$CV47</f>
        <v>81747.397230042188</v>
      </c>
      <c r="T73" s="387">
        <f>[8]FCST!$CD47</f>
        <v>1946366.6007152898</v>
      </c>
      <c r="U73" s="679">
        <f t="shared" si="49"/>
        <v>2143180.911583025</v>
      </c>
      <c r="V73" s="374"/>
      <c r="W73" s="132">
        <f t="shared" si="50"/>
        <v>14292.801384006161</v>
      </c>
      <c r="AD73" s="123">
        <f t="shared" si="51"/>
        <v>2040</v>
      </c>
      <c r="AF73" s="132">
        <f t="shared" si="11"/>
        <v>2186355.6007152898</v>
      </c>
      <c r="AG73" s="375">
        <f t="shared" si="41"/>
        <v>86.6</v>
      </c>
      <c r="AH73" s="500">
        <v>0</v>
      </c>
      <c r="AI73" s="284"/>
      <c r="AL73" s="469">
        <v>25</v>
      </c>
      <c r="AM73" s="577">
        <f t="shared" si="44"/>
        <v>10481</v>
      </c>
      <c r="AN73" s="134"/>
      <c r="AO73" s="138"/>
      <c r="AP73" s="381">
        <f t="shared" si="52"/>
        <v>86</v>
      </c>
    </row>
    <row r="74" spans="1:43">
      <c r="U74" s="124"/>
      <c r="X74" s="418">
        <f>ROUND(AVERAGE(X14:X43),1)</f>
        <v>86.6</v>
      </c>
      <c r="Y74" s="418">
        <f>ROUND(AVERAGE(Y14:Y43),1)</f>
        <v>86.6</v>
      </c>
      <c r="Z74" s="892" t="s">
        <v>454</v>
      </c>
      <c r="AI74" s="284"/>
    </row>
    <row r="75" spans="1:43" ht="12.75" customHeight="1">
      <c r="AD75" s="1476"/>
      <c r="AE75" s="701"/>
      <c r="AF75" s="1519"/>
      <c r="AG75" s="688"/>
      <c r="AH75" s="688"/>
      <c r="AI75" s="1519"/>
      <c r="AJ75" s="92"/>
      <c r="AK75" s="701"/>
      <c r="AL75" s="769"/>
      <c r="AM75" s="1519"/>
      <c r="AN75" s="92"/>
      <c r="AO75" s="1503"/>
      <c r="AP75" s="1503"/>
      <c r="AQ75" s="1503"/>
    </row>
    <row r="76" spans="1:43" ht="12.75" customHeight="1">
      <c r="AD76" s="1476"/>
      <c r="AE76" s="701"/>
      <c r="AF76" s="1519"/>
      <c r="AG76" s="689"/>
      <c r="AH76" s="689"/>
      <c r="AI76" s="1519"/>
      <c r="AJ76" s="92"/>
      <c r="AK76" s="118"/>
      <c r="AL76" s="93"/>
      <c r="AM76" s="1519"/>
      <c r="AN76" s="1519"/>
      <c r="AO76" s="1503"/>
      <c r="AP76" s="1503"/>
      <c r="AQ76" s="1503"/>
    </row>
    <row r="77" spans="1:43">
      <c r="AD77" s="1503"/>
      <c r="AE77" s="1503"/>
      <c r="AF77" s="1503"/>
      <c r="AG77" s="1503"/>
      <c r="AH77" s="1503"/>
      <c r="AI77" s="284"/>
      <c r="AJ77" s="1503"/>
      <c r="AK77" s="1503"/>
      <c r="AL77" s="1503"/>
      <c r="AM77" s="1503"/>
      <c r="AN77" s="1503"/>
      <c r="AO77" s="1503"/>
      <c r="AP77" s="1503"/>
      <c r="AQ77" s="1503"/>
    </row>
    <row r="78" spans="1:43">
      <c r="AI78" s="284"/>
    </row>
    <row r="79" spans="1:43">
      <c r="AI79" s="284"/>
    </row>
    <row r="80" spans="1:43">
      <c r="AI80" s="284"/>
    </row>
    <row r="81" spans="34:35">
      <c r="AI81" s="284"/>
    </row>
    <row r="82" spans="34:35">
      <c r="AI82" s="284"/>
    </row>
    <row r="83" spans="34:35">
      <c r="AI83" s="123"/>
    </row>
    <row r="84" spans="34:35">
      <c r="AI84" s="123"/>
    </row>
    <row r="85" spans="34:35">
      <c r="AH85" s="123"/>
    </row>
    <row r="86" spans="34:35">
      <c r="AH86" s="123"/>
    </row>
    <row r="87" spans="34:35">
      <c r="AH87" s="123"/>
    </row>
  </sheetData>
  <mergeCells count="1">
    <mergeCell ref="AD1:AU1"/>
  </mergeCells>
  <phoneticPr fontId="52" type="noConversion"/>
  <printOptions horizontalCentered="1"/>
  <pageMargins left="0.25" right="0.25" top="0.5" bottom="0.75" header="0" footer="0.25"/>
  <pageSetup scale="65" orientation="landscape" verticalDpi="300" r:id="rId1"/>
  <headerFooter alignWithMargins="0">
    <oddFooter>&amp;LLoad Forecasting : &amp;D&amp;R14LGBRA-NRGPOD1-6-DOC 38
14BGBRA-STAFFROG1-19A-DOC 38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I119"/>
  <sheetViews>
    <sheetView tabSelected="1" zoomScale="75" workbookViewId="0">
      <pane xSplit="4" ySplit="6" topLeftCell="E10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/>
  <cols>
    <col min="1" max="1" width="6.28515625" style="123" bestFit="1" customWidth="1"/>
    <col min="2" max="2" width="8.140625" style="123" bestFit="1" customWidth="1"/>
    <col min="3" max="3" width="4" style="123" bestFit="1" customWidth="1"/>
    <col min="4" max="4" width="5.5703125" style="123" bestFit="1" customWidth="1"/>
    <col min="5" max="5" width="8.7109375" style="123" bestFit="1" customWidth="1"/>
    <col min="6" max="6" width="10.42578125" style="123" bestFit="1" customWidth="1"/>
    <col min="7" max="7" width="11.140625" style="123" bestFit="1" customWidth="1"/>
    <col min="8" max="8" width="8.28515625" style="123" bestFit="1" customWidth="1"/>
    <col min="9" max="9" width="9.42578125" style="123" bestFit="1" customWidth="1"/>
    <col min="10" max="10" width="8.7109375" style="123" bestFit="1" customWidth="1"/>
    <col min="11" max="11" width="10" style="123" bestFit="1" customWidth="1"/>
    <col min="12" max="12" width="7.7109375" style="123" bestFit="1" customWidth="1"/>
    <col min="13" max="13" width="11.42578125" style="123" bestFit="1" customWidth="1"/>
    <col min="14" max="14" width="7.140625" style="123" bestFit="1" customWidth="1"/>
    <col min="15" max="15" width="7.7109375" style="123" bestFit="1" customWidth="1"/>
    <col min="16" max="16" width="12.7109375" style="123" bestFit="1" customWidth="1"/>
    <col min="17" max="18" width="12.7109375" style="123" customWidth="1"/>
    <col min="19" max="19" width="10.5703125" style="123" bestFit="1" customWidth="1"/>
    <col min="20" max="20" width="13.85546875" style="123" bestFit="1" customWidth="1"/>
    <col min="21" max="21" width="12.7109375" style="123" bestFit="1" customWidth="1"/>
    <col min="22" max="22" width="9.85546875" style="124" bestFit="1" customWidth="1"/>
    <col min="23" max="23" width="11" style="124" bestFit="1" customWidth="1"/>
    <col min="24" max="24" width="10.140625" style="124" customWidth="1"/>
    <col min="25" max="25" width="5.28515625" style="124" bestFit="1" customWidth="1"/>
    <col min="26" max="26" width="6.42578125" style="124" bestFit="1" customWidth="1"/>
    <col min="27" max="29" width="9.140625" style="124"/>
    <col min="30" max="30" width="7.42578125" style="124" customWidth="1"/>
    <col min="31" max="31" width="9.140625" style="124"/>
    <col min="32" max="32" width="12.42578125" style="124" bestFit="1" customWidth="1"/>
    <col min="33" max="33" width="11.42578125" style="124" bestFit="1" customWidth="1"/>
    <col min="34" max="34" width="14.140625" style="124" bestFit="1" customWidth="1"/>
    <col min="35" max="35" width="9.42578125" style="124" customWidth="1"/>
    <col min="36" max="36" width="10.7109375" style="124" bestFit="1" customWidth="1"/>
    <col min="37" max="40" width="9.140625" style="124"/>
    <col min="41" max="41" width="7.5703125" style="124" customWidth="1"/>
    <col min="42" max="42" width="11.7109375" style="124" bestFit="1" customWidth="1"/>
    <col min="43" max="43" width="16.140625" style="124" customWidth="1"/>
    <col min="44" max="44" width="12.7109375" style="124" customWidth="1"/>
    <col min="45" max="45" width="14.28515625" style="124" bestFit="1" customWidth="1"/>
    <col min="46" max="47" width="12.7109375" style="124" customWidth="1"/>
    <col min="48" max="48" width="10.28515625" style="124" bestFit="1" customWidth="1"/>
    <col min="49" max="16384" width="9.140625" style="124"/>
  </cols>
  <sheetData>
    <row r="1" spans="1:61" s="122" customFormat="1" ht="13.5" thickBot="1">
      <c r="A1" s="906" t="s">
        <v>104</v>
      </c>
      <c r="B1" s="1583"/>
      <c r="C1" s="1583"/>
      <c r="D1" s="1583"/>
      <c r="E1" s="1583"/>
      <c r="F1" s="1583"/>
      <c r="G1" s="1583"/>
      <c r="H1" s="1583"/>
      <c r="I1" s="1583"/>
      <c r="J1" s="1583"/>
      <c r="K1" s="308" t="s">
        <v>634</v>
      </c>
      <c r="L1" s="1583"/>
      <c r="M1" s="1583"/>
      <c r="N1" s="1583"/>
      <c r="O1" s="1583"/>
      <c r="P1" s="1583"/>
      <c r="Q1" s="308" t="s">
        <v>634</v>
      </c>
      <c r="R1" s="308" t="s">
        <v>634</v>
      </c>
      <c r="S1" s="308" t="s">
        <v>634</v>
      </c>
      <c r="T1" s="308" t="s">
        <v>634</v>
      </c>
      <c r="U1" s="308" t="s">
        <v>634</v>
      </c>
      <c r="V1" s="308" t="s">
        <v>634</v>
      </c>
      <c r="W1" s="308" t="s">
        <v>634</v>
      </c>
      <c r="AD1" s="1604" t="s">
        <v>113</v>
      </c>
      <c r="AE1" s="1604"/>
      <c r="AF1" s="1604"/>
      <c r="AG1" s="1604"/>
      <c r="AH1" s="1604"/>
      <c r="AI1" s="1604"/>
      <c r="AJ1" s="1604"/>
      <c r="AK1" s="1604"/>
      <c r="AL1" s="1604"/>
      <c r="AM1" s="1604"/>
      <c r="AN1" s="1604"/>
      <c r="AO1" s="1604"/>
      <c r="AP1" s="1604"/>
      <c r="AQ1" s="1604"/>
      <c r="AR1" s="1604"/>
      <c r="AS1" s="1604"/>
      <c r="AT1" s="1604"/>
      <c r="AU1" s="1604"/>
    </row>
    <row r="2" spans="1:61">
      <c r="P2" s="1190" t="str">
        <f>Feb!P2</f>
        <v>CF_201309</v>
      </c>
      <c r="R2" s="1190" t="str">
        <f>Feb!R2</f>
        <v>13_EDB_Adjmt.xlsx</v>
      </c>
      <c r="S2" s="109"/>
      <c r="T2" s="1190" t="str">
        <f>P2</f>
        <v>CF_201309</v>
      </c>
    </row>
    <row r="3" spans="1:61">
      <c r="J3" s="265" t="s">
        <v>21</v>
      </c>
      <c r="M3" s="123" t="s">
        <v>58</v>
      </c>
      <c r="Q3" s="92"/>
      <c r="R3" s="92"/>
      <c r="S3" s="92"/>
      <c r="T3" s="92"/>
    </row>
    <row r="4" spans="1:61">
      <c r="J4" s="123" t="s">
        <v>6</v>
      </c>
      <c r="M4" s="123" t="s">
        <v>6</v>
      </c>
      <c r="O4" s="123" t="s">
        <v>1</v>
      </c>
      <c r="Q4" s="353" t="s">
        <v>186</v>
      </c>
      <c r="R4" s="687">
        <f>[2]ssr!$K$182</f>
        <v>0.46189999999999998</v>
      </c>
      <c r="S4" s="370"/>
      <c r="T4" s="92"/>
      <c r="U4" s="810" t="s">
        <v>396</v>
      </c>
      <c r="AD4" s="833" t="s">
        <v>455</v>
      </c>
    </row>
    <row r="5" spans="1:61">
      <c r="J5" s="123" t="s">
        <v>61</v>
      </c>
      <c r="L5" s="123" t="s">
        <v>87</v>
      </c>
      <c r="M5" s="123" t="s">
        <v>61</v>
      </c>
      <c r="N5" s="123" t="s">
        <v>0</v>
      </c>
      <c r="O5" s="123" t="s">
        <v>6</v>
      </c>
      <c r="P5" s="810" t="s">
        <v>396</v>
      </c>
      <c r="Q5" s="351" t="s">
        <v>187</v>
      </c>
      <c r="R5" s="350" t="s">
        <v>189</v>
      </c>
      <c r="S5" s="350" t="s">
        <v>21</v>
      </c>
      <c r="T5" s="92"/>
      <c r="U5" s="309" t="s">
        <v>315</v>
      </c>
      <c r="V5" s="351" t="s">
        <v>346</v>
      </c>
      <c r="W5" s="350" t="s">
        <v>194</v>
      </c>
      <c r="X5" s="309" t="s">
        <v>214</v>
      </c>
      <c r="Y5" s="123"/>
      <c r="AE5" s="810"/>
      <c r="AG5" s="810" t="s">
        <v>407</v>
      </c>
    </row>
    <row r="6" spans="1:61" s="129" customFormat="1" ht="13.5" thickBot="1">
      <c r="A6" s="121" t="s">
        <v>9</v>
      </c>
      <c r="B6" s="121" t="s">
        <v>88</v>
      </c>
      <c r="C6" s="121" t="s">
        <v>89</v>
      </c>
      <c r="D6" s="121" t="s">
        <v>90</v>
      </c>
      <c r="E6" s="121" t="s">
        <v>91</v>
      </c>
      <c r="F6" s="121" t="s">
        <v>92</v>
      </c>
      <c r="G6" s="121" t="s">
        <v>93</v>
      </c>
      <c r="H6" s="121" t="s">
        <v>94</v>
      </c>
      <c r="I6" s="121" t="s">
        <v>95</v>
      </c>
      <c r="J6" s="121" t="s">
        <v>62</v>
      </c>
      <c r="K6" s="121" t="s">
        <v>57</v>
      </c>
      <c r="L6" s="121" t="s">
        <v>77</v>
      </c>
      <c r="M6" s="121" t="s">
        <v>59</v>
      </c>
      <c r="N6" s="324" t="s">
        <v>66</v>
      </c>
      <c r="O6" s="1211" t="s">
        <v>567</v>
      </c>
      <c r="P6" s="178" t="s">
        <v>197</v>
      </c>
      <c r="Q6" s="352" t="s">
        <v>226</v>
      </c>
      <c r="R6" s="352" t="s">
        <v>190</v>
      </c>
      <c r="S6" s="359" t="s">
        <v>188</v>
      </c>
      <c r="T6" s="479" t="s">
        <v>246</v>
      </c>
      <c r="U6" s="112" t="s">
        <v>316</v>
      </c>
      <c r="V6" s="343" t="s">
        <v>345</v>
      </c>
      <c r="W6" s="359" t="s">
        <v>169</v>
      </c>
      <c r="X6" s="128" t="s">
        <v>8</v>
      </c>
      <c r="Y6" s="857" t="s">
        <v>236</v>
      </c>
      <c r="Z6" s="178" t="s">
        <v>237</v>
      </c>
      <c r="AA6" s="128" t="s">
        <v>96</v>
      </c>
      <c r="AD6" s="121" t="s">
        <v>9</v>
      </c>
      <c r="AE6" s="128" t="s">
        <v>179</v>
      </c>
      <c r="AF6" s="121" t="s">
        <v>97</v>
      </c>
      <c r="AG6" s="128" t="s">
        <v>170</v>
      </c>
      <c r="AH6" s="178" t="s">
        <v>244</v>
      </c>
      <c r="AI6" s="300" t="s">
        <v>412</v>
      </c>
      <c r="AJ6" s="121" t="s">
        <v>98</v>
      </c>
      <c r="AK6" s="121" t="s">
        <v>99</v>
      </c>
      <c r="AL6" s="121" t="s">
        <v>100</v>
      </c>
      <c r="AM6" s="178" t="str">
        <f>Oct!AM6</f>
        <v>Fall'13</v>
      </c>
      <c r="AN6" s="178" t="str">
        <f>Oct!AN6</f>
        <v>TYSP'13</v>
      </c>
      <c r="AO6" s="178" t="str">
        <f>Oct!AO6</f>
        <v>Diff</v>
      </c>
      <c r="AP6" s="178" t="str">
        <f>Oct!AP6</f>
        <v>Yr-Yr Growth</v>
      </c>
    </row>
    <row r="7" spans="1:61">
      <c r="B7" s="139"/>
      <c r="V7" s="123"/>
      <c r="W7" s="123"/>
      <c r="X7" s="123"/>
      <c r="AA7" s="123"/>
    </row>
    <row r="8" spans="1:61">
      <c r="A8" s="123">
        <v>1975</v>
      </c>
      <c r="B8" s="139">
        <v>27722</v>
      </c>
      <c r="C8" s="976">
        <v>9</v>
      </c>
      <c r="D8" s="346" t="str">
        <f t="shared" ref="D8:D34" si="0">TEXT(WEEKDAY(B8),"ddd")</f>
        <v>Mon</v>
      </c>
      <c r="E8" s="347">
        <v>2691</v>
      </c>
      <c r="P8" s="374">
        <f>[4]Data!$I337</f>
        <v>627487</v>
      </c>
      <c r="U8" s="374">
        <f t="shared" ref="U8:U29" si="1">P8-Q8</f>
        <v>627487</v>
      </c>
      <c r="V8" s="123"/>
      <c r="X8" s="502"/>
      <c r="Y8" s="144"/>
      <c r="Z8" s="144"/>
      <c r="AA8" s="144"/>
      <c r="AD8" s="474"/>
      <c r="AE8" s="1554" t="s">
        <v>424</v>
      </c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1347" t="s">
        <v>610</v>
      </c>
      <c r="AR8" s="1332"/>
      <c r="AS8" s="1332"/>
      <c r="AT8" s="1332"/>
      <c r="AU8" s="1332"/>
      <c r="AV8" s="1332"/>
      <c r="AW8" s="908"/>
      <c r="AX8" s="474"/>
      <c r="AY8" s="474"/>
      <c r="AZ8" s="474"/>
      <c r="BA8" s="474"/>
      <c r="BB8" s="474"/>
      <c r="BC8" s="474"/>
      <c r="BD8" s="474"/>
      <c r="BE8" s="474"/>
      <c r="BF8" s="474"/>
      <c r="BG8" s="474"/>
      <c r="BH8" s="474"/>
      <c r="BI8" s="474"/>
    </row>
    <row r="9" spans="1:61">
      <c r="A9" s="123">
        <v>1976</v>
      </c>
      <c r="B9" s="139">
        <v>28094</v>
      </c>
      <c r="C9" s="123">
        <v>19</v>
      </c>
      <c r="D9" s="346" t="str">
        <f t="shared" si="0"/>
        <v>Tue</v>
      </c>
      <c r="E9" s="347">
        <v>3249</v>
      </c>
      <c r="P9" s="374">
        <f>[4]Data!$I338</f>
        <v>651031</v>
      </c>
      <c r="U9" s="374">
        <f t="shared" si="1"/>
        <v>651031</v>
      </c>
      <c r="V9" s="123"/>
      <c r="X9" s="502">
        <f>[5]Nov!$L4</f>
        <v>43.3</v>
      </c>
      <c r="Y9" s="144">
        <f>[5]Nov!$J4</f>
        <v>40.6</v>
      </c>
      <c r="Z9" s="144">
        <f>[5]Nov!$K4</f>
        <v>48.7</v>
      </c>
      <c r="AA9" s="339">
        <f>[5]Nov!$M4</f>
        <v>41.9</v>
      </c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1555"/>
      <c r="AQ9" s="1500"/>
      <c r="AR9" s="726"/>
      <c r="AS9" s="726"/>
      <c r="AT9" s="726"/>
      <c r="AU9" s="726"/>
      <c r="AV9" s="726"/>
      <c r="AW9" s="474"/>
      <c r="AX9" s="474"/>
      <c r="AY9" s="474"/>
      <c r="AZ9" s="474"/>
      <c r="BA9" s="474"/>
      <c r="BB9" s="474"/>
      <c r="BC9" s="474"/>
      <c r="BD9" s="474"/>
      <c r="BE9" s="474"/>
      <c r="BF9" s="474"/>
      <c r="BG9" s="474"/>
      <c r="BH9" s="474"/>
      <c r="BI9" s="474"/>
    </row>
    <row r="10" spans="1:61">
      <c r="A10" s="123">
        <v>1977</v>
      </c>
      <c r="B10" s="139">
        <v>28443</v>
      </c>
      <c r="C10" s="976">
        <v>8</v>
      </c>
      <c r="D10" s="346" t="str">
        <f t="shared" si="0"/>
        <v>Mon</v>
      </c>
      <c r="E10" s="347">
        <v>2529</v>
      </c>
      <c r="P10" s="374">
        <f>[4]Data!$I339</f>
        <v>678975</v>
      </c>
      <c r="U10" s="374">
        <f t="shared" si="1"/>
        <v>678975</v>
      </c>
      <c r="V10" s="123"/>
      <c r="X10" s="502">
        <f>[5]Nov!$L5</f>
        <v>50.9</v>
      </c>
      <c r="Y10" s="144">
        <f>[5]Nov!$J5</f>
        <v>48.3</v>
      </c>
      <c r="Z10" s="144">
        <f>[5]Nov!$K5</f>
        <v>56.2</v>
      </c>
      <c r="AA10" s="339">
        <f>[5]Nov!$M5</f>
        <v>47.4</v>
      </c>
      <c r="AD10" s="474"/>
      <c r="AE10" s="474"/>
      <c r="AF10" s="474"/>
      <c r="AG10" s="474"/>
      <c r="AH10" s="474"/>
      <c r="AI10" s="474"/>
      <c r="AJ10" s="474"/>
      <c r="AK10" s="474"/>
      <c r="AL10" s="474"/>
      <c r="AM10" s="474"/>
      <c r="AN10" s="474"/>
      <c r="AO10" s="474"/>
      <c r="AP10" s="474"/>
      <c r="AQ10" s="726" t="s">
        <v>19</v>
      </c>
      <c r="AR10" s="726"/>
      <c r="AS10" s="726"/>
      <c r="AT10" s="726"/>
      <c r="AU10" s="726"/>
      <c r="AV10" s="726"/>
      <c r="AW10" s="474"/>
      <c r="AX10" s="474"/>
      <c r="AY10" s="474"/>
      <c r="AZ10" s="474"/>
      <c r="BA10" s="474"/>
      <c r="BB10" s="474"/>
      <c r="BC10" s="474"/>
      <c r="BD10" s="474"/>
      <c r="BE10" s="474"/>
      <c r="BF10" s="474"/>
      <c r="BG10" s="474"/>
      <c r="BH10" s="474"/>
      <c r="BI10" s="474"/>
    </row>
    <row r="11" spans="1:61">
      <c r="A11" s="123">
        <v>1978</v>
      </c>
      <c r="B11" s="139">
        <v>28823</v>
      </c>
      <c r="C11" s="131">
        <v>19</v>
      </c>
      <c r="D11" s="346" t="str">
        <f t="shared" si="0"/>
        <v>Wed</v>
      </c>
      <c r="E11" s="347">
        <v>2577</v>
      </c>
      <c r="F11" s="132"/>
      <c r="G11" s="132"/>
      <c r="H11" s="132"/>
      <c r="I11" s="132"/>
      <c r="J11" s="133"/>
      <c r="K11" s="132"/>
      <c r="L11" s="133"/>
      <c r="M11" s="133"/>
      <c r="N11" s="133"/>
      <c r="O11" s="133"/>
      <c r="P11" s="374">
        <f>[4]Data!$I340</f>
        <v>710888</v>
      </c>
      <c r="U11" s="374">
        <f t="shared" si="1"/>
        <v>710888</v>
      </c>
      <c r="V11" s="132"/>
      <c r="X11" s="339">
        <f>[5]Nov!$L6</f>
        <v>76.2</v>
      </c>
      <c r="Y11" s="891">
        <f>[5]Nov!$J6</f>
        <v>76.8</v>
      </c>
      <c r="Z11" s="144">
        <f>[5]Nov!$K6</f>
        <v>74.900000000000006</v>
      </c>
      <c r="AA11" s="417">
        <f>[5]Nov!$M6</f>
        <v>80.900000000000006</v>
      </c>
      <c r="AC11" s="295"/>
      <c r="AD11" s="474"/>
      <c r="AE11" s="474"/>
      <c r="AF11" s="474"/>
      <c r="AG11" s="474"/>
      <c r="AH11" s="474"/>
      <c r="AI11" s="474"/>
      <c r="AJ11" s="474"/>
      <c r="AK11" s="474"/>
      <c r="AL11" s="474"/>
      <c r="AM11" s="474"/>
      <c r="AN11" s="474"/>
      <c r="AO11" s="474"/>
      <c r="AP11" s="474"/>
      <c r="AQ11" s="1"/>
      <c r="AR11" s="474"/>
      <c r="AS11" s="474"/>
      <c r="AT11" s="726"/>
      <c r="AU11" s="726"/>
      <c r="AV11" s="726"/>
      <c r="AW11" s="474"/>
      <c r="AX11" s="474"/>
      <c r="AY11" s="474"/>
      <c r="AZ11" s="474"/>
      <c r="BA11" s="474"/>
      <c r="BB11" s="474"/>
      <c r="BC11" s="474"/>
      <c r="BD11" s="474"/>
      <c r="BE11" s="474"/>
      <c r="BF11" s="474"/>
      <c r="BG11" s="474"/>
      <c r="BH11" s="474"/>
      <c r="BI11" s="474"/>
    </row>
    <row r="12" spans="1:61" ht="13.5" thickBot="1">
      <c r="A12" s="419">
        <v>1979</v>
      </c>
      <c r="B12" s="420">
        <v>29189</v>
      </c>
      <c r="C12" s="978">
        <v>9</v>
      </c>
      <c r="D12" s="401" t="str">
        <f t="shared" si="0"/>
        <v>Fri</v>
      </c>
      <c r="E12" s="402">
        <v>3541</v>
      </c>
      <c r="F12" s="421">
        <v>2945</v>
      </c>
      <c r="G12" s="421"/>
      <c r="H12" s="421"/>
      <c r="I12" s="421"/>
      <c r="J12" s="422"/>
      <c r="K12" s="421"/>
      <c r="L12" s="422"/>
      <c r="M12" s="422"/>
      <c r="N12" s="422"/>
      <c r="O12" s="422"/>
      <c r="P12" s="374">
        <f>[4]Data!$I341</f>
        <v>748604</v>
      </c>
      <c r="Q12" s="419"/>
      <c r="R12" s="419"/>
      <c r="S12" s="419"/>
      <c r="T12" s="419"/>
      <c r="U12" s="631">
        <f t="shared" si="1"/>
        <v>748604</v>
      </c>
      <c r="V12" s="421"/>
      <c r="W12" s="632"/>
      <c r="X12" s="503">
        <f>[5]Nov!$L7</f>
        <v>43.4</v>
      </c>
      <c r="Y12" s="633">
        <f>[5]Nov!$J7</f>
        <v>40.6</v>
      </c>
      <c r="Z12" s="633">
        <f>[5]Nov!$K7</f>
        <v>49.1</v>
      </c>
      <c r="AA12" s="330">
        <f>[5]Nov!$M7</f>
        <v>39.299999999999997</v>
      </c>
      <c r="AC12" s="295"/>
      <c r="AD12" s="474"/>
      <c r="AE12" s="474"/>
      <c r="AF12" s="474"/>
      <c r="AG12" s="474"/>
      <c r="AH12" s="474"/>
      <c r="AI12" s="474"/>
      <c r="AJ12" s="474"/>
      <c r="AK12" s="474"/>
      <c r="AL12" s="474"/>
      <c r="AM12" s="474"/>
      <c r="AN12" s="474"/>
      <c r="AO12" s="474"/>
      <c r="AP12" s="474"/>
      <c r="AQ12" s="1556" t="s">
        <v>171</v>
      </c>
      <c r="AR12" s="1142" t="s">
        <v>411</v>
      </c>
      <c r="AS12" s="1143" t="s">
        <v>244</v>
      </c>
      <c r="AT12" s="1143" t="s">
        <v>170</v>
      </c>
      <c r="AU12" s="1143" t="s">
        <v>169</v>
      </c>
      <c r="AV12" s="1143" t="s">
        <v>22</v>
      </c>
      <c r="AW12" s="474"/>
      <c r="AX12" s="474"/>
      <c r="AY12" s="474"/>
      <c r="AZ12" s="474"/>
      <c r="BA12" s="474"/>
      <c r="BB12" s="474"/>
      <c r="BC12" s="1430" t="s">
        <v>9</v>
      </c>
      <c r="BD12" s="1557" t="s">
        <v>232</v>
      </c>
      <c r="BE12" s="1558" t="s">
        <v>231</v>
      </c>
      <c r="BF12" s="1558" t="s">
        <v>230</v>
      </c>
      <c r="BG12" s="1559" t="s">
        <v>233</v>
      </c>
      <c r="BH12" s="1559" t="s">
        <v>229</v>
      </c>
      <c r="BI12" s="474"/>
    </row>
    <row r="13" spans="1:61">
      <c r="A13" s="123">
        <v>1980</v>
      </c>
      <c r="B13" s="139">
        <v>29554</v>
      </c>
      <c r="C13" s="977">
        <v>9</v>
      </c>
      <c r="D13" s="346" t="str">
        <f t="shared" si="0"/>
        <v>Sat</v>
      </c>
      <c r="E13" s="134">
        <f>[6]Hist!G15</f>
        <v>3084</v>
      </c>
      <c r="F13" s="134">
        <f>[6]Hist!H15</f>
        <v>2631</v>
      </c>
      <c r="G13" s="164">
        <f>SUM([6]Hist!M15:O15)</f>
        <v>0</v>
      </c>
      <c r="H13" s="164">
        <f>[6]Hist!L15</f>
        <v>0</v>
      </c>
      <c r="I13" s="164">
        <f>[6]Hist!P15</f>
        <v>0</v>
      </c>
      <c r="J13" s="133">
        <f>SUM(F13:I13)</f>
        <v>2631</v>
      </c>
      <c r="K13" s="164">
        <f>[6]Hist!U15</f>
        <v>0</v>
      </c>
      <c r="L13" s="164">
        <f>[6]Hist!V15</f>
        <v>0</v>
      </c>
      <c r="M13" s="133">
        <f>SUM(J13:K13)</f>
        <v>2631</v>
      </c>
      <c r="N13" s="340">
        <v>150</v>
      </c>
      <c r="O13" s="1377">
        <f>J13-N13-L13</f>
        <v>2481</v>
      </c>
      <c r="P13" s="374">
        <f>[4]Data!$I342</f>
        <v>784440</v>
      </c>
      <c r="U13" s="374">
        <f t="shared" si="1"/>
        <v>784440</v>
      </c>
      <c r="V13" s="132"/>
      <c r="X13" s="502">
        <f>[5]Nov!$L8</f>
        <v>48.6</v>
      </c>
      <c r="Y13" s="144">
        <f>[5]Nov!$J8</f>
        <v>48.6</v>
      </c>
      <c r="Z13" s="144">
        <f>[5]Nov!$K8</f>
        <v>48.7</v>
      </c>
      <c r="AA13" s="339">
        <f>[5]Nov!$M8</f>
        <v>46.4</v>
      </c>
      <c r="AD13" s="696">
        <f>A13</f>
        <v>1980</v>
      </c>
      <c r="AE13" s="570"/>
      <c r="AF13" s="652"/>
      <c r="AG13" s="641"/>
      <c r="AH13" s="569"/>
      <c r="AI13" s="569"/>
      <c r="AJ13" s="569"/>
      <c r="AK13" s="569"/>
      <c r="AL13" s="474"/>
      <c r="AM13" s="474"/>
      <c r="AN13" s="474"/>
      <c r="AO13" s="474"/>
      <c r="AP13" s="474"/>
      <c r="AQ13" s="280" t="s">
        <v>172</v>
      </c>
      <c r="AR13" s="249">
        <f t="array" ref="AR13:AV18">LINEST(AE21:AE34,AF21:AI34,TRUE,TRUE)</f>
        <v>-585.12065959108054</v>
      </c>
      <c r="AS13" s="1560">
        <v>-713.63105584126538</v>
      </c>
      <c r="AT13" s="1560">
        <v>58.846468491047538</v>
      </c>
      <c r="AU13" s="1561">
        <v>3.6664321888979141E-3</v>
      </c>
      <c r="AV13" s="1210">
        <v>-4743.3440090670283</v>
      </c>
      <c r="AW13" s="474"/>
      <c r="AX13" s="474"/>
      <c r="AY13" s="474"/>
      <c r="AZ13" s="474"/>
      <c r="BA13" s="474"/>
      <c r="BB13" s="474"/>
      <c r="BC13" s="696">
        <f t="shared" ref="BC13:BC31" si="2">AD13</f>
        <v>1980</v>
      </c>
      <c r="BD13" s="569"/>
      <c r="BE13" s="570"/>
      <c r="BF13" s="1431"/>
      <c r="BG13" s="570"/>
      <c r="BH13" s="1431"/>
      <c r="BI13" s="696"/>
    </row>
    <row r="14" spans="1:61">
      <c r="A14" s="123">
        <v>1981</v>
      </c>
      <c r="B14" s="139">
        <v>29913</v>
      </c>
      <c r="C14" s="977">
        <v>8</v>
      </c>
      <c r="D14" s="346" t="str">
        <f t="shared" si="0"/>
        <v>Mon</v>
      </c>
      <c r="E14" s="134">
        <f>[6]Hist!G27</f>
        <v>3842</v>
      </c>
      <c r="F14" s="134">
        <f>[6]Hist!H27</f>
        <v>3140</v>
      </c>
      <c r="G14" s="164">
        <f>SUM([6]Hist!M27:O27)</f>
        <v>0</v>
      </c>
      <c r="H14" s="164">
        <f>[6]Hist!L27</f>
        <v>0</v>
      </c>
      <c r="I14" s="164">
        <f>[6]Hist!P27</f>
        <v>0</v>
      </c>
      <c r="J14" s="133">
        <f t="shared" ref="J14:J31" si="3">SUM(F14:I14)</f>
        <v>3140</v>
      </c>
      <c r="K14" s="164">
        <f>[6]Hist!U27</f>
        <v>0</v>
      </c>
      <c r="L14" s="164">
        <f>[6]Hist!V27</f>
        <v>11</v>
      </c>
      <c r="M14" s="133">
        <f t="shared" ref="M14:M39" si="4">SUM(J14:K14)</f>
        <v>3140</v>
      </c>
      <c r="N14" s="340">
        <v>150</v>
      </c>
      <c r="O14" s="1377">
        <f t="shared" ref="O14:O45" si="5">J14-N14-L14</f>
        <v>2979</v>
      </c>
      <c r="P14" s="374">
        <f>[4]Data!$I343</f>
        <v>813951</v>
      </c>
      <c r="U14" s="374">
        <f t="shared" si="1"/>
        <v>813951</v>
      </c>
      <c r="V14" s="132"/>
      <c r="X14" s="502">
        <f>[5]Nov!$L9</f>
        <v>43.5</v>
      </c>
      <c r="Y14" s="144">
        <f>[5]Nov!$J9</f>
        <v>40.299999999999997</v>
      </c>
      <c r="Z14" s="144">
        <f>[5]Nov!$K9</f>
        <v>49.9</v>
      </c>
      <c r="AA14" s="339">
        <f>[5]Nov!$M9</f>
        <v>39.700000000000003</v>
      </c>
      <c r="AD14" s="696">
        <f>A14</f>
        <v>1981</v>
      </c>
      <c r="AE14" s="570"/>
      <c r="AF14" s="652"/>
      <c r="AG14" s="641"/>
      <c r="AH14" s="569"/>
      <c r="AI14" s="569"/>
      <c r="AJ14" s="569"/>
      <c r="AK14" s="569"/>
      <c r="AL14" s="474"/>
      <c r="AM14" s="474"/>
      <c r="AN14" s="474"/>
      <c r="AO14" s="646"/>
      <c r="AP14" s="322"/>
      <c r="AQ14" s="281" t="s">
        <v>173</v>
      </c>
      <c r="AR14" s="1330">
        <v>129.65199446805281</v>
      </c>
      <c r="AS14" s="1330">
        <v>155.02463301701661</v>
      </c>
      <c r="AT14" s="1330">
        <v>16.887838061917968</v>
      </c>
      <c r="AU14" s="1330">
        <v>5.0132064643189768E-4</v>
      </c>
      <c r="AV14" s="1330">
        <v>1234.16907067385</v>
      </c>
      <c r="AW14" s="726"/>
      <c r="AX14" s="726"/>
      <c r="AY14" s="474"/>
      <c r="AZ14" s="474"/>
      <c r="BA14" s="474"/>
      <c r="BB14" s="474"/>
      <c r="BC14" s="696">
        <f t="shared" si="2"/>
        <v>1981</v>
      </c>
      <c r="BD14" s="1431"/>
      <c r="BE14" s="570"/>
      <c r="BF14" s="1431"/>
      <c r="BG14" s="570"/>
      <c r="BH14" s="1431"/>
      <c r="BI14" s="474"/>
    </row>
    <row r="15" spans="1:61">
      <c r="A15" s="123">
        <v>1982</v>
      </c>
      <c r="B15" s="139">
        <v>30258</v>
      </c>
      <c r="C15" s="131">
        <v>19</v>
      </c>
      <c r="D15" s="346" t="str">
        <f t="shared" si="0"/>
        <v>Wed</v>
      </c>
      <c r="E15" s="134">
        <f>[6]Hist!G39</f>
        <v>3031</v>
      </c>
      <c r="F15" s="134">
        <f>[6]Hist!H39</f>
        <v>2491</v>
      </c>
      <c r="G15" s="164">
        <f>SUM([6]Hist!M39:O39)</f>
        <v>0</v>
      </c>
      <c r="H15" s="164">
        <f>[6]Hist!L39</f>
        <v>0</v>
      </c>
      <c r="I15" s="164">
        <f>[6]Hist!P39</f>
        <v>0</v>
      </c>
      <c r="J15" s="133">
        <f t="shared" si="3"/>
        <v>2491</v>
      </c>
      <c r="K15" s="164">
        <f>[6]Hist!U39</f>
        <v>20</v>
      </c>
      <c r="L15" s="164">
        <f>[6]Hist!V39</f>
        <v>12</v>
      </c>
      <c r="M15" s="133">
        <f t="shared" si="4"/>
        <v>2511</v>
      </c>
      <c r="N15" s="340">
        <v>150</v>
      </c>
      <c r="O15" s="1377">
        <f t="shared" si="5"/>
        <v>2329</v>
      </c>
      <c r="P15" s="374">
        <f>[4]Data!$I344</f>
        <v>840719</v>
      </c>
      <c r="U15" s="374">
        <f t="shared" si="1"/>
        <v>840719</v>
      </c>
      <c r="V15" s="132"/>
      <c r="X15" s="339">
        <f>[5]Nov!$L10</f>
        <v>75.900000000000006</v>
      </c>
      <c r="Y15" s="891">
        <f>[5]Nov!$J10</f>
        <v>76.400000000000006</v>
      </c>
      <c r="Z15" s="144">
        <f>[5]Nov!$K10</f>
        <v>74.900000000000006</v>
      </c>
      <c r="AA15" s="417">
        <f>[5]Nov!$M10</f>
        <v>78.900000000000006</v>
      </c>
      <c r="AD15" s="860">
        <f>A15</f>
        <v>1982</v>
      </c>
      <c r="AE15" s="570">
        <f>O15</f>
        <v>2329</v>
      </c>
      <c r="AF15" s="652">
        <f>P15</f>
        <v>840719</v>
      </c>
      <c r="AG15" s="1562">
        <f>Y15</f>
        <v>76.400000000000006</v>
      </c>
      <c r="AH15" s="569">
        <v>0</v>
      </c>
      <c r="AI15" s="569">
        <v>0</v>
      </c>
      <c r="AJ15" s="569">
        <f>ROUND($AV$13+$AU$13*$AF15+$AT$13*$AG15+$AS$13*$AH15+$AR$13*$AI15,0)</f>
        <v>2835</v>
      </c>
      <c r="AK15" s="569">
        <f t="shared" ref="AK15:AK27" si="6">AE15-AJ15</f>
        <v>-506</v>
      </c>
      <c r="AL15" s="474"/>
      <c r="AM15" s="474"/>
      <c r="AN15" s="474"/>
      <c r="AO15" s="646"/>
      <c r="AP15" s="322"/>
      <c r="AQ15" s="281" t="s">
        <v>174</v>
      </c>
      <c r="AR15" s="257">
        <v>0.92467145092522784</v>
      </c>
      <c r="AS15" s="257">
        <v>189.81514187140223</v>
      </c>
      <c r="AT15" s="1563" t="e">
        <v>#N/A</v>
      </c>
      <c r="AU15" s="1563" t="e">
        <v>#N/A</v>
      </c>
      <c r="AV15" s="1563" t="e">
        <v>#N/A</v>
      </c>
      <c r="AW15" s="726"/>
      <c r="AX15" s="726"/>
      <c r="AY15" s="474"/>
      <c r="AZ15" s="474"/>
      <c r="BA15" s="474"/>
      <c r="BB15" s="474"/>
      <c r="BC15" s="696">
        <f t="shared" si="2"/>
        <v>1982</v>
      </c>
      <c r="BD15" s="569">
        <f t="shared" ref="BD15:BD34" si="7">ROUND($AV$13+$AU$13*$AF15+$AT$13*$Y$74+$AS$13*$AH15+$AR$13*$AI15,0)</f>
        <v>3031</v>
      </c>
      <c r="BE15" s="570">
        <f t="shared" ref="BE15:BE31" si="8">AE15</f>
        <v>2329</v>
      </c>
      <c r="BF15" s="1431">
        <f t="shared" ref="BF15:BF27" si="9">BD15-BE15</f>
        <v>702</v>
      </c>
      <c r="BG15" s="570">
        <f t="shared" ref="BG15:BG31" si="10">AJ15</f>
        <v>2835</v>
      </c>
      <c r="BH15" s="1431">
        <f t="shared" ref="BH15:BH27" si="11">BD15-BG15</f>
        <v>196</v>
      </c>
      <c r="BI15" s="474"/>
    </row>
    <row r="16" spans="1:61">
      <c r="A16" s="123">
        <v>1983</v>
      </c>
      <c r="B16" s="139">
        <v>30638</v>
      </c>
      <c r="C16" s="977">
        <v>8</v>
      </c>
      <c r="D16" s="346" t="str">
        <f t="shared" si="0"/>
        <v>Fri</v>
      </c>
      <c r="E16" s="134">
        <f>[6]Hist!G51</f>
        <v>3645</v>
      </c>
      <c r="F16" s="134">
        <f>[6]Hist!H51</f>
        <v>2968</v>
      </c>
      <c r="G16" s="164">
        <f>SUM([6]Hist!M51:O51)</f>
        <v>0</v>
      </c>
      <c r="H16" s="164">
        <f>[6]Hist!L51</f>
        <v>0</v>
      </c>
      <c r="I16" s="164">
        <f>[6]Hist!P51</f>
        <v>0</v>
      </c>
      <c r="J16" s="133">
        <f t="shared" si="3"/>
        <v>2968</v>
      </c>
      <c r="K16" s="164">
        <f>[6]Hist!U51</f>
        <v>38</v>
      </c>
      <c r="L16" s="164">
        <f>[6]Hist!V51</f>
        <v>36</v>
      </c>
      <c r="M16" s="133">
        <f t="shared" si="4"/>
        <v>3006</v>
      </c>
      <c r="N16" s="340">
        <v>150</v>
      </c>
      <c r="O16" s="1377">
        <f t="shared" si="5"/>
        <v>2782</v>
      </c>
      <c r="P16" s="374">
        <f>[4]Data!$I345</f>
        <v>873991</v>
      </c>
      <c r="U16" s="374">
        <f t="shared" si="1"/>
        <v>873991</v>
      </c>
      <c r="V16" s="132"/>
      <c r="X16" s="502">
        <f>[5]Nov!$L11</f>
        <v>45.6</v>
      </c>
      <c r="Y16" s="144">
        <f>[5]Nov!$J11</f>
        <v>43.1</v>
      </c>
      <c r="Z16" s="144">
        <f>[5]Nov!$K11</f>
        <v>50.8</v>
      </c>
      <c r="AA16" s="339">
        <f>[5]Nov!$M11</f>
        <v>42.4</v>
      </c>
      <c r="AD16" s="860">
        <f>A18</f>
        <v>1985</v>
      </c>
      <c r="AE16" s="570">
        <f>O18</f>
        <v>2705</v>
      </c>
      <c r="AF16" s="652">
        <f>P18</f>
        <v>953362</v>
      </c>
      <c r="AG16" s="1562">
        <f>Y18</f>
        <v>77.599999999999994</v>
      </c>
      <c r="AH16" s="569">
        <v>0</v>
      </c>
      <c r="AI16" s="569">
        <v>0</v>
      </c>
      <c r="AJ16" s="569">
        <f t="shared" ref="AJ16:AJ30" si="12">ROUND($AV$13+$AU$13*$AF16+$AT$13*$AG16+$AS$13*$AH16+$AR$13*$AI16,0)</f>
        <v>3319</v>
      </c>
      <c r="AK16" s="569">
        <f t="shared" si="6"/>
        <v>-614</v>
      </c>
      <c r="AL16" s="569"/>
      <c r="AM16" s="569"/>
      <c r="AN16" s="474"/>
      <c r="AO16" s="135"/>
      <c r="AP16" s="322">
        <f t="shared" ref="AP16:AP34" si="13">AE16-AE15</f>
        <v>376</v>
      </c>
      <c r="AQ16" s="281" t="s">
        <v>175</v>
      </c>
      <c r="AR16" s="254">
        <v>27.619153563101541</v>
      </c>
      <c r="AS16" s="1564">
        <v>9</v>
      </c>
      <c r="AT16" s="1563" t="e">
        <v>#N/A</v>
      </c>
      <c r="AU16" s="1563" t="e">
        <v>#N/A</v>
      </c>
      <c r="AV16" s="1563" t="e">
        <v>#N/A</v>
      </c>
      <c r="AW16" s="726"/>
      <c r="AX16" s="726"/>
      <c r="AY16" s="474"/>
      <c r="AZ16" s="474"/>
      <c r="BA16" s="474"/>
      <c r="BB16" s="474"/>
      <c r="BC16" s="696">
        <f t="shared" si="2"/>
        <v>1985</v>
      </c>
      <c r="BD16" s="569">
        <f t="shared" si="7"/>
        <v>3444</v>
      </c>
      <c r="BE16" s="570">
        <f t="shared" si="8"/>
        <v>2705</v>
      </c>
      <c r="BF16" s="1431">
        <f t="shared" si="9"/>
        <v>739</v>
      </c>
      <c r="BG16" s="570">
        <f t="shared" si="10"/>
        <v>3319</v>
      </c>
      <c r="BH16" s="1431">
        <f t="shared" si="11"/>
        <v>125</v>
      </c>
      <c r="BI16" s="474"/>
    </row>
    <row r="17" spans="1:61">
      <c r="A17" s="123">
        <v>1984</v>
      </c>
      <c r="B17" s="139">
        <v>31000</v>
      </c>
      <c r="C17" s="977">
        <v>8</v>
      </c>
      <c r="D17" s="346" t="str">
        <f t="shared" si="0"/>
        <v>Wed</v>
      </c>
      <c r="E17" s="134">
        <f>[6]Hist!G63</f>
        <v>3561</v>
      </c>
      <c r="F17" s="134">
        <f>[6]Hist!H63</f>
        <v>3117</v>
      </c>
      <c r="G17" s="164">
        <f>SUM([6]Hist!M63:O63)</f>
        <v>0</v>
      </c>
      <c r="H17" s="164">
        <f>[6]Hist!L63</f>
        <v>0</v>
      </c>
      <c r="I17" s="164">
        <f>[6]Hist!P63</f>
        <v>0</v>
      </c>
      <c r="J17" s="133">
        <f t="shared" si="3"/>
        <v>3117</v>
      </c>
      <c r="K17" s="164">
        <f>[6]Hist!U63</f>
        <v>57</v>
      </c>
      <c r="L17" s="164">
        <f>[6]Hist!V63</f>
        <v>36</v>
      </c>
      <c r="M17" s="133">
        <f t="shared" si="4"/>
        <v>3174</v>
      </c>
      <c r="N17" s="416">
        <f>[6]Hist!AA63</f>
        <v>121</v>
      </c>
      <c r="O17" s="1377">
        <f t="shared" si="5"/>
        <v>2960</v>
      </c>
      <c r="P17" s="374">
        <f>[4]Data!$I346</f>
        <v>915484</v>
      </c>
      <c r="U17" s="374">
        <f t="shared" si="1"/>
        <v>915484</v>
      </c>
      <c r="V17" s="132"/>
      <c r="X17" s="502">
        <f>[5]Nov!$L12</f>
        <v>47.6</v>
      </c>
      <c r="Y17" s="144">
        <f>[5]Nov!$J12</f>
        <v>45.1</v>
      </c>
      <c r="Z17" s="144">
        <f>[5]Nov!$K12</f>
        <v>52.7</v>
      </c>
      <c r="AA17" s="339">
        <f>[5]Nov!$M12</f>
        <v>44.1</v>
      </c>
      <c r="AD17" s="860">
        <f>A19</f>
        <v>1986</v>
      </c>
      <c r="AE17" s="570">
        <f>O19</f>
        <v>3045</v>
      </c>
      <c r="AF17" s="652">
        <f>P19</f>
        <v>994904</v>
      </c>
      <c r="AG17" s="1562">
        <f>Y19</f>
        <v>78.5</v>
      </c>
      <c r="AH17" s="569">
        <v>0</v>
      </c>
      <c r="AI17" s="569">
        <v>0</v>
      </c>
      <c r="AJ17" s="569">
        <f t="shared" si="12"/>
        <v>3524</v>
      </c>
      <c r="AK17" s="569">
        <f t="shared" si="6"/>
        <v>-479</v>
      </c>
      <c r="AL17" s="569"/>
      <c r="AM17" s="569"/>
      <c r="AN17" s="474"/>
      <c r="AO17" s="135"/>
      <c r="AP17" s="322">
        <f t="shared" si="13"/>
        <v>340</v>
      </c>
      <c r="AQ17" s="281" t="s">
        <v>176</v>
      </c>
      <c r="AR17" s="1564">
        <v>3980448.9997145082</v>
      </c>
      <c r="AS17" s="1564">
        <v>324268.09275294503</v>
      </c>
      <c r="AT17" s="1563" t="e">
        <v>#N/A</v>
      </c>
      <c r="AU17" s="1563" t="e">
        <v>#N/A</v>
      </c>
      <c r="AV17" s="1563" t="e">
        <v>#N/A</v>
      </c>
      <c r="AW17" s="726"/>
      <c r="AX17" s="726"/>
      <c r="AY17" s="474"/>
      <c r="AZ17" s="474"/>
      <c r="BA17" s="474"/>
      <c r="BB17" s="474"/>
      <c r="BC17" s="696">
        <f t="shared" si="2"/>
        <v>1986</v>
      </c>
      <c r="BD17" s="569">
        <f t="shared" si="7"/>
        <v>3596</v>
      </c>
      <c r="BE17" s="570">
        <f t="shared" si="8"/>
        <v>3045</v>
      </c>
      <c r="BF17" s="1431">
        <f t="shared" si="9"/>
        <v>551</v>
      </c>
      <c r="BG17" s="570">
        <f t="shared" si="10"/>
        <v>3524</v>
      </c>
      <c r="BH17" s="1431">
        <f t="shared" si="11"/>
        <v>72</v>
      </c>
      <c r="BI17" s="474"/>
    </row>
    <row r="18" spans="1:61">
      <c r="A18" s="123">
        <v>1985</v>
      </c>
      <c r="B18" s="139">
        <v>31364</v>
      </c>
      <c r="C18" s="131">
        <v>19</v>
      </c>
      <c r="D18" s="346" t="str">
        <f t="shared" si="0"/>
        <v>Wed</v>
      </c>
      <c r="E18" s="134">
        <f>[6]Hist!G75</f>
        <v>3154</v>
      </c>
      <c r="F18" s="134">
        <f>[6]Hist!H75</f>
        <v>2917</v>
      </c>
      <c r="G18" s="164">
        <f>SUM([6]Hist!M75:O75)</f>
        <v>0</v>
      </c>
      <c r="H18" s="164">
        <f>[6]Hist!L75</f>
        <v>0</v>
      </c>
      <c r="I18" s="164">
        <f>[6]Hist!P75</f>
        <v>0</v>
      </c>
      <c r="J18" s="133">
        <f t="shared" si="3"/>
        <v>2917</v>
      </c>
      <c r="K18" s="164">
        <f>[6]Hist!U75</f>
        <v>72</v>
      </c>
      <c r="L18" s="164">
        <f>[6]Hist!V75</f>
        <v>42</v>
      </c>
      <c r="M18" s="133">
        <f t="shared" si="4"/>
        <v>2989</v>
      </c>
      <c r="N18" s="164">
        <f>[6]Hist!AA75</f>
        <v>170</v>
      </c>
      <c r="O18" s="1377">
        <f t="shared" si="5"/>
        <v>2705</v>
      </c>
      <c r="P18" s="374">
        <f>[4]Data!$I347</f>
        <v>953362</v>
      </c>
      <c r="U18" s="374">
        <f t="shared" si="1"/>
        <v>953362</v>
      </c>
      <c r="V18" s="132"/>
      <c r="X18" s="339">
        <f>[5]Nov!$L13</f>
        <v>76.599999999999994</v>
      </c>
      <c r="Y18" s="891">
        <f>[5]Nov!$J13</f>
        <v>77.599999999999994</v>
      </c>
      <c r="Z18" s="144">
        <f>[5]Nov!$K13</f>
        <v>74.7</v>
      </c>
      <c r="AA18" s="417">
        <f>[5]Nov!$M13</f>
        <v>80.8</v>
      </c>
      <c r="AD18" s="860">
        <f>A21</f>
        <v>1988</v>
      </c>
      <c r="AE18" s="570">
        <f t="shared" ref="AE18:AF20" si="14">O21</f>
        <v>2927</v>
      </c>
      <c r="AF18" s="652">
        <f t="shared" si="14"/>
        <v>1074515</v>
      </c>
      <c r="AG18" s="1565">
        <f>Y21-2</f>
        <v>75</v>
      </c>
      <c r="AH18" s="569">
        <v>0</v>
      </c>
      <c r="AI18" s="500">
        <v>0</v>
      </c>
      <c r="AJ18" s="569">
        <f t="shared" si="12"/>
        <v>3610</v>
      </c>
      <c r="AK18" s="569">
        <f t="shared" si="6"/>
        <v>-683</v>
      </c>
      <c r="AL18" s="569"/>
      <c r="AM18" s="569"/>
      <c r="AN18" s="474"/>
      <c r="AO18" s="135"/>
      <c r="AP18" s="322">
        <f t="shared" si="13"/>
        <v>-118</v>
      </c>
      <c r="AQ18" s="262" t="s">
        <v>177</v>
      </c>
      <c r="AR18" s="263" t="e">
        <v>#N/A</v>
      </c>
      <c r="AS18" s="263" t="e">
        <v>#N/A</v>
      </c>
      <c r="AT18" s="263" t="e">
        <v>#N/A</v>
      </c>
      <c r="AU18" s="263" t="e">
        <v>#N/A</v>
      </c>
      <c r="AV18" s="263" t="e">
        <v>#N/A</v>
      </c>
      <c r="AW18" s="726"/>
      <c r="AX18" s="726"/>
      <c r="AY18" s="474"/>
      <c r="AZ18" s="474"/>
      <c r="BA18" s="474"/>
      <c r="BB18" s="474"/>
      <c r="BC18" s="696">
        <f t="shared" si="2"/>
        <v>1988</v>
      </c>
      <c r="BD18" s="569">
        <f t="shared" si="7"/>
        <v>3888</v>
      </c>
      <c r="BE18" s="570">
        <f t="shared" si="8"/>
        <v>2927</v>
      </c>
      <c r="BF18" s="1431">
        <f t="shared" si="9"/>
        <v>961</v>
      </c>
      <c r="BG18" s="570">
        <f t="shared" si="10"/>
        <v>3610</v>
      </c>
      <c r="BH18" s="1431">
        <f t="shared" si="11"/>
        <v>278</v>
      </c>
      <c r="BI18" s="474"/>
    </row>
    <row r="19" spans="1:61">
      <c r="A19" s="123">
        <v>1986</v>
      </c>
      <c r="B19" s="139">
        <v>31728</v>
      </c>
      <c r="C19" s="131">
        <v>19</v>
      </c>
      <c r="D19" s="346" t="str">
        <f t="shared" si="0"/>
        <v>Wed</v>
      </c>
      <c r="E19" s="134">
        <f>[6]Hist!G87</f>
        <v>3521</v>
      </c>
      <c r="F19" s="134">
        <f>[6]Hist!H87</f>
        <v>3348</v>
      </c>
      <c r="G19" s="164">
        <f>SUM([6]Hist!M87:O87)</f>
        <v>0</v>
      </c>
      <c r="H19" s="164">
        <f>[6]Hist!L87</f>
        <v>0</v>
      </c>
      <c r="I19" s="164">
        <f>[6]Hist!P87</f>
        <v>0</v>
      </c>
      <c r="J19" s="133">
        <f t="shared" si="3"/>
        <v>3348</v>
      </c>
      <c r="K19" s="164">
        <f>[6]Hist!U87</f>
        <v>83</v>
      </c>
      <c r="L19" s="164">
        <f>[6]Hist!V87</f>
        <v>51</v>
      </c>
      <c r="M19" s="133">
        <f t="shared" si="4"/>
        <v>3431</v>
      </c>
      <c r="N19" s="164">
        <f>[6]Hist!AA87</f>
        <v>252</v>
      </c>
      <c r="O19" s="1377">
        <f t="shared" si="5"/>
        <v>3045</v>
      </c>
      <c r="P19" s="374">
        <f>[4]Data!$I348</f>
        <v>994904</v>
      </c>
      <c r="U19" s="374">
        <f t="shared" si="1"/>
        <v>994904</v>
      </c>
      <c r="V19" s="132"/>
      <c r="X19" s="339">
        <f>[5]Nov!$L14</f>
        <v>77.900000000000006</v>
      </c>
      <c r="Y19" s="891">
        <f>[5]Nov!$J14</f>
        <v>78.5</v>
      </c>
      <c r="Z19" s="144">
        <f>[5]Nov!$K14</f>
        <v>76.7</v>
      </c>
      <c r="AA19" s="417">
        <f>[5]Nov!$M14</f>
        <v>81.400000000000006</v>
      </c>
      <c r="AD19" s="860">
        <f>A22</f>
        <v>1989</v>
      </c>
      <c r="AE19" s="570">
        <f t="shared" si="14"/>
        <v>3391</v>
      </c>
      <c r="AF19" s="652">
        <f t="shared" si="14"/>
        <v>1116315</v>
      </c>
      <c r="AG19" s="1562">
        <f>Y22</f>
        <v>76.400000000000006</v>
      </c>
      <c r="AH19" s="569">
        <v>0</v>
      </c>
      <c r="AI19" s="569">
        <v>0</v>
      </c>
      <c r="AJ19" s="569">
        <f t="shared" si="12"/>
        <v>3845</v>
      </c>
      <c r="AK19" s="569">
        <f t="shared" si="6"/>
        <v>-454</v>
      </c>
      <c r="AL19" s="569"/>
      <c r="AM19" s="569"/>
      <c r="AN19" s="474"/>
      <c r="AO19" s="646"/>
      <c r="AP19" s="322">
        <f t="shared" si="13"/>
        <v>464</v>
      </c>
      <c r="AQ19" s="474"/>
      <c r="AR19" s="474"/>
      <c r="AS19" s="474"/>
      <c r="AT19" s="474"/>
      <c r="AU19" s="474"/>
      <c r="AV19" s="474"/>
      <c r="AW19" s="726"/>
      <c r="AX19" s="726"/>
      <c r="AY19" s="474"/>
      <c r="AZ19" s="474"/>
      <c r="BA19" s="474"/>
      <c r="BB19" s="474"/>
      <c r="BC19" s="696">
        <f t="shared" si="2"/>
        <v>1989</v>
      </c>
      <c r="BD19" s="569">
        <f t="shared" si="7"/>
        <v>4041</v>
      </c>
      <c r="BE19" s="570">
        <f t="shared" si="8"/>
        <v>3391</v>
      </c>
      <c r="BF19" s="1431">
        <f t="shared" si="9"/>
        <v>650</v>
      </c>
      <c r="BG19" s="570">
        <f t="shared" si="10"/>
        <v>3845</v>
      </c>
      <c r="BH19" s="1431">
        <f t="shared" si="11"/>
        <v>196</v>
      </c>
      <c r="BI19" s="474"/>
    </row>
    <row r="20" spans="1:61">
      <c r="A20" s="123">
        <v>1987</v>
      </c>
      <c r="B20" s="139">
        <v>32094</v>
      </c>
      <c r="C20" s="977">
        <v>8</v>
      </c>
      <c r="D20" s="346" t="str">
        <f t="shared" si="0"/>
        <v>Fri</v>
      </c>
      <c r="E20" s="134">
        <f>[6]Hist!G99</f>
        <v>3496</v>
      </c>
      <c r="F20" s="134">
        <f>[6]Hist!H99</f>
        <v>3289</v>
      </c>
      <c r="G20" s="164">
        <f>SUM([6]Hist!M99:O99)</f>
        <v>0</v>
      </c>
      <c r="H20" s="164">
        <f>[6]Hist!L99</f>
        <v>0</v>
      </c>
      <c r="I20" s="164">
        <f>[6]Hist!P99</f>
        <v>0</v>
      </c>
      <c r="J20" s="133">
        <f t="shared" si="3"/>
        <v>3289</v>
      </c>
      <c r="K20" s="164">
        <f>[6]Hist!U99</f>
        <v>89</v>
      </c>
      <c r="L20" s="164">
        <f>[6]Hist!V99</f>
        <v>58</v>
      </c>
      <c r="M20" s="133">
        <f t="shared" si="4"/>
        <v>3378</v>
      </c>
      <c r="N20" s="164">
        <f>[6]Hist!AA99</f>
        <v>218</v>
      </c>
      <c r="O20" s="1377">
        <f t="shared" si="5"/>
        <v>3013</v>
      </c>
      <c r="P20" s="374">
        <f>[4]Data!$I349</f>
        <v>1036273</v>
      </c>
      <c r="U20" s="374">
        <f t="shared" si="1"/>
        <v>1036273</v>
      </c>
      <c r="V20" s="132"/>
      <c r="X20" s="502">
        <f>[5]Nov!$L15</f>
        <v>51.9</v>
      </c>
      <c r="Y20" s="144">
        <f>[5]Nov!$J15</f>
        <v>50.3</v>
      </c>
      <c r="Z20" s="144">
        <f>[5]Nov!$K15</f>
        <v>55.1</v>
      </c>
      <c r="AA20" s="339">
        <f>[5]Nov!$M15</f>
        <v>49.1</v>
      </c>
      <c r="AD20" s="860">
        <f>A23</f>
        <v>1990</v>
      </c>
      <c r="AE20" s="570">
        <f t="shared" si="14"/>
        <v>3463.904708754796</v>
      </c>
      <c r="AF20" s="652">
        <f t="shared" si="14"/>
        <v>1145302</v>
      </c>
      <c r="AG20" s="1562">
        <f>Y23</f>
        <v>77.400000000000006</v>
      </c>
      <c r="AH20" s="569">
        <v>0</v>
      </c>
      <c r="AI20" s="569">
        <v>0</v>
      </c>
      <c r="AJ20" s="569">
        <f t="shared" si="12"/>
        <v>4011</v>
      </c>
      <c r="AK20" s="569">
        <f t="shared" si="6"/>
        <v>-547.09529124520395</v>
      </c>
      <c r="AL20" s="569"/>
      <c r="AM20" s="569"/>
      <c r="AN20" s="474"/>
      <c r="AO20" s="646"/>
      <c r="AP20" s="322">
        <f t="shared" si="13"/>
        <v>72.904708754796047</v>
      </c>
      <c r="AQ20" s="474"/>
      <c r="AR20" s="474"/>
      <c r="AS20" s="474"/>
      <c r="AT20" s="474"/>
      <c r="AU20" s="474"/>
      <c r="AV20" s="474"/>
      <c r="AW20" s="726"/>
      <c r="AX20" s="726"/>
      <c r="AY20" s="474"/>
      <c r="AZ20" s="474"/>
      <c r="BA20" s="474"/>
      <c r="BB20" s="474"/>
      <c r="BC20" s="696">
        <f t="shared" si="2"/>
        <v>1990</v>
      </c>
      <c r="BD20" s="569">
        <f t="shared" si="7"/>
        <v>4148</v>
      </c>
      <c r="BE20" s="570">
        <f t="shared" si="8"/>
        <v>3463.904708754796</v>
      </c>
      <c r="BF20" s="1431">
        <f t="shared" si="9"/>
        <v>684.09529124520395</v>
      </c>
      <c r="BG20" s="570">
        <f t="shared" si="10"/>
        <v>4011</v>
      </c>
      <c r="BH20" s="1431">
        <f t="shared" si="11"/>
        <v>137</v>
      </c>
      <c r="BI20" s="474"/>
    </row>
    <row r="21" spans="1:61">
      <c r="A21" s="123">
        <v>1988</v>
      </c>
      <c r="B21" s="139">
        <v>32464</v>
      </c>
      <c r="C21" s="131">
        <v>19</v>
      </c>
      <c r="D21" s="346" t="str">
        <f t="shared" si="0"/>
        <v>Thu</v>
      </c>
      <c r="E21" s="134">
        <f>[6]Hist!G111</f>
        <v>3685</v>
      </c>
      <c r="F21" s="134">
        <f>[6]Hist!H111</f>
        <v>3266</v>
      </c>
      <c r="G21" s="164">
        <f>SUM([6]Hist!M111:O111)</f>
        <v>0</v>
      </c>
      <c r="H21" s="164">
        <f>[6]Hist!L111</f>
        <v>0</v>
      </c>
      <c r="I21" s="164">
        <f>[6]Hist!P111</f>
        <v>0</v>
      </c>
      <c r="J21" s="133">
        <f t="shared" si="3"/>
        <v>3266</v>
      </c>
      <c r="K21" s="164">
        <f>[6]Hist!U111</f>
        <v>94</v>
      </c>
      <c r="L21" s="164">
        <f>[6]Hist!V111</f>
        <v>61</v>
      </c>
      <c r="M21" s="133">
        <f t="shared" si="4"/>
        <v>3360</v>
      </c>
      <c r="N21" s="164">
        <f>[6]Hist!AA111</f>
        <v>278</v>
      </c>
      <c r="O21" s="1377">
        <f t="shared" si="5"/>
        <v>2927</v>
      </c>
      <c r="P21" s="374">
        <f>[4]Data!$I350</f>
        <v>1074515</v>
      </c>
      <c r="U21" s="374">
        <f t="shared" si="1"/>
        <v>1074515</v>
      </c>
      <c r="V21" s="132"/>
      <c r="X21" s="339">
        <f>[5]Nov!$L16</f>
        <v>76.2</v>
      </c>
      <c r="Y21" s="891">
        <f>[5]Nov!$J16</f>
        <v>77</v>
      </c>
      <c r="Z21" s="144">
        <f>[5]Nov!$K16</f>
        <v>74.5</v>
      </c>
      <c r="AA21" s="417">
        <f>[5]Nov!$M16</f>
        <v>81</v>
      </c>
      <c r="AB21" s="499"/>
      <c r="AD21" s="860">
        <f>A27</f>
        <v>1994</v>
      </c>
      <c r="AE21" s="570">
        <f>O27</f>
        <v>4166.9813702377305</v>
      </c>
      <c r="AF21" s="652">
        <f>P27</f>
        <v>1252985</v>
      </c>
      <c r="AG21" s="1562">
        <f>Y27</f>
        <v>77.8</v>
      </c>
      <c r="AH21" s="569">
        <v>0</v>
      </c>
      <c r="AI21" s="569">
        <v>0</v>
      </c>
      <c r="AJ21" s="569">
        <f t="shared" si="12"/>
        <v>4429</v>
      </c>
      <c r="AK21" s="569">
        <f t="shared" si="6"/>
        <v>-262.01862976226948</v>
      </c>
      <c r="AL21" s="569"/>
      <c r="AM21" s="569"/>
      <c r="AN21" s="474"/>
      <c r="AO21" s="135"/>
      <c r="AP21" s="322">
        <f t="shared" si="13"/>
        <v>703.07666148293447</v>
      </c>
      <c r="AQ21" s="474"/>
      <c r="AR21" s="474"/>
      <c r="AS21" s="474"/>
      <c r="AT21" s="474"/>
      <c r="AU21" s="474"/>
      <c r="AV21" s="474"/>
      <c r="AW21" s="726"/>
      <c r="AX21" s="726"/>
      <c r="AY21" s="474"/>
      <c r="AZ21" s="474"/>
      <c r="BA21" s="474"/>
      <c r="BB21" s="474"/>
      <c r="BC21" s="696">
        <f t="shared" si="2"/>
        <v>1994</v>
      </c>
      <c r="BD21" s="569">
        <f t="shared" si="7"/>
        <v>4542</v>
      </c>
      <c r="BE21" s="570">
        <f t="shared" si="8"/>
        <v>4166.9813702377305</v>
      </c>
      <c r="BF21" s="1431">
        <f t="shared" si="9"/>
        <v>375.01862976226948</v>
      </c>
      <c r="BG21" s="570">
        <f t="shared" si="10"/>
        <v>4429</v>
      </c>
      <c r="BH21" s="1431">
        <f t="shared" si="11"/>
        <v>113</v>
      </c>
      <c r="BI21" s="474"/>
    </row>
    <row r="22" spans="1:61">
      <c r="A22" s="123">
        <v>1989</v>
      </c>
      <c r="B22" s="139">
        <v>32818</v>
      </c>
      <c r="C22" s="131">
        <v>19</v>
      </c>
      <c r="D22" s="346" t="str">
        <f t="shared" si="0"/>
        <v>Mon</v>
      </c>
      <c r="E22" s="134">
        <f>[6]Hist!G123</f>
        <v>3886</v>
      </c>
      <c r="F22" s="134">
        <f>[6]Hist!H123</f>
        <v>3759</v>
      </c>
      <c r="G22" s="164">
        <f>SUM([6]Hist!M123:O123)</f>
        <v>0</v>
      </c>
      <c r="H22" s="164">
        <f>[6]Hist!L123</f>
        <v>0</v>
      </c>
      <c r="I22" s="164">
        <f>[6]Hist!P123</f>
        <v>0</v>
      </c>
      <c r="J22" s="133">
        <f t="shared" si="3"/>
        <v>3759</v>
      </c>
      <c r="K22" s="164">
        <f>[6]Hist!U123</f>
        <v>99</v>
      </c>
      <c r="L22" s="164">
        <f>[6]Hist!V123</f>
        <v>66</v>
      </c>
      <c r="M22" s="133">
        <f t="shared" si="4"/>
        <v>3858</v>
      </c>
      <c r="N22" s="164">
        <f>[6]Hist!AA123</f>
        <v>302</v>
      </c>
      <c r="O22" s="1377">
        <f t="shared" si="5"/>
        <v>3391</v>
      </c>
      <c r="P22" s="374">
        <f>[4]Data!$I351</f>
        <v>1116315</v>
      </c>
      <c r="U22" s="374">
        <f t="shared" si="1"/>
        <v>1116315</v>
      </c>
      <c r="V22" s="132"/>
      <c r="X22" s="339">
        <f>[5]Nov!$L17</f>
        <v>75.5</v>
      </c>
      <c r="Y22" s="891">
        <f>[5]Nov!$J17</f>
        <v>76.400000000000006</v>
      </c>
      <c r="Z22" s="144">
        <f>[5]Nov!$K17</f>
        <v>73.900000000000006</v>
      </c>
      <c r="AA22" s="417">
        <f>[5]Nov!$M17</f>
        <v>81.099999999999994</v>
      </c>
      <c r="AB22" s="499"/>
      <c r="AD22" s="860">
        <f>A29</f>
        <v>1996</v>
      </c>
      <c r="AE22" s="570">
        <f>O29</f>
        <v>4431.3213887338916</v>
      </c>
      <c r="AF22" s="652">
        <f>P29</f>
        <v>1292607</v>
      </c>
      <c r="AG22" s="1562">
        <f>Y29</f>
        <v>83.9</v>
      </c>
      <c r="AH22" s="569">
        <v>0</v>
      </c>
      <c r="AI22" s="569">
        <v>1</v>
      </c>
      <c r="AJ22" s="569">
        <f t="shared" si="12"/>
        <v>4348</v>
      </c>
      <c r="AK22" s="569">
        <f t="shared" si="6"/>
        <v>83.321388733891581</v>
      </c>
      <c r="AL22" s="569"/>
      <c r="AM22" s="569"/>
      <c r="AN22" s="474"/>
      <c r="AO22" s="142"/>
      <c r="AP22" s="322">
        <f t="shared" si="13"/>
        <v>264.34001849616106</v>
      </c>
      <c r="AQ22" s="474"/>
      <c r="AR22" s="474"/>
      <c r="AS22" s="474"/>
      <c r="AT22" s="474"/>
      <c r="AU22" s="474"/>
      <c r="AV22" s="474"/>
      <c r="AW22" s="726"/>
      <c r="AX22" s="726"/>
      <c r="AY22" s="474"/>
      <c r="AZ22" s="474"/>
      <c r="BA22" s="474"/>
      <c r="BB22" s="474"/>
      <c r="BC22" s="696">
        <f t="shared" si="2"/>
        <v>1996</v>
      </c>
      <c r="BD22" s="569">
        <f t="shared" si="7"/>
        <v>4103</v>
      </c>
      <c r="BE22" s="570">
        <f t="shared" si="8"/>
        <v>4431.3213887338916</v>
      </c>
      <c r="BF22" s="1431">
        <f t="shared" si="9"/>
        <v>-328.32138873389158</v>
      </c>
      <c r="BG22" s="570">
        <f t="shared" si="10"/>
        <v>4348</v>
      </c>
      <c r="BH22" s="1431">
        <f t="shared" si="11"/>
        <v>-245</v>
      </c>
      <c r="BI22" s="474"/>
    </row>
    <row r="23" spans="1:61">
      <c r="A23" s="123">
        <v>1990</v>
      </c>
      <c r="B23" s="139">
        <v>33205</v>
      </c>
      <c r="C23" s="131">
        <v>19</v>
      </c>
      <c r="D23" s="346" t="str">
        <f t="shared" si="0"/>
        <v>Wed</v>
      </c>
      <c r="E23" s="133">
        <f>[7]MoCoinMW!F15</f>
        <v>3988</v>
      </c>
      <c r="F23" s="133">
        <f>[7]MoCoinMW!G15</f>
        <v>3777.904708754796</v>
      </c>
      <c r="G23" s="164">
        <f>SUM([6]Hist!M135:O135)</f>
        <v>0</v>
      </c>
      <c r="H23" s="164">
        <f>[6]Hist!L135</f>
        <v>0</v>
      </c>
      <c r="I23" s="164">
        <f>[6]Hist!P135</f>
        <v>0</v>
      </c>
      <c r="J23" s="133">
        <f t="shared" si="3"/>
        <v>3777.904708754796</v>
      </c>
      <c r="K23" s="164">
        <f>[6]Hist!U135</f>
        <v>104</v>
      </c>
      <c r="L23" s="164">
        <f>[6]Hist!V135</f>
        <v>66</v>
      </c>
      <c r="M23" s="133">
        <f t="shared" si="4"/>
        <v>3881.904708754796</v>
      </c>
      <c r="N23" s="164">
        <f>[6]Hist!AA135</f>
        <v>248</v>
      </c>
      <c r="O23" s="1377">
        <f t="shared" si="5"/>
        <v>3463.904708754796</v>
      </c>
      <c r="P23" s="374">
        <f>[4]Data!$I352</f>
        <v>1145302</v>
      </c>
      <c r="U23" s="374">
        <f t="shared" si="1"/>
        <v>1145302</v>
      </c>
      <c r="V23" s="132"/>
      <c r="X23" s="339">
        <f>[5]Nov!$L18</f>
        <v>77</v>
      </c>
      <c r="Y23" s="891">
        <f>[5]Nov!$J18</f>
        <v>77.400000000000006</v>
      </c>
      <c r="Z23" s="144">
        <f>[5]Nov!$K18</f>
        <v>76.3</v>
      </c>
      <c r="AA23" s="417">
        <f>[5]Nov!$M18</f>
        <v>80.3</v>
      </c>
      <c r="AB23" s="499"/>
      <c r="AD23" s="860">
        <f>A31</f>
        <v>1998</v>
      </c>
      <c r="AE23" s="570">
        <f>O31</f>
        <v>4683.8039374368336</v>
      </c>
      <c r="AF23" s="652">
        <f>P31</f>
        <v>1345787</v>
      </c>
      <c r="AG23" s="1565">
        <f>Y31+1</f>
        <v>77.3</v>
      </c>
      <c r="AH23" s="569">
        <v>0</v>
      </c>
      <c r="AI23" s="569">
        <v>0</v>
      </c>
      <c r="AJ23" s="569">
        <f t="shared" si="12"/>
        <v>4740</v>
      </c>
      <c r="AK23" s="569">
        <f t="shared" si="6"/>
        <v>-56.196062563166379</v>
      </c>
      <c r="AL23" s="569"/>
      <c r="AM23" s="569"/>
      <c r="AN23" s="474"/>
      <c r="AO23" s="135"/>
      <c r="AP23" s="322">
        <f t="shared" si="13"/>
        <v>252.48254870294204</v>
      </c>
      <c r="AQ23" s="474"/>
      <c r="AR23" s="474"/>
      <c r="AS23" s="474"/>
      <c r="AT23" s="474"/>
      <c r="AU23" s="474"/>
      <c r="AV23" s="474"/>
      <c r="AW23" s="726"/>
      <c r="AX23" s="726"/>
      <c r="AY23" s="474"/>
      <c r="AZ23" s="474"/>
      <c r="BA23" s="474"/>
      <c r="BB23" s="474"/>
      <c r="BC23" s="696">
        <f t="shared" si="2"/>
        <v>1998</v>
      </c>
      <c r="BD23" s="569">
        <f t="shared" si="7"/>
        <v>4883</v>
      </c>
      <c r="BE23" s="570">
        <f t="shared" si="8"/>
        <v>4683.8039374368336</v>
      </c>
      <c r="BF23" s="1431">
        <f t="shared" si="9"/>
        <v>199.19606256316638</v>
      </c>
      <c r="BG23" s="570">
        <f t="shared" si="10"/>
        <v>4740</v>
      </c>
      <c r="BH23" s="1431">
        <f t="shared" si="11"/>
        <v>143</v>
      </c>
      <c r="BI23" s="474"/>
    </row>
    <row r="24" spans="1:61">
      <c r="A24" s="123">
        <v>1991</v>
      </c>
      <c r="B24" s="139">
        <v>33568</v>
      </c>
      <c r="C24" s="977">
        <v>8</v>
      </c>
      <c r="D24" s="346" t="str">
        <f t="shared" si="0"/>
        <v>Tue</v>
      </c>
      <c r="E24" s="133">
        <f>[7]MoCoinMW!F27</f>
        <v>5178</v>
      </c>
      <c r="F24" s="133">
        <f>[7]MoCoinMW!G27</f>
        <v>4455.6288338565282</v>
      </c>
      <c r="G24" s="164">
        <f>SUM([6]Hist!M147:O147)</f>
        <v>333</v>
      </c>
      <c r="H24" s="164">
        <f>[6]Hist!L147</f>
        <v>0</v>
      </c>
      <c r="I24" s="164">
        <f>[6]Hist!P147</f>
        <v>0</v>
      </c>
      <c r="J24" s="133">
        <f t="shared" si="3"/>
        <v>4788.6288338565282</v>
      </c>
      <c r="K24" s="164">
        <f>[6]Hist!U147</f>
        <v>106</v>
      </c>
      <c r="L24" s="164">
        <f>[6]Hist!V147</f>
        <v>65.5</v>
      </c>
      <c r="M24" s="133">
        <f t="shared" si="4"/>
        <v>4894.6288338565282</v>
      </c>
      <c r="N24" s="164">
        <f>[6]Hist!AA147</f>
        <v>58</v>
      </c>
      <c r="O24" s="1377">
        <f t="shared" si="5"/>
        <v>4665.1288338565282</v>
      </c>
      <c r="P24" s="374">
        <f>[4]Data!$I353</f>
        <v>1166035</v>
      </c>
      <c r="U24" s="374">
        <f t="shared" si="1"/>
        <v>1166035</v>
      </c>
      <c r="V24" s="132"/>
      <c r="X24" s="502">
        <f>[5]Nov!$L19</f>
        <v>45.1</v>
      </c>
      <c r="Y24" s="144">
        <f>[5]Nov!$J19</f>
        <v>43.4</v>
      </c>
      <c r="Z24" s="144">
        <f>[5]Nov!$K19</f>
        <v>48.7</v>
      </c>
      <c r="AA24" s="339">
        <f>[5]Nov!$M19</f>
        <v>42.8</v>
      </c>
      <c r="AB24" s="499"/>
      <c r="AD24" s="1066">
        <f>A32</f>
        <v>1999</v>
      </c>
      <c r="AE24" s="570">
        <f>O32</f>
        <v>4741</v>
      </c>
      <c r="AF24" s="652">
        <f>P32</f>
        <v>1380772</v>
      </c>
      <c r="AG24" s="1562">
        <f>Y32</f>
        <v>75.099999999999994</v>
      </c>
      <c r="AH24" s="569">
        <v>0</v>
      </c>
      <c r="AI24" s="569">
        <v>0</v>
      </c>
      <c r="AJ24" s="569">
        <f t="shared" si="12"/>
        <v>4739</v>
      </c>
      <c r="AK24" s="569">
        <f t="shared" si="6"/>
        <v>2</v>
      </c>
      <c r="AL24" s="569"/>
      <c r="AM24" s="569"/>
      <c r="AN24" s="569"/>
      <c r="AO24" s="135"/>
      <c r="AP24" s="322">
        <f t="shared" si="13"/>
        <v>57.196062563166379</v>
      </c>
      <c r="AQ24" s="474"/>
      <c r="AR24" s="474"/>
      <c r="AS24" s="474"/>
      <c r="AT24" s="474"/>
      <c r="AU24" s="474"/>
      <c r="AV24" s="474"/>
      <c r="AW24" s="590"/>
      <c r="AX24" s="590"/>
      <c r="AY24" s="474"/>
      <c r="AZ24" s="474"/>
      <c r="BA24" s="474"/>
      <c r="BB24" s="474"/>
      <c r="BC24" s="696">
        <f t="shared" si="2"/>
        <v>1999</v>
      </c>
      <c r="BD24" s="569">
        <f t="shared" si="7"/>
        <v>5011</v>
      </c>
      <c r="BE24" s="570">
        <f t="shared" si="8"/>
        <v>4741</v>
      </c>
      <c r="BF24" s="1431">
        <f t="shared" si="9"/>
        <v>270</v>
      </c>
      <c r="BG24" s="570">
        <f t="shared" si="10"/>
        <v>4739</v>
      </c>
      <c r="BH24" s="1431">
        <f t="shared" si="11"/>
        <v>272</v>
      </c>
      <c r="BI24" s="474"/>
    </row>
    <row r="25" spans="1:61">
      <c r="A25" s="123">
        <v>1992</v>
      </c>
      <c r="B25" s="139">
        <v>33938</v>
      </c>
      <c r="C25" s="977">
        <v>8</v>
      </c>
      <c r="D25" s="346" t="str">
        <f t="shared" si="0"/>
        <v>Mon</v>
      </c>
      <c r="E25" s="133">
        <f>[7]MoCoinMW!F39</f>
        <v>5229</v>
      </c>
      <c r="F25" s="133">
        <f>[7]MoCoinMW!G39</f>
        <v>4609.2294099751698</v>
      </c>
      <c r="G25" s="164">
        <f>SUM([6]Hist!M159:O159)</f>
        <v>0</v>
      </c>
      <c r="H25" s="164">
        <f>[6]Hist!L159</f>
        <v>0</v>
      </c>
      <c r="I25" s="164">
        <f>[6]Hist!P159</f>
        <v>0</v>
      </c>
      <c r="J25" s="133">
        <f t="shared" si="3"/>
        <v>4609.2294099751698</v>
      </c>
      <c r="K25" s="164">
        <f>[6]Hist!U159</f>
        <v>112</v>
      </c>
      <c r="L25" s="164">
        <f>[6]Hist!V159</f>
        <v>65.5</v>
      </c>
      <c r="M25" s="133">
        <f t="shared" si="4"/>
        <v>4721.2294099751698</v>
      </c>
      <c r="N25" s="164">
        <f>[6]Hist!AA159</f>
        <v>212</v>
      </c>
      <c r="O25" s="1377">
        <f t="shared" si="5"/>
        <v>4331.7294099751698</v>
      </c>
      <c r="P25" s="374">
        <f>[4]Data!$I354</f>
        <v>1191525</v>
      </c>
      <c r="U25" s="374">
        <f t="shared" si="1"/>
        <v>1191525</v>
      </c>
      <c r="V25" s="132"/>
      <c r="X25" s="502">
        <f>[5]Nov!$L20</f>
        <v>44.9</v>
      </c>
      <c r="Y25" s="144">
        <f>[5]Nov!$J20</f>
        <v>42.6</v>
      </c>
      <c r="Z25" s="144">
        <f>[5]Nov!$K20</f>
        <v>49.5</v>
      </c>
      <c r="AA25" s="339">
        <f>[5]Nov!$M20</f>
        <v>42.5</v>
      </c>
      <c r="AB25" s="499"/>
      <c r="AD25" s="860">
        <f t="shared" ref="AD25:AD31" si="15">A34</f>
        <v>2001</v>
      </c>
      <c r="AE25" s="570">
        <f t="shared" ref="AE25:AE31" si="16">O34</f>
        <v>4616.5</v>
      </c>
      <c r="AF25" s="652">
        <f t="shared" ref="AF25:AF31" si="17">P34</f>
        <v>1452573</v>
      </c>
      <c r="AG25" s="1562">
        <f t="shared" ref="AG25:AG31" si="18">Y34</f>
        <v>76.2</v>
      </c>
      <c r="AH25" s="569">
        <v>1</v>
      </c>
      <c r="AI25" s="569">
        <v>0</v>
      </c>
      <c r="AJ25" s="569">
        <f t="shared" si="12"/>
        <v>4353</v>
      </c>
      <c r="AK25" s="569">
        <f t="shared" si="6"/>
        <v>263.5</v>
      </c>
      <c r="AL25" s="569"/>
      <c r="AM25" s="569"/>
      <c r="AN25" s="569"/>
      <c r="AO25" s="630"/>
      <c r="AP25" s="322">
        <f t="shared" si="13"/>
        <v>-124.5</v>
      </c>
      <c r="AQ25" s="1"/>
      <c r="AR25" s="1"/>
      <c r="AS25" s="1"/>
      <c r="AT25" s="1"/>
      <c r="AU25" s="1"/>
      <c r="AV25" s="590"/>
      <c r="AW25" s="590"/>
      <c r="AX25" s="590"/>
      <c r="AY25" s="474"/>
      <c r="AZ25" s="474"/>
      <c r="BA25" s="474"/>
      <c r="BB25" s="474"/>
      <c r="BC25" s="696">
        <f t="shared" si="2"/>
        <v>2001</v>
      </c>
      <c r="BD25" s="569">
        <f t="shared" si="7"/>
        <v>4561</v>
      </c>
      <c r="BE25" s="570">
        <f t="shared" si="8"/>
        <v>4616.5</v>
      </c>
      <c r="BF25" s="1431">
        <f t="shared" si="9"/>
        <v>-55.5</v>
      </c>
      <c r="BG25" s="570">
        <f t="shared" si="10"/>
        <v>4353</v>
      </c>
      <c r="BH25" s="1431">
        <f t="shared" si="11"/>
        <v>208</v>
      </c>
      <c r="BI25" s="474"/>
    </row>
    <row r="26" spans="1:61">
      <c r="A26" s="123">
        <v>1993</v>
      </c>
      <c r="B26" s="139">
        <v>34274</v>
      </c>
      <c r="C26" s="977">
        <v>8</v>
      </c>
      <c r="D26" s="346" t="str">
        <f t="shared" si="0"/>
        <v>Mon</v>
      </c>
      <c r="E26" s="133">
        <f>[7]MoCoinMW!F51</f>
        <v>4979</v>
      </c>
      <c r="F26" s="133">
        <f>[7]MoCoinMW!G51</f>
        <v>4401.074520503922</v>
      </c>
      <c r="G26" s="164">
        <f>SUM([6]Hist!M171:O171)</f>
        <v>0</v>
      </c>
      <c r="H26" s="164">
        <f>[6]Hist!L171</f>
        <v>0</v>
      </c>
      <c r="I26" s="164">
        <f>[6]Hist!P171</f>
        <v>0</v>
      </c>
      <c r="J26" s="133">
        <f t="shared" si="3"/>
        <v>4401.074520503922</v>
      </c>
      <c r="K26" s="164">
        <f>[6]Hist!U171</f>
        <v>126</v>
      </c>
      <c r="L26" s="164">
        <f>[6]Hist!V171</f>
        <v>65.5</v>
      </c>
      <c r="M26" s="133">
        <f t="shared" si="4"/>
        <v>4527.074520503922</v>
      </c>
      <c r="N26" s="164">
        <f>[6]Hist!AA171</f>
        <v>188</v>
      </c>
      <c r="O26" s="1377">
        <f t="shared" si="5"/>
        <v>4147.574520503922</v>
      </c>
      <c r="P26" s="374">
        <f>[4]Data!$I355</f>
        <v>1220487</v>
      </c>
      <c r="U26" s="374">
        <f t="shared" si="1"/>
        <v>1220487</v>
      </c>
      <c r="V26" s="132"/>
      <c r="X26" s="502">
        <f>[5]Nov!$L21</f>
        <v>42.7</v>
      </c>
      <c r="Y26" s="144">
        <f>[5]Nov!$J21</f>
        <v>39.299999999999997</v>
      </c>
      <c r="Z26" s="144">
        <f>[5]Nov!$K21</f>
        <v>49.6</v>
      </c>
      <c r="AA26" s="339">
        <f>[5]Nov!$M21</f>
        <v>39</v>
      </c>
      <c r="AB26" s="499"/>
      <c r="AD26" s="1066">
        <f t="shared" si="15"/>
        <v>2002</v>
      </c>
      <c r="AE26" s="570">
        <f t="shared" si="16"/>
        <v>5778.26</v>
      </c>
      <c r="AF26" s="652">
        <f t="shared" si="17"/>
        <v>1484521</v>
      </c>
      <c r="AG26" s="1562">
        <f t="shared" si="18"/>
        <v>85</v>
      </c>
      <c r="AH26" s="569">
        <v>0</v>
      </c>
      <c r="AI26" s="569">
        <v>0</v>
      </c>
      <c r="AJ26" s="569">
        <f t="shared" si="12"/>
        <v>5702</v>
      </c>
      <c r="AK26" s="569">
        <f t="shared" si="6"/>
        <v>76.260000000000218</v>
      </c>
      <c r="AL26" s="569"/>
      <c r="AM26" s="569"/>
      <c r="AN26" s="569"/>
      <c r="AO26" s="630"/>
      <c r="AP26" s="322">
        <f t="shared" si="13"/>
        <v>1161.7600000000002</v>
      </c>
      <c r="AQ26" s="1566"/>
      <c r="AR26" s="1566"/>
      <c r="AS26" s="1567"/>
      <c r="AT26" s="1567"/>
      <c r="AU26" s="1567"/>
      <c r="AV26" s="590"/>
      <c r="AW26" s="590"/>
      <c r="AX26" s="590"/>
      <c r="AY26" s="474"/>
      <c r="AZ26" s="474"/>
      <c r="BA26" s="474"/>
      <c r="BB26" s="474"/>
      <c r="BC26" s="696">
        <f t="shared" si="2"/>
        <v>2002</v>
      </c>
      <c r="BD26" s="569">
        <f t="shared" si="7"/>
        <v>5391</v>
      </c>
      <c r="BE26" s="570">
        <f t="shared" si="8"/>
        <v>5778.26</v>
      </c>
      <c r="BF26" s="1431">
        <f t="shared" si="9"/>
        <v>-387.26000000000022</v>
      </c>
      <c r="BG26" s="570">
        <f t="shared" si="10"/>
        <v>5702</v>
      </c>
      <c r="BH26" s="1431">
        <f t="shared" si="11"/>
        <v>-311</v>
      </c>
      <c r="BI26" s="474"/>
    </row>
    <row r="27" spans="1:61">
      <c r="A27" s="123">
        <v>1994</v>
      </c>
      <c r="B27" s="139">
        <v>34647</v>
      </c>
      <c r="C27" s="131">
        <v>19</v>
      </c>
      <c r="D27" s="346" t="str">
        <f t="shared" si="0"/>
        <v>Wed</v>
      </c>
      <c r="E27" s="133">
        <f>[7]MoCoinMW!F63</f>
        <v>4825</v>
      </c>
      <c r="F27" s="133">
        <f>[7]MoCoinMW!G63</f>
        <v>4506.4813702377305</v>
      </c>
      <c r="G27" s="164">
        <f>SUM([6]Hist!M183:O183)</f>
        <v>0</v>
      </c>
      <c r="H27" s="164">
        <f>[6]Hist!L183</f>
        <v>0</v>
      </c>
      <c r="I27" s="164">
        <f>[6]Hist!P183</f>
        <v>0</v>
      </c>
      <c r="J27" s="133">
        <f t="shared" si="3"/>
        <v>4506.4813702377305</v>
      </c>
      <c r="K27" s="164">
        <f>[6]Hist!U183</f>
        <v>140</v>
      </c>
      <c r="L27" s="164">
        <f>[6]Hist!V183</f>
        <v>65.5</v>
      </c>
      <c r="M27" s="133">
        <f t="shared" si="4"/>
        <v>4646.4813702377305</v>
      </c>
      <c r="N27" s="164">
        <f>[6]Hist!AA183</f>
        <v>274</v>
      </c>
      <c r="O27" s="1377">
        <f t="shared" si="5"/>
        <v>4166.9813702377305</v>
      </c>
      <c r="P27" s="374">
        <f>[4]Data!$I356</f>
        <v>1252985</v>
      </c>
      <c r="U27" s="374">
        <f t="shared" si="1"/>
        <v>1252985</v>
      </c>
      <c r="W27" s="132">
        <f t="shared" ref="W27:W58" si="19">U27-U26</f>
        <v>32498</v>
      </c>
      <c r="X27" s="339">
        <f>[5]Nov!$L22</f>
        <v>76.900000000000006</v>
      </c>
      <c r="Y27" s="891">
        <f>[5]Nov!$J22</f>
        <v>77.8</v>
      </c>
      <c r="Z27" s="144">
        <f>[5]Nov!$K22</f>
        <v>75.2</v>
      </c>
      <c r="AA27" s="417">
        <f>[5]Nov!$M22</f>
        <v>81.599999999999994</v>
      </c>
      <c r="AB27" s="499"/>
      <c r="AD27" s="1066">
        <f t="shared" si="15"/>
        <v>2003</v>
      </c>
      <c r="AE27" s="570">
        <f t="shared" si="16"/>
        <v>5953.2</v>
      </c>
      <c r="AF27" s="652">
        <f t="shared" si="17"/>
        <v>1522213</v>
      </c>
      <c r="AG27" s="1562">
        <f t="shared" si="18"/>
        <v>83.6</v>
      </c>
      <c r="AH27" s="569">
        <v>0</v>
      </c>
      <c r="AI27" s="696">
        <v>0</v>
      </c>
      <c r="AJ27" s="569">
        <f t="shared" si="12"/>
        <v>5757</v>
      </c>
      <c r="AK27" s="569">
        <f t="shared" si="6"/>
        <v>196.19999999999982</v>
      </c>
      <c r="AL27" s="569"/>
      <c r="AM27" s="569"/>
      <c r="AN27" s="569"/>
      <c r="AO27" s="630"/>
      <c r="AP27" s="322">
        <f t="shared" si="13"/>
        <v>174.9399999999996</v>
      </c>
      <c r="AQ27" s="272"/>
      <c r="AR27" s="272"/>
      <c r="AS27" s="1568"/>
      <c r="AT27" s="272"/>
      <c r="AU27" s="1569"/>
      <c r="AV27" s="590"/>
      <c r="AW27" s="590"/>
      <c r="AX27" s="590"/>
      <c r="AY27" s="474"/>
      <c r="AZ27" s="474"/>
      <c r="BA27" s="474"/>
      <c r="BB27" s="474"/>
      <c r="BC27" s="696">
        <f t="shared" si="2"/>
        <v>2003</v>
      </c>
      <c r="BD27" s="569">
        <f t="shared" si="7"/>
        <v>5529</v>
      </c>
      <c r="BE27" s="570">
        <f t="shared" si="8"/>
        <v>5953.2</v>
      </c>
      <c r="BF27" s="1431">
        <f t="shared" si="9"/>
        <v>-424.19999999999982</v>
      </c>
      <c r="BG27" s="570">
        <f t="shared" si="10"/>
        <v>5757</v>
      </c>
      <c r="BH27" s="1431">
        <f t="shared" si="11"/>
        <v>-228</v>
      </c>
      <c r="BI27" s="474"/>
    </row>
    <row r="28" spans="1:61">
      <c r="A28" s="123">
        <v>1995</v>
      </c>
      <c r="B28" s="139">
        <v>35019</v>
      </c>
      <c r="C28" s="977">
        <v>8</v>
      </c>
      <c r="D28" s="346" t="str">
        <f t="shared" si="0"/>
        <v>Thu</v>
      </c>
      <c r="E28" s="133">
        <f>[7]MoCoinMW!F75</f>
        <v>5553</v>
      </c>
      <c r="F28" s="133">
        <f>[7]MoCoinMW!G75</f>
        <v>4922.5427830631506</v>
      </c>
      <c r="G28" s="164">
        <f>SUM([6]Hist!M195:O195)</f>
        <v>0</v>
      </c>
      <c r="H28" s="164">
        <f>[6]Hist!L195</f>
        <v>0</v>
      </c>
      <c r="I28" s="164">
        <f>[6]Hist!P195</f>
        <v>0</v>
      </c>
      <c r="J28" s="133">
        <f t="shared" si="3"/>
        <v>4922.5427830631506</v>
      </c>
      <c r="K28" s="164">
        <f>[6]Hist!U195</f>
        <v>160</v>
      </c>
      <c r="L28" s="164">
        <f>[6]Hist!V195</f>
        <v>65.5</v>
      </c>
      <c r="M28" s="133">
        <f t="shared" si="4"/>
        <v>5082.5427830631506</v>
      </c>
      <c r="N28" s="164">
        <f>[6]Hist!AA195</f>
        <v>323</v>
      </c>
      <c r="O28" s="1377">
        <f t="shared" si="5"/>
        <v>4534.0427830631506</v>
      </c>
      <c r="P28" s="814">
        <f>'[12]1996'!$K$114-[4]Data!$G$357</f>
        <v>1277348</v>
      </c>
      <c r="U28" s="374">
        <f t="shared" si="1"/>
        <v>1277348</v>
      </c>
      <c r="W28" s="132">
        <f t="shared" si="19"/>
        <v>24363</v>
      </c>
      <c r="X28" s="502">
        <f>[5]Nov!$L23</f>
        <v>46.8</v>
      </c>
      <c r="Y28" s="144">
        <f>[5]Nov!$J23</f>
        <v>45.4</v>
      </c>
      <c r="Z28" s="144">
        <f>[5]Nov!$K23</f>
        <v>49.6</v>
      </c>
      <c r="AA28" s="339">
        <f>[5]Nov!$M23</f>
        <v>44.5</v>
      </c>
      <c r="AB28" s="499"/>
      <c r="AD28" s="1066">
        <f t="shared" si="15"/>
        <v>2004</v>
      </c>
      <c r="AE28" s="570">
        <f t="shared" si="16"/>
        <v>6074.7000000000007</v>
      </c>
      <c r="AF28" s="652">
        <f t="shared" si="17"/>
        <v>1557002</v>
      </c>
      <c r="AG28" s="1562">
        <f t="shared" si="18"/>
        <v>86.1</v>
      </c>
      <c r="AH28" s="569">
        <v>0</v>
      </c>
      <c r="AI28" s="696">
        <v>0</v>
      </c>
      <c r="AJ28" s="569">
        <f t="shared" si="12"/>
        <v>6032</v>
      </c>
      <c r="AK28" s="569">
        <f t="shared" ref="AK28:AK33" si="20">AE28-AJ28</f>
        <v>42.700000000000728</v>
      </c>
      <c r="AL28" s="569"/>
      <c r="AM28" s="778"/>
      <c r="AN28" s="569"/>
      <c r="AO28" s="630"/>
      <c r="AP28" s="322">
        <f t="shared" si="13"/>
        <v>121.50000000000091</v>
      </c>
      <c r="AQ28" s="275"/>
      <c r="AR28" s="275"/>
      <c r="AS28" s="1570"/>
      <c r="AT28" s="275"/>
      <c r="AU28" s="275"/>
      <c r="AV28" s="590"/>
      <c r="AW28" s="590"/>
      <c r="AX28" s="590"/>
      <c r="AY28" s="474"/>
      <c r="AZ28" s="474"/>
      <c r="BA28" s="474"/>
      <c r="BB28" s="474"/>
      <c r="BC28" s="696">
        <f t="shared" si="2"/>
        <v>2004</v>
      </c>
      <c r="BD28" s="569">
        <f t="shared" si="7"/>
        <v>5657</v>
      </c>
      <c r="BE28" s="570">
        <f t="shared" si="8"/>
        <v>6074.7000000000007</v>
      </c>
      <c r="BF28" s="1431">
        <f t="shared" ref="BF28:BF33" si="21">BD28-BE28</f>
        <v>-417.70000000000073</v>
      </c>
      <c r="BG28" s="570">
        <f t="shared" si="10"/>
        <v>6032</v>
      </c>
      <c r="BH28" s="1431">
        <f t="shared" ref="BH28:BH33" si="22">BD28-BG28</f>
        <v>-375</v>
      </c>
      <c r="BI28" s="474"/>
    </row>
    <row r="29" spans="1:61">
      <c r="A29" s="123">
        <v>1996</v>
      </c>
      <c r="B29" s="139">
        <v>35370</v>
      </c>
      <c r="C29" s="131">
        <v>16</v>
      </c>
      <c r="D29" s="346" t="str">
        <f t="shared" si="0"/>
        <v>Fri</v>
      </c>
      <c r="E29" s="133">
        <f>[7]MoCoinMW!F87</f>
        <v>5190</v>
      </c>
      <c r="F29" s="133">
        <f>[7]MoCoinMW!G87</f>
        <v>4896.8213887338916</v>
      </c>
      <c r="G29" s="164">
        <f>SUM([6]Hist!M207:O207)</f>
        <v>0</v>
      </c>
      <c r="H29" s="164">
        <f>[6]Hist!L207</f>
        <v>0</v>
      </c>
      <c r="I29" s="164">
        <f>[6]Hist!P207</f>
        <v>0</v>
      </c>
      <c r="J29" s="133">
        <f t="shared" si="3"/>
        <v>4896.8213887338916</v>
      </c>
      <c r="K29" s="164">
        <f>[6]Hist!U207</f>
        <v>183</v>
      </c>
      <c r="L29" s="164">
        <f>[6]Hist!V207</f>
        <v>71.5</v>
      </c>
      <c r="M29" s="133">
        <f t="shared" si="4"/>
        <v>5079.8213887338916</v>
      </c>
      <c r="N29" s="164">
        <f>[6]Hist!AA207</f>
        <v>394</v>
      </c>
      <c r="O29" s="1377">
        <f t="shared" si="5"/>
        <v>4431.3213887338916</v>
      </c>
      <c r="P29" s="814">
        <f>[8]FCST!$BM3</f>
        <v>1292607</v>
      </c>
      <c r="R29" s="677" t="s">
        <v>336</v>
      </c>
      <c r="U29" s="374">
        <f t="shared" si="1"/>
        <v>1292607</v>
      </c>
      <c r="W29" s="132">
        <f t="shared" si="19"/>
        <v>15259</v>
      </c>
      <c r="X29" s="339">
        <f>[5]Nov!$L24</f>
        <v>80.900000000000006</v>
      </c>
      <c r="Y29" s="891">
        <f>[5]Nov!$J24</f>
        <v>83.9</v>
      </c>
      <c r="Z29" s="144">
        <f>[5]Nov!$K24</f>
        <v>74.8</v>
      </c>
      <c r="AA29" s="417">
        <f>[5]Nov!$M24</f>
        <v>83.1</v>
      </c>
      <c r="AB29" s="499"/>
      <c r="AD29" s="1066">
        <f t="shared" si="15"/>
        <v>2005</v>
      </c>
      <c r="AE29" s="570">
        <f t="shared" si="16"/>
        <v>5345.4000000000005</v>
      </c>
      <c r="AF29" s="652">
        <f t="shared" si="17"/>
        <v>1587725</v>
      </c>
      <c r="AG29" s="1562">
        <f t="shared" si="18"/>
        <v>82.9</v>
      </c>
      <c r="AH29" s="569">
        <v>0</v>
      </c>
      <c r="AI29" s="696">
        <v>1</v>
      </c>
      <c r="AJ29" s="569">
        <f t="shared" si="12"/>
        <v>5371</v>
      </c>
      <c r="AK29" s="569">
        <f t="shared" si="20"/>
        <v>-25.599999999999454</v>
      </c>
      <c r="AL29" s="569"/>
      <c r="AM29" s="778"/>
      <c r="AN29" s="569"/>
      <c r="AO29" s="630"/>
      <c r="AP29" s="322">
        <f t="shared" si="13"/>
        <v>-729.30000000000018</v>
      </c>
      <c r="AQ29" s="277"/>
      <c r="AR29" s="277"/>
      <c r="AS29" s="1571"/>
      <c r="AT29" s="1571"/>
      <c r="AU29" s="1571"/>
      <c r="AV29" s="45"/>
      <c r="AW29" s="45"/>
      <c r="AX29" s="45"/>
      <c r="AY29" s="474"/>
      <c r="AZ29" s="474"/>
      <c r="BA29" s="474"/>
      <c r="BB29" s="474"/>
      <c r="BC29" s="696">
        <f t="shared" si="2"/>
        <v>2005</v>
      </c>
      <c r="BD29" s="569">
        <f t="shared" si="7"/>
        <v>5185</v>
      </c>
      <c r="BE29" s="570">
        <f t="shared" si="8"/>
        <v>5345.4000000000005</v>
      </c>
      <c r="BF29" s="1431">
        <f t="shared" si="21"/>
        <v>-160.40000000000055</v>
      </c>
      <c r="BG29" s="570">
        <f t="shared" si="10"/>
        <v>5371</v>
      </c>
      <c r="BH29" s="1431">
        <f t="shared" si="22"/>
        <v>-186</v>
      </c>
      <c r="BI29" s="474"/>
    </row>
    <row r="30" spans="1:61">
      <c r="A30" s="123">
        <v>1997</v>
      </c>
      <c r="B30" s="139">
        <v>35751</v>
      </c>
      <c r="C30" s="977">
        <v>8</v>
      </c>
      <c r="D30" s="346" t="str">
        <f t="shared" si="0"/>
        <v>Mon</v>
      </c>
      <c r="E30" s="133">
        <f>[7]MoCoinMW!F99</f>
        <v>5239</v>
      </c>
      <c r="F30" s="133">
        <f>[7]MoCoinMW!G99</f>
        <v>4699.9751378837318</v>
      </c>
      <c r="G30" s="164">
        <f>SUM([6]Hist!M219:O219)</f>
        <v>0</v>
      </c>
      <c r="H30" s="164">
        <f>[6]Hist!L219</f>
        <v>0</v>
      </c>
      <c r="I30" s="164">
        <f>[6]Hist!P219</f>
        <v>0</v>
      </c>
      <c r="J30" s="133">
        <f t="shared" si="3"/>
        <v>4699.9751378837318</v>
      </c>
      <c r="K30" s="164">
        <f>[6]Hist!U219</f>
        <v>198.5</v>
      </c>
      <c r="L30" s="164">
        <f>[6]Hist!V219</f>
        <v>71.5</v>
      </c>
      <c r="M30" s="133">
        <f t="shared" si="4"/>
        <v>4898.4751378837318</v>
      </c>
      <c r="N30" s="164">
        <f>[6]Hist!AA219</f>
        <v>331</v>
      </c>
      <c r="O30" s="1377">
        <f t="shared" si="5"/>
        <v>4297.4751378837318</v>
      </c>
      <c r="P30" s="132">
        <f>[8]FCST!$BM4</f>
        <v>1320601</v>
      </c>
      <c r="R30" s="123">
        <f>[9]Sheet1!$R$17</f>
        <v>6508</v>
      </c>
      <c r="U30" s="374">
        <f>P30-Q30+R30</f>
        <v>1327109</v>
      </c>
      <c r="W30" s="132">
        <f t="shared" si="19"/>
        <v>34502</v>
      </c>
      <c r="X30" s="502">
        <f>[5]Nov!$L25</f>
        <v>47.6</v>
      </c>
      <c r="Y30" s="144">
        <f>[5]Nov!$J25</f>
        <v>43.7</v>
      </c>
      <c r="Z30" s="144">
        <f>[5]Nov!$K25</f>
        <v>55.6</v>
      </c>
      <c r="AA30" s="339">
        <f>[5]Nov!$M25</f>
        <v>44.4</v>
      </c>
      <c r="AB30" s="499"/>
      <c r="AD30" s="1066">
        <f t="shared" si="15"/>
        <v>2006</v>
      </c>
      <c r="AE30" s="570">
        <f t="shared" si="16"/>
        <v>5343.5</v>
      </c>
      <c r="AF30" s="652">
        <f t="shared" si="17"/>
        <v>1623057</v>
      </c>
      <c r="AG30" s="1562">
        <f t="shared" si="18"/>
        <v>78.099999999999994</v>
      </c>
      <c r="AH30" s="569">
        <v>0</v>
      </c>
      <c r="AI30" s="696">
        <v>1</v>
      </c>
      <c r="AJ30" s="569">
        <f t="shared" si="12"/>
        <v>5218</v>
      </c>
      <c r="AK30" s="569">
        <f t="shared" si="20"/>
        <v>125.5</v>
      </c>
      <c r="AL30" s="569"/>
      <c r="AM30" s="778"/>
      <c r="AN30" s="569"/>
      <c r="AO30" s="630"/>
      <c r="AP30" s="322">
        <f t="shared" si="13"/>
        <v>-1.9000000000005457</v>
      </c>
      <c r="AQ30" s="275"/>
      <c r="AR30" s="1572"/>
      <c r="AS30" s="1571"/>
      <c r="AT30" s="1571"/>
      <c r="AU30" s="1571"/>
      <c r="AV30" s="1"/>
      <c r="AW30" s="1"/>
      <c r="AX30" s="1"/>
      <c r="AY30" s="474"/>
      <c r="AZ30" s="474"/>
      <c r="BA30" s="474"/>
      <c r="BB30" s="474"/>
      <c r="BC30" s="696">
        <f t="shared" si="2"/>
        <v>2006</v>
      </c>
      <c r="BD30" s="569">
        <f t="shared" si="7"/>
        <v>5314</v>
      </c>
      <c r="BE30" s="570">
        <f t="shared" si="8"/>
        <v>5343.5</v>
      </c>
      <c r="BF30" s="1431">
        <f t="shared" si="21"/>
        <v>-29.5</v>
      </c>
      <c r="BG30" s="570">
        <f t="shared" si="10"/>
        <v>5218</v>
      </c>
      <c r="BH30" s="1431">
        <f t="shared" si="22"/>
        <v>96</v>
      </c>
      <c r="BI30" s="474"/>
    </row>
    <row r="31" spans="1:61">
      <c r="A31" s="123">
        <v>1998</v>
      </c>
      <c r="B31" s="139">
        <v>36118</v>
      </c>
      <c r="C31" s="131">
        <v>19</v>
      </c>
      <c r="D31" s="346" t="str">
        <f t="shared" si="0"/>
        <v>Thu</v>
      </c>
      <c r="E31" s="133">
        <f>[7]MoCoinMW!F111</f>
        <v>5387</v>
      </c>
      <c r="F31" s="133">
        <f>[7]MoCoinMW!G111</f>
        <v>5101.8039374368336</v>
      </c>
      <c r="G31" s="164">
        <f>SUM([6]Hist!M231:O231)</f>
        <v>0</v>
      </c>
      <c r="H31" s="164">
        <f>[6]Hist!L231</f>
        <v>0</v>
      </c>
      <c r="I31" s="164">
        <f>[6]Hist!P231</f>
        <v>0</v>
      </c>
      <c r="J31" s="133">
        <f t="shared" si="3"/>
        <v>5101.8039374368336</v>
      </c>
      <c r="K31" s="164">
        <f>[6]Hist!U231</f>
        <v>250</v>
      </c>
      <c r="L31" s="164">
        <f>[6]Hist!V231</f>
        <v>75</v>
      </c>
      <c r="M31" s="133">
        <f t="shared" si="4"/>
        <v>5351.8039374368336</v>
      </c>
      <c r="N31" s="164">
        <f>'Interruptible Forecast'!AR9</f>
        <v>343</v>
      </c>
      <c r="O31" s="1377">
        <f t="shared" si="5"/>
        <v>4683.8039374368336</v>
      </c>
      <c r="P31" s="132">
        <f>[8]FCST!$BM5</f>
        <v>1345787</v>
      </c>
      <c r="Q31" s="463">
        <f>[8]FCST!$DO5</f>
        <v>8100</v>
      </c>
      <c r="R31" s="123">
        <f>[9]Sheet1!$R$29</f>
        <v>6634</v>
      </c>
      <c r="U31" s="374">
        <f>P31-Q31+R$31</f>
        <v>1344321</v>
      </c>
      <c r="W31" s="132">
        <f t="shared" si="19"/>
        <v>17212</v>
      </c>
      <c r="X31" s="339">
        <f>[5]Nov!$L26</f>
        <v>75.900000000000006</v>
      </c>
      <c r="Y31" s="891">
        <f>[5]Nov!$J26</f>
        <v>76.3</v>
      </c>
      <c r="Z31" s="144">
        <f>[5]Nov!$K26</f>
        <v>75</v>
      </c>
      <c r="AA31" s="417">
        <f>[5]Nov!$M26</f>
        <v>80.2</v>
      </c>
      <c r="AB31" s="499"/>
      <c r="AC31" s="103"/>
      <c r="AD31" s="1066">
        <f t="shared" si="15"/>
        <v>2007</v>
      </c>
      <c r="AE31" s="570">
        <f t="shared" si="16"/>
        <v>5402</v>
      </c>
      <c r="AF31" s="652">
        <f t="shared" si="17"/>
        <v>1637891</v>
      </c>
      <c r="AG31" s="1562">
        <f t="shared" si="18"/>
        <v>81.7</v>
      </c>
      <c r="AH31" s="569">
        <v>0</v>
      </c>
      <c r="AI31" s="696">
        <v>1</v>
      </c>
      <c r="AJ31" s="569">
        <f>ROUND($AV$13+$AU$13*$AF31+$AT$13*$AG31+$AS$13*$AH31+$AR$13*$AI31,0)</f>
        <v>5485</v>
      </c>
      <c r="AK31" s="569">
        <f t="shared" si="20"/>
        <v>-83</v>
      </c>
      <c r="AL31" s="569"/>
      <c r="AM31" s="778"/>
      <c r="AN31" s="569"/>
      <c r="AO31" s="630"/>
      <c r="AP31" s="322">
        <f t="shared" si="13"/>
        <v>58.5</v>
      </c>
      <c r="AQ31" s="1572"/>
      <c r="AR31" s="1572"/>
      <c r="AS31" s="1571"/>
      <c r="AT31" s="1571"/>
      <c r="AU31" s="1571"/>
      <c r="AV31" s="1"/>
      <c r="AW31" s="1"/>
      <c r="AX31" s="1"/>
      <c r="AY31" s="474"/>
      <c r="AZ31" s="474"/>
      <c r="BA31" s="474"/>
      <c r="BB31" s="474"/>
      <c r="BC31" s="696">
        <f t="shared" si="2"/>
        <v>2007</v>
      </c>
      <c r="BD31" s="569">
        <f t="shared" si="7"/>
        <v>5368</v>
      </c>
      <c r="BE31" s="570">
        <f t="shared" si="8"/>
        <v>5402</v>
      </c>
      <c r="BF31" s="1431">
        <f t="shared" si="21"/>
        <v>-34</v>
      </c>
      <c r="BG31" s="570">
        <f t="shared" si="10"/>
        <v>5485</v>
      </c>
      <c r="BH31" s="1431">
        <f t="shared" si="22"/>
        <v>-117</v>
      </c>
      <c r="BI31" s="474"/>
    </row>
    <row r="32" spans="1:61">
      <c r="A32" s="123">
        <v>1999</v>
      </c>
      <c r="B32" s="139">
        <v>36465</v>
      </c>
      <c r="C32" s="123">
        <v>17</v>
      </c>
      <c r="D32" s="346" t="str">
        <f t="shared" si="0"/>
        <v>Mon</v>
      </c>
      <c r="E32" s="133">
        <f>[7]MoCoinMW!F123</f>
        <v>5731</v>
      </c>
      <c r="F32" s="133">
        <f>[7]MoCoinMW!G123</f>
        <v>5076</v>
      </c>
      <c r="G32" s="164">
        <f>SUM([6]Hist!M243:O243)</f>
        <v>0</v>
      </c>
      <c r="H32" s="164">
        <f>[6]Hist!L243</f>
        <v>0</v>
      </c>
      <c r="I32" s="164">
        <f>[6]Hist!P243</f>
        <v>0</v>
      </c>
      <c r="J32" s="374">
        <f t="shared" ref="J32:J37" si="23">SUM(F32:I32)</f>
        <v>5076</v>
      </c>
      <c r="K32" s="164">
        <f>[6]Hist!U243</f>
        <v>278</v>
      </c>
      <c r="L32" s="164">
        <f>[6]Hist!V243</f>
        <v>75</v>
      </c>
      <c r="M32" s="133">
        <f t="shared" si="4"/>
        <v>5354</v>
      </c>
      <c r="N32" s="164">
        <f>'Interruptible Forecast'!AR10</f>
        <v>260</v>
      </c>
      <c r="O32" s="1377">
        <f t="shared" si="5"/>
        <v>4741</v>
      </c>
      <c r="P32" s="132">
        <f>[8]FCST!$BM6</f>
        <v>1380772</v>
      </c>
      <c r="Q32" s="463">
        <f>[8]FCST!$DO6</f>
        <v>16821</v>
      </c>
      <c r="U32" s="374">
        <f t="shared" ref="U32:U58" si="24">P32-Q32+R$31</f>
        <v>1370585</v>
      </c>
      <c r="W32" s="132">
        <f t="shared" si="19"/>
        <v>26264</v>
      </c>
      <c r="X32" s="339">
        <f>[5]Nov!$L27</f>
        <v>75.2</v>
      </c>
      <c r="Y32" s="891">
        <f>[5]Nov!$J27</f>
        <v>75.099999999999994</v>
      </c>
      <c r="Z32" s="144">
        <f>[5]Nov!$K27</f>
        <v>75.400000000000006</v>
      </c>
      <c r="AA32" s="417">
        <f>[5]Nov!$M27</f>
        <v>76.900000000000006</v>
      </c>
      <c r="AB32" s="499"/>
      <c r="AC32" s="103"/>
      <c r="AD32" s="860">
        <f t="shared" ref="AD32:AD33" si="25">A42</f>
        <v>2009</v>
      </c>
      <c r="AE32" s="570">
        <f t="shared" ref="AE32:AF34" si="26">O42</f>
        <v>5337</v>
      </c>
      <c r="AF32" s="652">
        <f t="shared" si="26"/>
        <v>1624998</v>
      </c>
      <c r="AG32" s="1562">
        <f>Y42</f>
        <v>81.7</v>
      </c>
      <c r="AH32" s="569">
        <v>0</v>
      </c>
      <c r="AI32" s="696">
        <v>1</v>
      </c>
      <c r="AJ32" s="569">
        <f>ROUND($AV$13+$AU$13*$AF32+$AT$13*$AG32+$AS$13*$AH32+$AR$13*$AI32,0)</f>
        <v>5437</v>
      </c>
      <c r="AK32" s="569">
        <f t="shared" si="20"/>
        <v>-100</v>
      </c>
      <c r="AL32" s="569"/>
      <c r="AM32" s="778"/>
      <c r="AN32" s="569"/>
      <c r="AO32" s="630"/>
      <c r="AP32" s="322">
        <f t="shared" si="13"/>
        <v>-65</v>
      </c>
      <c r="AQ32" s="270"/>
      <c r="AR32" s="270"/>
      <c r="AS32" s="270"/>
      <c r="AT32" s="270"/>
      <c r="AU32" s="270"/>
      <c r="AV32" s="1"/>
      <c r="AW32" s="1"/>
      <c r="AX32" s="1"/>
      <c r="AY32" s="474"/>
      <c r="AZ32" s="474"/>
      <c r="BA32" s="474"/>
      <c r="BB32" s="474"/>
      <c r="BC32" s="696">
        <f t="shared" ref="BC32:BC38" si="27">AD32</f>
        <v>2009</v>
      </c>
      <c r="BD32" s="569">
        <f t="shared" si="7"/>
        <v>5321</v>
      </c>
      <c r="BE32" s="570">
        <f>AE32</f>
        <v>5337</v>
      </c>
      <c r="BF32" s="1431">
        <f t="shared" si="21"/>
        <v>-16</v>
      </c>
      <c r="BG32" s="570">
        <f>AJ32</f>
        <v>5437</v>
      </c>
      <c r="BH32" s="1431">
        <f t="shared" si="22"/>
        <v>-116</v>
      </c>
      <c r="BI32" s="474"/>
    </row>
    <row r="33" spans="1:61">
      <c r="A33" s="123">
        <v>2000</v>
      </c>
      <c r="B33" s="139">
        <v>36852</v>
      </c>
      <c r="C33" s="976">
        <v>8</v>
      </c>
      <c r="D33" s="346" t="str">
        <f t="shared" si="0"/>
        <v>Wed</v>
      </c>
      <c r="E33" s="133">
        <f>[7]MoCoinMW!F135</f>
        <v>7589</v>
      </c>
      <c r="F33" s="133">
        <f>[7]MoCoinMW!G135</f>
        <v>6188.5</v>
      </c>
      <c r="G33" s="164">
        <f>SUM([6]Hist!M255:O255)</f>
        <v>0</v>
      </c>
      <c r="H33" s="164">
        <f>[6]Hist!L255</f>
        <v>0</v>
      </c>
      <c r="I33" s="164">
        <f>[6]Hist!P255</f>
        <v>0</v>
      </c>
      <c r="J33" s="133">
        <f t="shared" si="23"/>
        <v>6188.5</v>
      </c>
      <c r="K33" s="164">
        <f>[6]Hist!U255</f>
        <v>300</v>
      </c>
      <c r="L33" s="164">
        <f>[6]Hist!V255</f>
        <v>75</v>
      </c>
      <c r="M33" s="133">
        <f t="shared" si="4"/>
        <v>6488.5</v>
      </c>
      <c r="N33" s="164">
        <f>'Interruptible Forecast'!AR11</f>
        <v>317</v>
      </c>
      <c r="O33" s="1377">
        <f t="shared" si="5"/>
        <v>5796.5</v>
      </c>
      <c r="P33" s="132">
        <f>[8]FCST!$BM7</f>
        <v>1419670</v>
      </c>
      <c r="Q33" s="463">
        <f>[8]FCST!$DO7</f>
        <v>20562</v>
      </c>
      <c r="U33" s="374">
        <f t="shared" si="24"/>
        <v>1405742</v>
      </c>
      <c r="W33" s="132">
        <f t="shared" si="19"/>
        <v>35157</v>
      </c>
      <c r="X33" s="502">
        <f>[5]Nov!$L28</f>
        <v>43.6</v>
      </c>
      <c r="Y33" s="144">
        <f>[5]Nov!$J28</f>
        <v>40.6</v>
      </c>
      <c r="Z33" s="144">
        <f>[5]Nov!$K28</f>
        <v>49.6</v>
      </c>
      <c r="AA33" s="339">
        <f>[5]Nov!$M28</f>
        <v>40.6</v>
      </c>
      <c r="AB33" s="499"/>
      <c r="AC33" s="103"/>
      <c r="AD33" s="1066">
        <f t="shared" si="25"/>
        <v>2010</v>
      </c>
      <c r="AE33" s="570">
        <f t="shared" si="26"/>
        <v>5455</v>
      </c>
      <c r="AF33" s="652">
        <f t="shared" si="26"/>
        <v>1633536</v>
      </c>
      <c r="AG33" s="1562">
        <f>Y43</f>
        <v>82.9</v>
      </c>
      <c r="AH33" s="1573">
        <v>1</v>
      </c>
      <c r="AI33" s="696">
        <v>0</v>
      </c>
      <c r="AJ33" s="569">
        <f>ROUND($AV$13+$AU$13*$AF33+$AT$13*$AG33+$AS$13*$AH33+$AR$13*$AI33,0)</f>
        <v>5411</v>
      </c>
      <c r="AK33" s="569">
        <f t="shared" si="20"/>
        <v>44</v>
      </c>
      <c r="AL33" s="569"/>
      <c r="AM33" s="778"/>
      <c r="AN33" s="569"/>
      <c r="AO33" s="630"/>
      <c r="AP33" s="322">
        <f t="shared" si="13"/>
        <v>118</v>
      </c>
      <c r="AQ33" s="1"/>
      <c r="AR33" s="1"/>
      <c r="AS33" s="1"/>
      <c r="AT33" s="1"/>
      <c r="AU33" s="1"/>
      <c r="AV33" s="1"/>
      <c r="AW33" s="1"/>
      <c r="AX33" s="1"/>
      <c r="AY33" s="474"/>
      <c r="AZ33" s="474"/>
      <c r="BA33" s="474"/>
      <c r="BB33" s="474"/>
      <c r="BC33" s="696">
        <f t="shared" si="27"/>
        <v>2010</v>
      </c>
      <c r="BD33" s="569">
        <f t="shared" si="7"/>
        <v>5224</v>
      </c>
      <c r="BE33" s="570">
        <f>AE33</f>
        <v>5455</v>
      </c>
      <c r="BF33" s="1431">
        <f t="shared" si="21"/>
        <v>-231</v>
      </c>
      <c r="BG33" s="570">
        <f>AJ33</f>
        <v>5411</v>
      </c>
      <c r="BH33" s="1431">
        <f t="shared" si="22"/>
        <v>-187</v>
      </c>
      <c r="BI33" s="474"/>
    </row>
    <row r="34" spans="1:61">
      <c r="A34" s="123">
        <v>2001</v>
      </c>
      <c r="B34" s="139">
        <v>37196</v>
      </c>
      <c r="C34" s="123">
        <v>19</v>
      </c>
      <c r="D34" s="346" t="str">
        <f t="shared" si="0"/>
        <v>Thu</v>
      </c>
      <c r="E34" s="133">
        <f>[7]MoCoinMW!F147</f>
        <v>5386</v>
      </c>
      <c r="F34" s="133">
        <f>[7]MoCoinMW!G147</f>
        <v>5021.5</v>
      </c>
      <c r="G34" s="164">
        <f>SUM([6]Hist!M267:O267)</f>
        <v>0</v>
      </c>
      <c r="H34" s="164">
        <f>[6]Hist!L267</f>
        <v>0</v>
      </c>
      <c r="I34" s="164">
        <f>[6]Hist!P267</f>
        <v>0</v>
      </c>
      <c r="J34" s="133">
        <f t="shared" si="23"/>
        <v>5021.5</v>
      </c>
      <c r="K34" s="164">
        <f>[6]Hist!U267</f>
        <v>320</v>
      </c>
      <c r="L34" s="164">
        <f>[6]Hist!V267</f>
        <v>75</v>
      </c>
      <c r="M34" s="133">
        <f t="shared" si="4"/>
        <v>5341.5</v>
      </c>
      <c r="N34" s="164">
        <f>'Interruptible Forecast'!AR12</f>
        <v>330</v>
      </c>
      <c r="O34" s="1377">
        <f t="shared" si="5"/>
        <v>4616.5</v>
      </c>
      <c r="P34" s="132">
        <f>[8]FCST!$BM8</f>
        <v>1452573</v>
      </c>
      <c r="Q34" s="463">
        <f>[8]FCST!$DO8</f>
        <v>22232</v>
      </c>
      <c r="U34" s="374">
        <f t="shared" si="24"/>
        <v>1436975</v>
      </c>
      <c r="W34" s="132">
        <f t="shared" si="19"/>
        <v>31233</v>
      </c>
      <c r="X34" s="339">
        <f>[5]Nov!$L29</f>
        <v>75.3</v>
      </c>
      <c r="Y34" s="891">
        <f>[5]Nov!$J29</f>
        <v>76.2</v>
      </c>
      <c r="Z34" s="144">
        <f>[5]Nov!$K29</f>
        <v>73.5</v>
      </c>
      <c r="AA34" s="417">
        <f>[5]Nov!$M29</f>
        <v>79</v>
      </c>
      <c r="AB34" s="499"/>
      <c r="AD34" s="1066">
        <f t="shared" ref="AD34" si="28">A44</f>
        <v>2011</v>
      </c>
      <c r="AE34" s="570">
        <f t="shared" si="26"/>
        <v>5137</v>
      </c>
      <c r="AF34" s="652">
        <f t="shared" si="26"/>
        <v>1642897</v>
      </c>
      <c r="AG34" s="1565">
        <f>Y44</f>
        <v>82.9</v>
      </c>
      <c r="AH34" s="1573">
        <v>1</v>
      </c>
      <c r="AI34" s="696">
        <v>0</v>
      </c>
      <c r="AJ34" s="569">
        <f>ROUND($AV$13+$AU$13*$AF34+$AT$13*$AG34+$AS$13*$AH34+$AR$13*$AI34,0)</f>
        <v>5445</v>
      </c>
      <c r="AK34" s="569">
        <f t="shared" ref="AK34" si="29">AE34-AJ34</f>
        <v>-308</v>
      </c>
      <c r="AL34" s="569"/>
      <c r="AM34" s="778"/>
      <c r="AN34" s="569">
        <f>[11]Nov!$AM35</f>
        <v>6617</v>
      </c>
      <c r="AO34" s="630"/>
      <c r="AP34" s="322">
        <f t="shared" si="13"/>
        <v>-318</v>
      </c>
      <c r="AQ34" s="1"/>
      <c r="AR34" s="1"/>
      <c r="AS34" s="1"/>
      <c r="AT34" s="1"/>
      <c r="AU34" s="1"/>
      <c r="AV34" s="1"/>
      <c r="AW34" s="1"/>
      <c r="AX34" s="1"/>
      <c r="AY34" s="474"/>
      <c r="AZ34" s="474"/>
      <c r="BA34" s="474"/>
      <c r="BB34" s="474"/>
      <c r="BC34" s="696">
        <f t="shared" si="27"/>
        <v>2011</v>
      </c>
      <c r="BD34" s="569">
        <f t="shared" si="7"/>
        <v>5258</v>
      </c>
      <c r="BE34" s="570">
        <f t="shared" ref="BE34" si="30">AE34</f>
        <v>5137</v>
      </c>
      <c r="BF34" s="1431">
        <f t="shared" ref="BF34" si="31">BD34-BE34</f>
        <v>121</v>
      </c>
      <c r="BG34" s="570">
        <f t="shared" ref="BG34" si="32">AJ34</f>
        <v>5445</v>
      </c>
      <c r="BH34" s="1431">
        <f t="shared" ref="BH34" si="33">BD34-BG34</f>
        <v>-187</v>
      </c>
      <c r="BI34" s="474"/>
    </row>
    <row r="35" spans="1:61">
      <c r="A35" s="123">
        <v>2002</v>
      </c>
      <c r="B35" s="413">
        <v>37571</v>
      </c>
      <c r="C35" s="123">
        <v>15</v>
      </c>
      <c r="D35" s="346" t="str">
        <f t="shared" ref="D35:D40" si="34">TEXT(WEEKDAY(B35),"ddd")</f>
        <v>Mon</v>
      </c>
      <c r="E35" s="133">
        <f>[7]MoCoinMW!F159</f>
        <v>6978</v>
      </c>
      <c r="F35" s="133">
        <f>[7]MoCoinMW!G159</f>
        <v>6178.26</v>
      </c>
      <c r="G35" s="164">
        <f>SUM([6]Hist!M279:O279)</f>
        <v>0</v>
      </c>
      <c r="H35" s="164">
        <f>[6]Hist!L279</f>
        <v>0</v>
      </c>
      <c r="I35" s="164">
        <f>[6]Hist!P279</f>
        <v>0</v>
      </c>
      <c r="J35" s="133">
        <f t="shared" si="23"/>
        <v>6178.26</v>
      </c>
      <c r="K35" s="164">
        <f>[6]Hist!U279</f>
        <v>342</v>
      </c>
      <c r="L35" s="164">
        <f>[6]Hist!V279</f>
        <v>75</v>
      </c>
      <c r="M35" s="133">
        <f t="shared" si="4"/>
        <v>6520.26</v>
      </c>
      <c r="N35" s="164">
        <f>'Interruptible Forecast'!AR13</f>
        <v>325</v>
      </c>
      <c r="O35" s="1377">
        <f t="shared" si="5"/>
        <v>5778.26</v>
      </c>
      <c r="P35" s="132">
        <f>[8]FCST!$BM9</f>
        <v>1484521</v>
      </c>
      <c r="Q35" s="463">
        <f>[8]FCST!$DO9</f>
        <v>22126</v>
      </c>
      <c r="R35" s="284"/>
      <c r="S35" s="347"/>
      <c r="T35" s="501"/>
      <c r="U35" s="374">
        <f t="shared" si="24"/>
        <v>1469029</v>
      </c>
      <c r="W35" s="132">
        <f t="shared" si="19"/>
        <v>32054</v>
      </c>
      <c r="X35" s="283">
        <f>[5]Nov!$L30</f>
        <v>82</v>
      </c>
      <c r="Y35" s="891">
        <f>[5]Nov!$J30</f>
        <v>85</v>
      </c>
      <c r="Z35" s="144">
        <f>[5]Nov!$K30</f>
        <v>76.2</v>
      </c>
      <c r="AA35" s="342">
        <f>[5]Nov!$M30</f>
        <v>84</v>
      </c>
      <c r="AB35" s="499"/>
      <c r="AD35" s="860">
        <f>A46</f>
        <v>2013</v>
      </c>
      <c r="AE35" s="474"/>
      <c r="AF35" s="1574">
        <f t="shared" ref="AF35:AF62" si="35">P46</f>
        <v>1677458.6999864201</v>
      </c>
      <c r="AG35" s="697">
        <f t="shared" ref="AG35:AG53" si="36">$Y$74</f>
        <v>79.728571428571442</v>
      </c>
      <c r="AH35" s="1573">
        <f>AH34-0.2</f>
        <v>0.8</v>
      </c>
      <c r="AI35" s="696">
        <v>0</v>
      </c>
      <c r="AJ35" s="569"/>
      <c r="AK35" s="569"/>
      <c r="AL35" s="569">
        <v>25</v>
      </c>
      <c r="AM35" s="778">
        <f t="shared" ref="AM35:AM53" si="37">ROUND($AV$13+$AU$13*$AF35+$AT$13*$AG35+$AS$13*$AH35+$AR$13*$AI35,0)-AL35</f>
        <v>5503</v>
      </c>
      <c r="AN35" s="569">
        <f>[11]Nov!$AM36</f>
        <v>6719</v>
      </c>
      <c r="AO35" s="630">
        <f t="shared" ref="AO35:AO48" si="38">AM35-AN35</f>
        <v>-1216</v>
      </c>
      <c r="AP35" s="322">
        <f>AM35-AE34</f>
        <v>366</v>
      </c>
      <c r="AQ35" s="726"/>
      <c r="AR35" s="726"/>
      <c r="AS35" s="726"/>
      <c r="AT35" s="726"/>
      <c r="AU35" s="726"/>
      <c r="AV35" s="726"/>
      <c r="AW35" s="726"/>
      <c r="AX35" s="726"/>
      <c r="AY35" s="474"/>
      <c r="AZ35" s="474"/>
      <c r="BA35" s="474"/>
      <c r="BB35" s="474"/>
      <c r="BC35" s="696">
        <f t="shared" si="27"/>
        <v>2013</v>
      </c>
      <c r="BD35" s="569"/>
      <c r="BE35" s="570"/>
      <c r="BF35" s="1431"/>
      <c r="BG35" s="570"/>
      <c r="BH35" s="1431"/>
      <c r="BI35" s="474"/>
    </row>
    <row r="36" spans="1:61">
      <c r="A36" s="123">
        <v>2003</v>
      </c>
      <c r="B36" s="413">
        <v>37930</v>
      </c>
      <c r="C36" s="123">
        <v>14</v>
      </c>
      <c r="D36" s="346" t="str">
        <f t="shared" si="34"/>
        <v>Wed</v>
      </c>
      <c r="E36" s="133">
        <f>[7]MoCoinMW!F$171</f>
        <v>6887</v>
      </c>
      <c r="F36" s="133">
        <f>[7]MoCoinMW!G$171</f>
        <v>6343.2</v>
      </c>
      <c r="G36" s="164">
        <f>SUM([6]Hist!M$291:O$291)</f>
        <v>0</v>
      </c>
      <c r="H36" s="164">
        <f>[6]Hist!L$291</f>
        <v>0</v>
      </c>
      <c r="I36" s="164">
        <f>[6]Hist!P$291</f>
        <v>0</v>
      </c>
      <c r="J36" s="133">
        <f t="shared" si="23"/>
        <v>6343.2</v>
      </c>
      <c r="K36" s="164">
        <f>[6]Hist!U$291</f>
        <v>366</v>
      </c>
      <c r="L36" s="164">
        <f>[6]Hist!V$291</f>
        <v>75</v>
      </c>
      <c r="M36" s="133">
        <f t="shared" si="4"/>
        <v>6709.2</v>
      </c>
      <c r="N36" s="164">
        <f>'Interruptible Forecast'!AR14</f>
        <v>315</v>
      </c>
      <c r="O36" s="1377">
        <f t="shared" si="5"/>
        <v>5953.2</v>
      </c>
      <c r="P36" s="132">
        <f>[8]FCST!$BM10</f>
        <v>1522213</v>
      </c>
      <c r="Q36" s="463">
        <f>[8]FCST!$DO10</f>
        <v>24709</v>
      </c>
      <c r="R36" s="558"/>
      <c r="S36" s="371">
        <f>[8]FCST!$CW10</f>
        <v>50343</v>
      </c>
      <c r="T36" s="387"/>
      <c r="U36" s="374">
        <f t="shared" si="24"/>
        <v>1504138</v>
      </c>
      <c r="W36" s="132">
        <f t="shared" si="19"/>
        <v>35109</v>
      </c>
      <c r="X36" s="123">
        <f>[5]Nov!$L31</f>
        <v>81.8</v>
      </c>
      <c r="Y36" s="891">
        <f>[5]Nov!$J31</f>
        <v>83.6</v>
      </c>
      <c r="Z36" s="617">
        <f>[5]Nov!$K31</f>
        <v>78.2</v>
      </c>
      <c r="AA36" s="624">
        <f>[5]Nov!$M31</f>
        <v>82.5</v>
      </c>
      <c r="AB36" s="499"/>
      <c r="AD36" s="696">
        <f>A47</f>
        <v>2014</v>
      </c>
      <c r="AE36" s="474"/>
      <c r="AF36" s="652">
        <f t="shared" si="35"/>
        <v>1700470.3300766</v>
      </c>
      <c r="AG36" s="697">
        <f t="shared" si="36"/>
        <v>79.728571428571442</v>
      </c>
      <c r="AH36" s="1573">
        <f t="shared" ref="AH36:AH38" si="39">AH35-0.2</f>
        <v>0.60000000000000009</v>
      </c>
      <c r="AI36" s="696">
        <v>0</v>
      </c>
      <c r="AJ36" s="569"/>
      <c r="AK36" s="569"/>
      <c r="AL36" s="569">
        <v>25</v>
      </c>
      <c r="AM36" s="778">
        <f t="shared" si="37"/>
        <v>5730</v>
      </c>
      <c r="AN36" s="569">
        <f>[11]Nov!$AM37</f>
        <v>6853</v>
      </c>
      <c r="AO36" s="630">
        <f t="shared" si="38"/>
        <v>-1123</v>
      </c>
      <c r="AP36" s="322">
        <f t="shared" ref="AP36:AP48" si="40">AM36-AM35</f>
        <v>227</v>
      </c>
      <c r="AQ36" s="726"/>
      <c r="AR36" s="726"/>
      <c r="AS36" s="726"/>
      <c r="AT36" s="726"/>
      <c r="AU36" s="726"/>
      <c r="AV36" s="726"/>
      <c r="AW36" s="726"/>
      <c r="AX36" s="726"/>
      <c r="AY36" s="474"/>
      <c r="AZ36" s="474"/>
      <c r="BA36" s="474"/>
      <c r="BB36" s="474"/>
      <c r="BC36" s="696">
        <f t="shared" si="27"/>
        <v>2014</v>
      </c>
      <c r="BD36" s="1431"/>
      <c r="BE36" s="570"/>
      <c r="BF36" s="1431"/>
      <c r="BG36" s="570"/>
      <c r="BH36" s="1431"/>
      <c r="BI36" s="474"/>
    </row>
    <row r="37" spans="1:61">
      <c r="A37" s="123">
        <v>2004</v>
      </c>
      <c r="B37" s="413">
        <v>38293</v>
      </c>
      <c r="C37" s="123">
        <v>16</v>
      </c>
      <c r="D37" s="346" t="str">
        <f t="shared" si="34"/>
        <v>Tue</v>
      </c>
      <c r="E37" s="133">
        <f>[7]MoCoinMW!F$183</f>
        <v>7313.3</v>
      </c>
      <c r="F37" s="133">
        <f>[7]MoCoinMW!G$183</f>
        <v>6561.7000000000007</v>
      </c>
      <c r="G37" s="164">
        <f>SUM([6]Hist!M$303:O$303)</f>
        <v>0</v>
      </c>
      <c r="H37" s="164">
        <f>[6]Hist!L$303</f>
        <v>0</v>
      </c>
      <c r="I37" s="164">
        <f>[6]Hist!P$303</f>
        <v>0</v>
      </c>
      <c r="J37" s="133">
        <f t="shared" si="23"/>
        <v>6561.7000000000007</v>
      </c>
      <c r="K37" s="164">
        <f>[6]Hist!U$303</f>
        <v>389</v>
      </c>
      <c r="L37" s="164">
        <f>[6]Hist!V$303</f>
        <v>110</v>
      </c>
      <c r="M37" s="133">
        <f t="shared" si="4"/>
        <v>6950.7000000000007</v>
      </c>
      <c r="N37" s="164">
        <f>'Interruptible Forecast'!AR15</f>
        <v>377</v>
      </c>
      <c r="O37" s="1377">
        <f t="shared" si="5"/>
        <v>6074.7000000000007</v>
      </c>
      <c r="P37" s="132">
        <f>[8]FCST!$BM11</f>
        <v>1557002</v>
      </c>
      <c r="Q37" s="463">
        <f>[8]FCST!$DO11</f>
        <v>25791</v>
      </c>
      <c r="R37" s="558"/>
      <c r="S37" s="371">
        <f>[8]FCST!$CW11</f>
        <v>53476</v>
      </c>
      <c r="T37" s="387"/>
      <c r="U37" s="374">
        <f t="shared" si="24"/>
        <v>1537845</v>
      </c>
      <c r="W37" s="132">
        <f t="shared" si="19"/>
        <v>33707</v>
      </c>
      <c r="X37" s="123">
        <f>[5]Nov!$L32</f>
        <v>83.1</v>
      </c>
      <c r="Y37" s="891">
        <f>[5]Nov!$J32</f>
        <v>86.1</v>
      </c>
      <c r="Z37" s="617">
        <f>[5]Nov!$K32</f>
        <v>77.3</v>
      </c>
      <c r="AA37" s="624">
        <f>[5]Nov!$M32</f>
        <v>84.6</v>
      </c>
      <c r="AB37" s="499"/>
      <c r="AD37" s="696">
        <f t="shared" ref="AD37:AD62" si="41">A48</f>
        <v>2015</v>
      </c>
      <c r="AE37" s="474"/>
      <c r="AF37" s="652">
        <f t="shared" si="35"/>
        <v>1727404.53375683</v>
      </c>
      <c r="AG37" s="697">
        <f t="shared" si="36"/>
        <v>79.728571428571442</v>
      </c>
      <c r="AH37" s="1573">
        <f t="shared" si="39"/>
        <v>0.40000000000000008</v>
      </c>
      <c r="AI37" s="696">
        <v>0</v>
      </c>
      <c r="AJ37" s="569"/>
      <c r="AK37" s="569"/>
      <c r="AL37" s="569">
        <v>25</v>
      </c>
      <c r="AM37" s="778">
        <f t="shared" si="37"/>
        <v>5971</v>
      </c>
      <c r="AN37" s="569">
        <f>[11]Nov!$AM38</f>
        <v>6996</v>
      </c>
      <c r="AO37" s="630">
        <f t="shared" si="38"/>
        <v>-1025</v>
      </c>
      <c r="AP37" s="322">
        <f t="shared" si="40"/>
        <v>241</v>
      </c>
      <c r="AQ37" s="726"/>
      <c r="AR37" s="726"/>
      <c r="AS37" s="726"/>
      <c r="AT37" s="726"/>
      <c r="AU37" s="726"/>
      <c r="AV37" s="726"/>
      <c r="AW37" s="726"/>
      <c r="AX37" s="726"/>
      <c r="AY37" s="474"/>
      <c r="AZ37" s="474"/>
      <c r="BA37" s="474"/>
      <c r="BB37" s="474"/>
      <c r="BC37" s="696">
        <f t="shared" si="27"/>
        <v>2015</v>
      </c>
      <c r="BD37" s="474"/>
      <c r="BE37" s="474"/>
      <c r="BF37" s="474"/>
      <c r="BG37" s="474"/>
      <c r="BH37" s="474"/>
      <c r="BI37" s="474"/>
    </row>
    <row r="38" spans="1:61">
      <c r="A38" s="123">
        <v>2005</v>
      </c>
      <c r="B38" s="413">
        <v>38664</v>
      </c>
      <c r="C38" s="123">
        <v>16</v>
      </c>
      <c r="D38" s="346" t="str">
        <f t="shared" si="34"/>
        <v>Tue</v>
      </c>
      <c r="E38" s="133">
        <f>[7]MoCoinMW!F$195</f>
        <v>6424.3</v>
      </c>
      <c r="F38" s="133">
        <f>[7]MoCoinMW!G$195</f>
        <v>5757.4000000000005</v>
      </c>
      <c r="G38" s="164">
        <f>SUM([6]Hist!M$315:O$315)</f>
        <v>0</v>
      </c>
      <c r="H38" s="164">
        <f>[6]Hist!L$315</f>
        <v>0</v>
      </c>
      <c r="I38" s="164">
        <f>[6]Hist!P$315</f>
        <v>0</v>
      </c>
      <c r="J38" s="133">
        <f t="shared" ref="J38:J43" si="42">SUM(F38:I38)</f>
        <v>5757.4000000000005</v>
      </c>
      <c r="K38" s="164">
        <f>[6]Hist!U$315</f>
        <v>420</v>
      </c>
      <c r="L38" s="164">
        <f>[6]Hist!V$315</f>
        <v>66</v>
      </c>
      <c r="M38" s="133">
        <f t="shared" si="4"/>
        <v>6177.4000000000005</v>
      </c>
      <c r="N38" s="164">
        <f>'Interruptible Forecast'!AR16</f>
        <v>346</v>
      </c>
      <c r="O38" s="1377">
        <f t="shared" si="5"/>
        <v>5345.4000000000005</v>
      </c>
      <c r="P38" s="132">
        <f>[8]FCST!$BM12</f>
        <v>1587725</v>
      </c>
      <c r="Q38" s="463">
        <f>[8]FCST!$DO12</f>
        <v>29206</v>
      </c>
      <c r="R38" s="558"/>
      <c r="S38" s="371">
        <f>[8]FCST!$CW12</f>
        <v>58918</v>
      </c>
      <c r="T38" s="387"/>
      <c r="U38" s="374">
        <f t="shared" si="24"/>
        <v>1565153</v>
      </c>
      <c r="V38" s="374">
        <f>[10]WP2004!$D$69</f>
        <v>16059</v>
      </c>
      <c r="W38" s="132">
        <f t="shared" si="19"/>
        <v>27308</v>
      </c>
      <c r="X38" s="144">
        <f>[5]Nov!$L33</f>
        <v>80</v>
      </c>
      <c r="Y38" s="891">
        <f>[5]Nov!$J33</f>
        <v>82.9</v>
      </c>
      <c r="Z38" s="123">
        <f>[5]Nov!$K33</f>
        <v>74.3</v>
      </c>
      <c r="AA38" s="624">
        <f>[5]Nov!$M33</f>
        <v>81.7</v>
      </c>
      <c r="AD38" s="696">
        <f t="shared" si="41"/>
        <v>2016</v>
      </c>
      <c r="AE38" s="474"/>
      <c r="AF38" s="652">
        <f t="shared" si="35"/>
        <v>1753774.77903611</v>
      </c>
      <c r="AG38" s="697">
        <f t="shared" si="36"/>
        <v>79.728571428571442</v>
      </c>
      <c r="AH38" s="1573">
        <f t="shared" si="39"/>
        <v>0.20000000000000007</v>
      </c>
      <c r="AI38" s="696">
        <v>0</v>
      </c>
      <c r="AJ38" s="569"/>
      <c r="AK38" s="569"/>
      <c r="AL38" s="569">
        <v>25</v>
      </c>
      <c r="AM38" s="778">
        <f t="shared" si="37"/>
        <v>6211</v>
      </c>
      <c r="AN38" s="569">
        <f>[11]Nov!$AM39</f>
        <v>7135</v>
      </c>
      <c r="AO38" s="630">
        <f t="shared" si="38"/>
        <v>-924</v>
      </c>
      <c r="AP38" s="322">
        <f t="shared" si="40"/>
        <v>240</v>
      </c>
      <c r="AQ38" s="474"/>
      <c r="AR38" s="474"/>
      <c r="AS38" s="474"/>
      <c r="AT38" s="474"/>
      <c r="AU38" s="474"/>
      <c r="AV38" s="474"/>
      <c r="AW38" s="474"/>
      <c r="AX38" s="474"/>
      <c r="AY38" s="474"/>
      <c r="AZ38" s="474"/>
      <c r="BA38" s="474"/>
      <c r="BB38" s="474"/>
      <c r="BC38" s="696">
        <f t="shared" si="27"/>
        <v>2016</v>
      </c>
      <c r="BD38" s="474"/>
      <c r="BE38" s="474"/>
      <c r="BF38" s="474"/>
      <c r="BG38" s="474"/>
      <c r="BH38" s="474"/>
      <c r="BI38" s="474"/>
    </row>
    <row r="39" spans="1:61">
      <c r="A39" s="123">
        <v>2006</v>
      </c>
      <c r="B39" s="413">
        <v>39051</v>
      </c>
      <c r="C39" s="123">
        <v>19</v>
      </c>
      <c r="D39" s="346" t="str">
        <f t="shared" si="34"/>
        <v>Thu</v>
      </c>
      <c r="E39" s="133">
        <f>[7]MoCoinMW!F$207</f>
        <v>6414</v>
      </c>
      <c r="F39" s="133">
        <f>[7]MoCoinMW!G$207</f>
        <v>5789.5</v>
      </c>
      <c r="G39" s="164">
        <f>SUM([6]Hist!M$327:O$327)</f>
        <v>0</v>
      </c>
      <c r="H39" s="164">
        <f>[6]Hist!L$327</f>
        <v>0</v>
      </c>
      <c r="I39" s="164">
        <f>[6]Hist!P$327</f>
        <v>0</v>
      </c>
      <c r="J39" s="133">
        <f t="shared" si="42"/>
        <v>5789.5</v>
      </c>
      <c r="K39" s="164">
        <f>[6]Hist!U$327</f>
        <v>453</v>
      </c>
      <c r="L39" s="164">
        <f>[6]Hist!V$327</f>
        <v>110</v>
      </c>
      <c r="M39" s="133">
        <f t="shared" si="4"/>
        <v>6242.5</v>
      </c>
      <c r="N39" s="164">
        <f>'Interruptible Forecast'!AR17</f>
        <v>336</v>
      </c>
      <c r="O39" s="1377">
        <f t="shared" si="5"/>
        <v>5343.5</v>
      </c>
      <c r="P39" s="132">
        <f>[8]FCST!$BM13</f>
        <v>1623057</v>
      </c>
      <c r="Q39" s="463">
        <f>[8]FCST!$DO13</f>
        <v>29078</v>
      </c>
      <c r="R39" s="558"/>
      <c r="S39" s="371">
        <f>[8]FCST!$CW13</f>
        <v>61173</v>
      </c>
      <c r="T39" s="387"/>
      <c r="U39" s="374">
        <f t="shared" si="24"/>
        <v>1600613</v>
      </c>
      <c r="V39" s="374">
        <f>ROUND(V38*1.01,0)</f>
        <v>16220</v>
      </c>
      <c r="W39" s="132">
        <f t="shared" si="19"/>
        <v>35460</v>
      </c>
      <c r="X39" s="144">
        <f>[5]Nov!$L34</f>
        <v>77.099999999999994</v>
      </c>
      <c r="Y39" s="891">
        <f>[5]Nov!$J34</f>
        <v>78.099999999999994</v>
      </c>
      <c r="Z39" s="123">
        <f>[5]Nov!$K34</f>
        <v>75.099999999999994</v>
      </c>
      <c r="AA39" s="773">
        <f>[5]Nov!$M34</f>
        <v>81</v>
      </c>
      <c r="AD39" s="696">
        <f t="shared" si="41"/>
        <v>2017</v>
      </c>
      <c r="AE39" s="474"/>
      <c r="AF39" s="652">
        <f t="shared" si="35"/>
        <v>1780081.71435494</v>
      </c>
      <c r="AG39" s="697">
        <f t="shared" si="36"/>
        <v>79.728571428571442</v>
      </c>
      <c r="AH39" s="569">
        <v>0</v>
      </c>
      <c r="AI39" s="696">
        <v>0</v>
      </c>
      <c r="AJ39" s="569"/>
      <c r="AK39" s="569"/>
      <c r="AL39" s="569">
        <v>25</v>
      </c>
      <c r="AM39" s="778">
        <f t="shared" si="37"/>
        <v>6450</v>
      </c>
      <c r="AN39" s="569">
        <f>[11]Nov!$AM40</f>
        <v>7280</v>
      </c>
      <c r="AO39" s="630">
        <f t="shared" si="38"/>
        <v>-830</v>
      </c>
      <c r="AP39" s="322">
        <f t="shared" si="40"/>
        <v>239</v>
      </c>
      <c r="AQ39" s="474"/>
      <c r="AR39" s="474"/>
      <c r="AS39" s="474"/>
      <c r="AT39" s="474"/>
      <c r="AU39" s="474"/>
      <c r="AV39" s="474"/>
      <c r="AW39" s="474"/>
      <c r="AX39" s="474"/>
      <c r="AY39" s="474"/>
      <c r="AZ39" s="474"/>
      <c r="BA39" s="474"/>
      <c r="BB39" s="474"/>
      <c r="BC39" s="474"/>
      <c r="BD39" s="474"/>
      <c r="BE39" s="474"/>
      <c r="BF39" s="474"/>
      <c r="BG39" s="474"/>
      <c r="BH39" s="474"/>
      <c r="BI39" s="474"/>
    </row>
    <row r="40" spans="1:61">
      <c r="A40" s="123">
        <v>2007</v>
      </c>
      <c r="B40" s="413">
        <v>39387</v>
      </c>
      <c r="C40" s="123">
        <v>17</v>
      </c>
      <c r="D40" s="346" t="str">
        <f t="shared" si="34"/>
        <v>Thu</v>
      </c>
      <c r="E40" s="133">
        <f>[7]MoCoinMW!F$219</f>
        <v>6812</v>
      </c>
      <c r="F40" s="133">
        <f>[7]MoCoinMW!G$219</f>
        <v>5871</v>
      </c>
      <c r="G40" s="164">
        <f>SUM([6]Hist!M$339:O$339)</f>
        <v>0</v>
      </c>
      <c r="H40" s="164">
        <f>[6]Hist!L$339</f>
        <v>0</v>
      </c>
      <c r="I40" s="164">
        <f>[6]Hist!P$339</f>
        <v>0</v>
      </c>
      <c r="J40" s="133">
        <f t="shared" si="42"/>
        <v>5871</v>
      </c>
      <c r="K40" s="164">
        <f>[6]Hist!U$339</f>
        <v>485</v>
      </c>
      <c r="L40" s="164">
        <f>[6]Hist!V$339</f>
        <v>110</v>
      </c>
      <c r="M40" s="133">
        <f t="shared" ref="M40:M45" si="43">SUM(J40:K40)</f>
        <v>6356</v>
      </c>
      <c r="N40" s="164">
        <f>'Interruptible Forecast'!AR18</f>
        <v>359</v>
      </c>
      <c r="O40" s="1377">
        <f t="shared" si="5"/>
        <v>5402</v>
      </c>
      <c r="P40" s="132">
        <f>[8]FCST!$BM14</f>
        <v>1637891</v>
      </c>
      <c r="Q40" s="463">
        <f>[8]FCST!$DO14</f>
        <v>28837</v>
      </c>
      <c r="R40" s="558"/>
      <c r="S40" s="371">
        <f>[8]FCST!$CW14</f>
        <v>61927</v>
      </c>
      <c r="T40" s="387"/>
      <c r="U40" s="374">
        <f t="shared" si="24"/>
        <v>1615688</v>
      </c>
      <c r="V40" s="374">
        <f t="shared" ref="V40:V58" si="44">ROUND(V39*1.01,0)</f>
        <v>16382</v>
      </c>
      <c r="W40" s="132">
        <f t="shared" si="19"/>
        <v>15075</v>
      </c>
      <c r="X40" s="144">
        <f>[5]Nov!$L35</f>
        <v>79.900000000000006</v>
      </c>
      <c r="Y40" s="891">
        <f>[5]Nov!$J35</f>
        <v>81.7</v>
      </c>
      <c r="Z40" s="123">
        <f>[5]Nov!$K35</f>
        <v>76.5</v>
      </c>
      <c r="AA40" s="773">
        <f>[5]Nov!$M35</f>
        <v>80.900000000000006</v>
      </c>
      <c r="AD40" s="696">
        <f t="shared" si="41"/>
        <v>2018</v>
      </c>
      <c r="AE40" s="474"/>
      <c r="AF40" s="652">
        <f t="shared" si="35"/>
        <v>1804946.9657359601</v>
      </c>
      <c r="AG40" s="697">
        <f t="shared" si="36"/>
        <v>79.728571428571442</v>
      </c>
      <c r="AH40" s="569">
        <v>0</v>
      </c>
      <c r="AI40" s="696">
        <v>0</v>
      </c>
      <c r="AJ40" s="569"/>
      <c r="AK40" s="569"/>
      <c r="AL40" s="569">
        <v>25</v>
      </c>
      <c r="AM40" s="778">
        <f t="shared" si="37"/>
        <v>6541</v>
      </c>
      <c r="AN40" s="569">
        <f>[11]Nov!$AM41</f>
        <v>7427</v>
      </c>
      <c r="AO40" s="630">
        <f t="shared" si="38"/>
        <v>-886</v>
      </c>
      <c r="AP40" s="322">
        <f t="shared" si="40"/>
        <v>91</v>
      </c>
      <c r="AQ40" s="474"/>
      <c r="AR40" s="474"/>
      <c r="AS40" s="474"/>
      <c r="AT40" s="474"/>
      <c r="AU40" s="474"/>
      <c r="AV40" s="474"/>
      <c r="AW40" s="474"/>
      <c r="AX40" s="474"/>
      <c r="AY40" s="474"/>
      <c r="AZ40" s="474"/>
      <c r="BA40" s="474"/>
      <c r="BB40" s="474"/>
      <c r="BC40" s="474"/>
      <c r="BD40" s="474"/>
      <c r="BE40" s="474"/>
      <c r="BF40" s="474"/>
      <c r="BG40" s="474"/>
      <c r="BH40" s="474"/>
      <c r="BI40" s="474"/>
    </row>
    <row r="41" spans="1:61">
      <c r="A41" s="123">
        <v>2008</v>
      </c>
      <c r="B41" s="413">
        <v>39772</v>
      </c>
      <c r="C41" s="976">
        <v>8</v>
      </c>
      <c r="D41" s="346" t="str">
        <f>TEXT(WEEKDAY(B41),"ddd")</f>
        <v>Thu</v>
      </c>
      <c r="E41" s="133">
        <f>[7]MoCoinMW!F$231</f>
        <v>7446</v>
      </c>
      <c r="F41" s="133">
        <f>[7]MoCoinMW!G$231</f>
        <v>6215</v>
      </c>
      <c r="G41" s="164">
        <f>SUM([6]Hist!M$351:O$351)</f>
        <v>0</v>
      </c>
      <c r="H41" s="164">
        <f>[6]Hist!L$351</f>
        <v>0</v>
      </c>
      <c r="I41" s="164">
        <f>[6]Hist!P$351</f>
        <v>0</v>
      </c>
      <c r="J41" s="133">
        <f t="shared" si="42"/>
        <v>6215</v>
      </c>
      <c r="K41" s="164">
        <f>[6]Hist!U$351</f>
        <v>522</v>
      </c>
      <c r="L41" s="164">
        <f>[6]Hist!V$351</f>
        <v>110</v>
      </c>
      <c r="M41" s="133">
        <f t="shared" si="43"/>
        <v>6737</v>
      </c>
      <c r="N41" s="164">
        <f>'Interruptible Forecast'!AR19</f>
        <v>225</v>
      </c>
      <c r="O41" s="1377">
        <f t="shared" si="5"/>
        <v>5880</v>
      </c>
      <c r="P41" s="132">
        <f>[8]FCST!$BM15</f>
        <v>1630790</v>
      </c>
      <c r="Q41" s="463">
        <f>[8]FCST!$DO15</f>
        <v>30354</v>
      </c>
      <c r="R41" s="558"/>
      <c r="S41" s="371">
        <f>[8]FCST!$CW15</f>
        <v>61269</v>
      </c>
      <c r="T41" s="387"/>
      <c r="U41" s="374">
        <f t="shared" si="24"/>
        <v>1607070</v>
      </c>
      <c r="V41" s="374">
        <f t="shared" si="44"/>
        <v>16546</v>
      </c>
      <c r="W41" s="132">
        <f t="shared" si="19"/>
        <v>-8618</v>
      </c>
      <c r="X41" s="502">
        <f>[5]Nov!$L36</f>
        <v>45</v>
      </c>
      <c r="Y41" s="680">
        <f>[5]Nov!$J36</f>
        <v>42.4</v>
      </c>
      <c r="Z41" s="123">
        <f>[5]Nov!$K36</f>
        <v>50.1</v>
      </c>
      <c r="AA41" s="283">
        <f>[5]Nov!$M36</f>
        <v>42.9</v>
      </c>
      <c r="AD41" s="696">
        <f t="shared" si="41"/>
        <v>2019</v>
      </c>
      <c r="AE41" s="474"/>
      <c r="AF41" s="652">
        <f t="shared" si="35"/>
        <v>1828628.5474528901</v>
      </c>
      <c r="AG41" s="697">
        <f t="shared" si="36"/>
        <v>79.728571428571442</v>
      </c>
      <c r="AH41" s="569">
        <v>0</v>
      </c>
      <c r="AI41" s="696">
        <v>0</v>
      </c>
      <c r="AJ41" s="569"/>
      <c r="AK41" s="569"/>
      <c r="AL41" s="569">
        <v>25</v>
      </c>
      <c r="AM41" s="778">
        <f t="shared" si="37"/>
        <v>6628</v>
      </c>
      <c r="AN41" s="569">
        <f>[11]Nov!$AM42</f>
        <v>7575</v>
      </c>
      <c r="AO41" s="630">
        <f t="shared" si="38"/>
        <v>-947</v>
      </c>
      <c r="AP41" s="322">
        <f t="shared" si="40"/>
        <v>87</v>
      </c>
      <c r="AQ41" s="474"/>
      <c r="AR41" s="474"/>
      <c r="AS41" s="474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4"/>
      <c r="BG41" s="474"/>
      <c r="BH41" s="474"/>
      <c r="BI41" s="474"/>
    </row>
    <row r="42" spans="1:61">
      <c r="A42" s="123">
        <v>2009</v>
      </c>
      <c r="B42" s="413">
        <v>40118</v>
      </c>
      <c r="C42" s="696">
        <v>15</v>
      </c>
      <c r="D42" s="915" t="str">
        <f>TEXT(WEEKDAY(B42),"ddd")</f>
        <v>Sun</v>
      </c>
      <c r="E42" s="133">
        <f>[7]MoCoinMW!F$243</f>
        <v>6236</v>
      </c>
      <c r="F42" s="133">
        <f>[7]MoCoinMW!G$243</f>
        <v>5684</v>
      </c>
      <c r="G42" s="164">
        <f>SUM([6]Hist!M$363:O$363)</f>
        <v>0</v>
      </c>
      <c r="H42" s="164">
        <f>[6]Hist!L$363</f>
        <v>0</v>
      </c>
      <c r="I42" s="164">
        <f>[6]Hist!P$363</f>
        <v>0</v>
      </c>
      <c r="J42" s="133">
        <f t="shared" si="42"/>
        <v>5684</v>
      </c>
      <c r="K42" s="164">
        <f>[6]Hist!U$363</f>
        <v>568</v>
      </c>
      <c r="L42" s="164">
        <f>[6]Hist!V$363</f>
        <v>110</v>
      </c>
      <c r="M42" s="133">
        <f t="shared" si="43"/>
        <v>6252</v>
      </c>
      <c r="N42" s="164">
        <f>'Interruptible Forecast'!AR20</f>
        <v>237</v>
      </c>
      <c r="O42" s="1377">
        <f t="shared" si="5"/>
        <v>5337</v>
      </c>
      <c r="P42" s="132">
        <f>[8]FCST!$BM16</f>
        <v>1624998</v>
      </c>
      <c r="Q42" s="463">
        <f>[8]FCST!$DO16</f>
        <v>28451</v>
      </c>
      <c r="R42" s="558"/>
      <c r="S42" s="371">
        <f>[8]FCST!$CW16</f>
        <v>68960</v>
      </c>
      <c r="T42" s="387"/>
      <c r="U42" s="374">
        <f t="shared" si="24"/>
        <v>1603181</v>
      </c>
      <c r="V42" s="374">
        <f t="shared" si="44"/>
        <v>16711</v>
      </c>
      <c r="W42" s="132">
        <f t="shared" si="19"/>
        <v>-3889</v>
      </c>
      <c r="X42" s="144">
        <f>[5]Nov!$L37</f>
        <v>80.3</v>
      </c>
      <c r="Y42" s="891">
        <f>[5]Nov!$J37</f>
        <v>81.7</v>
      </c>
      <c r="Z42" s="123">
        <f>[5]Nov!$K37</f>
        <v>77.400000000000006</v>
      </c>
      <c r="AA42" s="773">
        <f>[5]Nov!$M37</f>
        <v>79.900000000000006</v>
      </c>
      <c r="AD42" s="696">
        <f t="shared" si="41"/>
        <v>2020</v>
      </c>
      <c r="AE42" s="474"/>
      <c r="AF42" s="652">
        <f t="shared" si="35"/>
        <v>1851854.0470127999</v>
      </c>
      <c r="AG42" s="697">
        <f t="shared" si="36"/>
        <v>79.728571428571442</v>
      </c>
      <c r="AH42" s="569">
        <v>0</v>
      </c>
      <c r="AI42" s="696">
        <v>0</v>
      </c>
      <c r="AJ42" s="569"/>
      <c r="AK42" s="569"/>
      <c r="AL42" s="569">
        <v>25</v>
      </c>
      <c r="AM42" s="778">
        <f t="shared" si="37"/>
        <v>6713</v>
      </c>
      <c r="AN42" s="1575">
        <f>[11]Nov!$AM43</f>
        <v>7721</v>
      </c>
      <c r="AO42" s="630">
        <f t="shared" si="38"/>
        <v>-1008</v>
      </c>
      <c r="AP42" s="322">
        <f t="shared" si="40"/>
        <v>85</v>
      </c>
      <c r="AQ42" s="474"/>
      <c r="AR42" s="474"/>
      <c r="AS42" s="474"/>
      <c r="AT42" s="474"/>
      <c r="AU42" s="474"/>
      <c r="AV42" s="474"/>
      <c r="AW42" s="474"/>
      <c r="AX42" s="474"/>
      <c r="AY42" s="474"/>
      <c r="AZ42" s="474"/>
      <c r="BA42" s="474"/>
      <c r="BB42" s="474"/>
      <c r="BC42" s="474"/>
      <c r="BD42" s="474"/>
      <c r="BE42" s="474"/>
      <c r="BF42" s="474"/>
      <c r="BG42" s="474"/>
      <c r="BH42" s="474"/>
      <c r="BI42" s="474"/>
    </row>
    <row r="43" spans="1:61">
      <c r="A43" s="123">
        <v>2010</v>
      </c>
      <c r="B43" s="413">
        <v>40485</v>
      </c>
      <c r="C43" s="696">
        <v>17</v>
      </c>
      <c r="D43" s="346" t="str">
        <f>TEXT(WEEKDAY(B43),"ddd")</f>
        <v>Wed</v>
      </c>
      <c r="E43" s="133">
        <f>[7]MoCoinMW!F$255</f>
        <v>6180</v>
      </c>
      <c r="F43" s="133">
        <f>[7]MoCoinMW!G$255</f>
        <v>5747</v>
      </c>
      <c r="G43" s="164">
        <f>SUM([6]Hist!M$375:O$375)</f>
        <v>0</v>
      </c>
      <c r="H43" s="164">
        <f>[6]Hist!L$375</f>
        <v>0</v>
      </c>
      <c r="I43" s="164">
        <f>[6]Hist!P$375</f>
        <v>0</v>
      </c>
      <c r="J43" s="133">
        <f t="shared" si="42"/>
        <v>5747</v>
      </c>
      <c r="K43" s="164">
        <f>[6]Hist!U$375</f>
        <v>626</v>
      </c>
      <c r="L43" s="164">
        <f>[6]Hist!V$375</f>
        <v>110</v>
      </c>
      <c r="M43" s="133">
        <f t="shared" si="43"/>
        <v>6373</v>
      </c>
      <c r="N43" s="164">
        <f>'Interruptible Forecast'!AR21</f>
        <v>182</v>
      </c>
      <c r="O43" s="1377">
        <f t="shared" si="5"/>
        <v>5455</v>
      </c>
      <c r="P43" s="132">
        <f>[8]FCST!$BM17</f>
        <v>1633536</v>
      </c>
      <c r="Q43" s="463">
        <f>[8]FCST!$DO17</f>
        <v>30770</v>
      </c>
      <c r="R43" s="558"/>
      <c r="S43" s="371">
        <f>[8]FCST!$CW17</f>
        <v>69737</v>
      </c>
      <c r="T43" s="387"/>
      <c r="U43" s="374">
        <f t="shared" si="24"/>
        <v>1609400</v>
      </c>
      <c r="V43" s="374">
        <f t="shared" si="44"/>
        <v>16878</v>
      </c>
      <c r="W43" s="132">
        <f t="shared" si="19"/>
        <v>6219</v>
      </c>
      <c r="X43" s="144">
        <f>[5]Nov!$L38</f>
        <v>79.7</v>
      </c>
      <c r="Y43" s="891">
        <f>[5]Nov!$J38</f>
        <v>82.9</v>
      </c>
      <c r="Z43" s="123">
        <f>[5]Nov!$K38</f>
        <v>73.3</v>
      </c>
      <c r="AA43" s="773">
        <f>[5]Nov!$M38</f>
        <v>82.5</v>
      </c>
      <c r="AD43" s="696">
        <f t="shared" si="41"/>
        <v>2021</v>
      </c>
      <c r="AE43" s="474"/>
      <c r="AF43" s="652">
        <f t="shared" si="35"/>
        <v>1874289.49230636</v>
      </c>
      <c r="AG43" s="697">
        <f t="shared" si="36"/>
        <v>79.728571428571442</v>
      </c>
      <c r="AH43" s="569">
        <v>0</v>
      </c>
      <c r="AI43" s="696">
        <v>0</v>
      </c>
      <c r="AJ43" s="569"/>
      <c r="AK43" s="569"/>
      <c r="AL43" s="569">
        <v>25</v>
      </c>
      <c r="AM43" s="778">
        <f t="shared" si="37"/>
        <v>6795</v>
      </c>
      <c r="AN43" s="1575">
        <f>[11]Nov!$AM44</f>
        <v>7864</v>
      </c>
      <c r="AO43" s="630">
        <f t="shared" si="38"/>
        <v>-1069</v>
      </c>
      <c r="AP43" s="322">
        <f t="shared" si="40"/>
        <v>82</v>
      </c>
      <c r="AQ43" s="474"/>
      <c r="AR43" s="474"/>
      <c r="AS43" s="474"/>
      <c r="AT43" s="474"/>
      <c r="AU43" s="474"/>
      <c r="AV43" s="474"/>
      <c r="AW43" s="474"/>
      <c r="AX43" s="474"/>
      <c r="AY43" s="474"/>
      <c r="AZ43" s="474"/>
      <c r="BA43" s="474"/>
      <c r="BB43" s="474"/>
      <c r="BC43" s="474"/>
      <c r="BD43" s="474"/>
      <c r="BE43" s="474"/>
      <c r="BF43" s="474"/>
      <c r="BG43" s="474"/>
      <c r="BH43" s="474"/>
      <c r="BI43" s="474"/>
    </row>
    <row r="44" spans="1:61">
      <c r="A44" s="123">
        <v>2011</v>
      </c>
      <c r="B44" s="413">
        <v>40863</v>
      </c>
      <c r="C44" s="696">
        <v>16</v>
      </c>
      <c r="D44" s="346" t="str">
        <f>TEXT(WEEKDAY(B44),"ddd")</f>
        <v>Wed</v>
      </c>
      <c r="E44" s="133">
        <f>[7]MoCoinMW!F$267</f>
        <v>5854</v>
      </c>
      <c r="F44" s="133">
        <f>[7]MoCoinMW!G$267</f>
        <v>5500</v>
      </c>
      <c r="G44" s="164">
        <f>SUM([6]Hist!M$387:O$387)</f>
        <v>0</v>
      </c>
      <c r="H44" s="164">
        <f>[6]Hist!L$387</f>
        <v>0</v>
      </c>
      <c r="I44" s="164">
        <f>[6]Hist!P$387</f>
        <v>0</v>
      </c>
      <c r="J44" s="133">
        <f t="shared" ref="J44" si="45">SUM(F44:I44)</f>
        <v>5500</v>
      </c>
      <c r="K44" s="164">
        <f>[6]Hist!U$387</f>
        <v>689</v>
      </c>
      <c r="L44" s="164">
        <f>[6]Hist!V$387</f>
        <v>110</v>
      </c>
      <c r="M44" s="133">
        <f t="shared" si="43"/>
        <v>6189</v>
      </c>
      <c r="N44" s="164">
        <f>'Interruptible Forecast'!AR22</f>
        <v>253</v>
      </c>
      <c r="O44" s="1377">
        <f t="shared" si="5"/>
        <v>5137</v>
      </c>
      <c r="P44" s="132">
        <f>[8]FCST!$BM18</f>
        <v>1642897</v>
      </c>
      <c r="Q44" s="463">
        <f>[8]FCST!$DO18</f>
        <v>33497</v>
      </c>
      <c r="R44" s="558"/>
      <c r="S44" s="371">
        <f>[8]FCST!$CW18</f>
        <v>68549</v>
      </c>
      <c r="T44" s="387"/>
      <c r="U44" s="374">
        <f t="shared" si="24"/>
        <v>1616034</v>
      </c>
      <c r="V44" s="374">
        <f t="shared" si="44"/>
        <v>17047</v>
      </c>
      <c r="W44" s="132">
        <f t="shared" si="19"/>
        <v>6634</v>
      </c>
      <c r="X44" s="144">
        <f>[5]Nov!$L39</f>
        <v>80.7</v>
      </c>
      <c r="Y44" s="891">
        <f>[5]Nov!$J39</f>
        <v>82.9</v>
      </c>
      <c r="Z44" s="123">
        <f>[5]Nov!$K39</f>
        <v>76.3</v>
      </c>
      <c r="AA44" s="773">
        <f>[5]Nov!$M39</f>
        <v>81.5</v>
      </c>
      <c r="AD44" s="696">
        <f t="shared" si="41"/>
        <v>2022</v>
      </c>
      <c r="AE44" s="474"/>
      <c r="AF44" s="652">
        <f t="shared" si="35"/>
        <v>1895924.9490063901</v>
      </c>
      <c r="AG44" s="697">
        <f t="shared" si="36"/>
        <v>79.728571428571442</v>
      </c>
      <c r="AH44" s="569">
        <v>0</v>
      </c>
      <c r="AI44" s="696">
        <v>0</v>
      </c>
      <c r="AJ44" s="569"/>
      <c r="AK44" s="569"/>
      <c r="AL44" s="569">
        <v>25</v>
      </c>
      <c r="AM44" s="778">
        <f t="shared" si="37"/>
        <v>6875</v>
      </c>
      <c r="AN44" s="1575">
        <f>[11]Nov!$AM45</f>
        <v>8006</v>
      </c>
      <c r="AO44" s="630">
        <f t="shared" si="38"/>
        <v>-1131</v>
      </c>
      <c r="AP44" s="322">
        <f t="shared" si="40"/>
        <v>80</v>
      </c>
      <c r="AQ44" s="474"/>
      <c r="AR44" s="474"/>
      <c r="AS44" s="474"/>
      <c r="AT44" s="474"/>
      <c r="AU44" s="474"/>
      <c r="AV44" s="474"/>
      <c r="AW44" s="474"/>
      <c r="AX44" s="474"/>
      <c r="AY44" s="474"/>
      <c r="AZ44" s="474"/>
      <c r="BA44" s="474"/>
      <c r="BB44" s="474"/>
      <c r="BC44" s="474"/>
      <c r="BD44" s="474"/>
      <c r="BE44" s="474"/>
      <c r="BF44" s="474"/>
      <c r="BG44" s="474"/>
      <c r="BH44" s="474"/>
      <c r="BI44" s="474"/>
    </row>
    <row r="45" spans="1:61">
      <c r="A45" s="123">
        <v>2012</v>
      </c>
      <c r="B45" s="413">
        <v>41239</v>
      </c>
      <c r="C45" s="976">
        <v>8</v>
      </c>
      <c r="D45" s="1331" t="str">
        <f>TEXT(WEEKDAY(B45),"ddd")</f>
        <v>Mon</v>
      </c>
      <c r="E45" s="133">
        <f>[7]MoCoinMW!F$279</f>
        <v>5749</v>
      </c>
      <c r="F45" s="133">
        <f>[7]MoCoinMW!G$279</f>
        <v>5012</v>
      </c>
      <c r="G45" s="164">
        <f>SUM([6]Hist!M$399:O$399)</f>
        <v>0</v>
      </c>
      <c r="H45" s="164">
        <f>[6]Hist!L$399</f>
        <v>0</v>
      </c>
      <c r="I45" s="164">
        <f>[6]Hist!P$399</f>
        <v>0</v>
      </c>
      <c r="J45" s="133">
        <f t="shared" ref="J45" si="46">SUM(F45:I45)</f>
        <v>5012</v>
      </c>
      <c r="K45" s="164">
        <f>[6]Hist!U$399</f>
        <v>745</v>
      </c>
      <c r="L45" s="164">
        <f>[6]Hist!V$399</f>
        <v>124</v>
      </c>
      <c r="M45" s="133">
        <f t="shared" si="43"/>
        <v>5757</v>
      </c>
      <c r="N45" s="164">
        <f>'Interruptible Forecast'!AR23</f>
        <v>282</v>
      </c>
      <c r="O45" s="1377">
        <f t="shared" si="5"/>
        <v>4606</v>
      </c>
      <c r="P45" s="132">
        <f>[8]FCST!$BM19</f>
        <v>1657962</v>
      </c>
      <c r="Q45" s="371">
        <f>R45*S45</f>
        <v>32452.170199999997</v>
      </c>
      <c r="R45" s="558">
        <f t="shared" ref="R45:R73" si="47">$R$4</f>
        <v>0.46189999999999998</v>
      </c>
      <c r="S45" s="371">
        <f>[8]FCST!$CW19</f>
        <v>70258</v>
      </c>
      <c r="T45" s="387">
        <f>[8]FCST!$CE19</f>
        <v>1467018</v>
      </c>
      <c r="U45" s="679">
        <f t="shared" si="24"/>
        <v>1632143.8297999999</v>
      </c>
      <c r="V45" s="374">
        <f t="shared" si="44"/>
        <v>17217</v>
      </c>
      <c r="W45" s="132">
        <f t="shared" si="19"/>
        <v>16109.829799999949</v>
      </c>
      <c r="X45" s="144">
        <f>[5]Nov!$L40</f>
        <v>50.9</v>
      </c>
      <c r="Y45" s="891">
        <f>[5]Nov!$J40</f>
        <v>48.3</v>
      </c>
      <c r="Z45" s="123">
        <f>[5]Nov!$K40</f>
        <v>56.4</v>
      </c>
      <c r="AA45" s="773">
        <f>[5]Nov!$M40</f>
        <v>47.8</v>
      </c>
      <c r="AD45" s="696">
        <f t="shared" si="41"/>
        <v>2023</v>
      </c>
      <c r="AE45" s="643"/>
      <c r="AF45" s="652">
        <f t="shared" si="35"/>
        <v>1916347.0290263901</v>
      </c>
      <c r="AG45" s="697">
        <f t="shared" si="36"/>
        <v>79.728571428571442</v>
      </c>
      <c r="AH45" s="569">
        <v>0</v>
      </c>
      <c r="AI45" s="696">
        <v>0</v>
      </c>
      <c r="AJ45" s="569"/>
      <c r="AK45" s="569"/>
      <c r="AL45" s="569">
        <v>25</v>
      </c>
      <c r="AM45" s="778">
        <f t="shared" si="37"/>
        <v>6950</v>
      </c>
      <c r="AN45" s="1575">
        <f>[11]Nov!$AM46</f>
        <v>8146</v>
      </c>
      <c r="AO45" s="630">
        <f t="shared" si="38"/>
        <v>-1196</v>
      </c>
      <c r="AP45" s="322">
        <f t="shared" si="40"/>
        <v>75</v>
      </c>
      <c r="AQ45" s="474"/>
      <c r="AR45" s="474"/>
      <c r="AS45" s="474"/>
      <c r="AT45" s="474"/>
      <c r="AU45" s="474"/>
      <c r="AV45" s="474"/>
      <c r="AW45" s="474"/>
      <c r="AX45" s="474"/>
      <c r="AY45" s="474"/>
      <c r="AZ45" s="474"/>
      <c r="BA45" s="474"/>
      <c r="BB45" s="474"/>
      <c r="BC45" s="474"/>
      <c r="BD45" s="474"/>
      <c r="BE45" s="474"/>
      <c r="BF45" s="474"/>
      <c r="BG45" s="474"/>
      <c r="BH45" s="474"/>
      <c r="BI45" s="474"/>
    </row>
    <row r="46" spans="1:61">
      <c r="A46" s="123">
        <v>2013</v>
      </c>
      <c r="F46" s="133"/>
      <c r="P46" s="132">
        <f>[8]FCST!$BM20</f>
        <v>1677458.6999864201</v>
      </c>
      <c r="Q46" s="371">
        <f t="shared" ref="Q46:Q53" si="48">R46*S46</f>
        <v>28809.104575596553</v>
      </c>
      <c r="R46" s="558">
        <f t="shared" si="47"/>
        <v>0.46189999999999998</v>
      </c>
      <c r="S46" s="371">
        <f>[8]FCST!$CW20</f>
        <v>62370.869399429648</v>
      </c>
      <c r="T46" s="387">
        <f>[8]FCST!$CE20</f>
        <v>1485020.6999864201</v>
      </c>
      <c r="U46" s="679">
        <f t="shared" si="24"/>
        <v>1655283.5954108236</v>
      </c>
      <c r="V46" s="374">
        <f t="shared" si="44"/>
        <v>17389</v>
      </c>
      <c r="W46" s="132">
        <f t="shared" si="19"/>
        <v>23139.765610823641</v>
      </c>
      <c r="AD46" s="696">
        <f t="shared" si="41"/>
        <v>2024</v>
      </c>
      <c r="AE46" s="643"/>
      <c r="AF46" s="652">
        <f t="shared" si="35"/>
        <v>1936191.4068631099</v>
      </c>
      <c r="AG46" s="697">
        <f t="shared" si="36"/>
        <v>79.728571428571442</v>
      </c>
      <c r="AH46" s="569">
        <v>0</v>
      </c>
      <c r="AI46" s="696">
        <v>0</v>
      </c>
      <c r="AJ46" s="569"/>
      <c r="AK46" s="569"/>
      <c r="AL46" s="569">
        <v>25</v>
      </c>
      <c r="AM46" s="778">
        <f t="shared" si="37"/>
        <v>7022</v>
      </c>
      <c r="AN46" s="1575">
        <f>[11]Nov!$AM47</f>
        <v>8284</v>
      </c>
      <c r="AO46" s="630">
        <f t="shared" si="38"/>
        <v>-1262</v>
      </c>
      <c r="AP46" s="322">
        <f t="shared" si="40"/>
        <v>72</v>
      </c>
      <c r="AQ46" s="474"/>
      <c r="AR46" s="474"/>
      <c r="AS46" s="474"/>
      <c r="AT46" s="474"/>
      <c r="AU46" s="474"/>
      <c r="AV46" s="474"/>
      <c r="AW46" s="474"/>
      <c r="AX46" s="474"/>
      <c r="AY46" s="474"/>
      <c r="AZ46" s="474"/>
      <c r="BA46" s="474"/>
      <c r="BB46" s="474"/>
      <c r="BC46" s="474"/>
      <c r="BD46" s="474"/>
      <c r="BE46" s="474"/>
      <c r="BF46" s="474"/>
      <c r="BG46" s="474"/>
      <c r="BH46" s="474"/>
      <c r="BI46" s="474"/>
    </row>
    <row r="47" spans="1:61">
      <c r="A47" s="123">
        <v>2014</v>
      </c>
      <c r="P47" s="132">
        <f>[8]FCST!$BM21</f>
        <v>1700470.3300766</v>
      </c>
      <c r="Q47" s="371">
        <f t="shared" si="48"/>
        <v>29210.576260420024</v>
      </c>
      <c r="R47" s="558">
        <f t="shared" si="47"/>
        <v>0.46189999999999998</v>
      </c>
      <c r="S47" s="371">
        <f>[8]FCST!$CW21</f>
        <v>63240.043863217201</v>
      </c>
      <c r="T47" s="387">
        <f>[8]FCST!$CE21</f>
        <v>1505715.3300766</v>
      </c>
      <c r="U47" s="679">
        <f t="shared" si="24"/>
        <v>1677893.7538161799</v>
      </c>
      <c r="V47" s="374">
        <f t="shared" si="44"/>
        <v>17563</v>
      </c>
      <c r="W47" s="132">
        <f t="shared" si="19"/>
        <v>22610.158405356342</v>
      </c>
      <c r="X47" s="123"/>
      <c r="Y47" s="123"/>
      <c r="AD47" s="696">
        <f t="shared" si="41"/>
        <v>2025</v>
      </c>
      <c r="AE47" s="643"/>
      <c r="AF47" s="652">
        <f t="shared" si="35"/>
        <v>1955047.3829846201</v>
      </c>
      <c r="AG47" s="697">
        <f t="shared" si="36"/>
        <v>79.728571428571442</v>
      </c>
      <c r="AH47" s="569">
        <v>0</v>
      </c>
      <c r="AI47" s="696">
        <v>0</v>
      </c>
      <c r="AJ47" s="569"/>
      <c r="AK47" s="569"/>
      <c r="AL47" s="569">
        <v>25</v>
      </c>
      <c r="AM47" s="778">
        <f t="shared" si="37"/>
        <v>7091</v>
      </c>
      <c r="AN47" s="1575">
        <f>[11]Nov!$AM48</f>
        <v>8421</v>
      </c>
      <c r="AO47" s="630">
        <f t="shared" si="38"/>
        <v>-1330</v>
      </c>
      <c r="AP47" s="322">
        <f t="shared" si="40"/>
        <v>69</v>
      </c>
      <c r="AQ47" s="474"/>
      <c r="AR47" s="474"/>
      <c r="AS47" s="474"/>
      <c r="AT47" s="474"/>
      <c r="AU47" s="474"/>
      <c r="AV47" s="474"/>
      <c r="AW47" s="474"/>
      <c r="AX47" s="474"/>
      <c r="AY47" s="474"/>
      <c r="AZ47" s="474"/>
      <c r="BA47" s="474"/>
      <c r="BB47" s="474"/>
      <c r="BC47" s="474"/>
      <c r="BD47" s="474"/>
      <c r="BE47" s="474"/>
      <c r="BF47" s="474"/>
      <c r="BG47" s="474"/>
      <c r="BH47" s="474"/>
      <c r="BI47" s="474"/>
    </row>
    <row r="48" spans="1:61">
      <c r="A48" s="123">
        <v>2015</v>
      </c>
      <c r="B48" s="304" t="s">
        <v>358</v>
      </c>
      <c r="P48" s="132">
        <f>[8]FCST!$BM22</f>
        <v>1727404.53375683</v>
      </c>
      <c r="Q48" s="371">
        <f t="shared" si="48"/>
        <v>29679.182380775754</v>
      </c>
      <c r="R48" s="558">
        <f t="shared" si="47"/>
        <v>0.46189999999999998</v>
      </c>
      <c r="S48" s="371">
        <f>[8]FCST!$CW22</f>
        <v>64254.562417786867</v>
      </c>
      <c r="T48" s="387">
        <f>[8]FCST!$CE22</f>
        <v>1529870.53375683</v>
      </c>
      <c r="U48" s="679">
        <f t="shared" si="24"/>
        <v>1704359.3513760543</v>
      </c>
      <c r="V48" s="374">
        <f t="shared" si="44"/>
        <v>17739</v>
      </c>
      <c r="W48" s="132">
        <f t="shared" si="19"/>
        <v>26465.597559874412</v>
      </c>
      <c r="X48" s="123"/>
      <c r="Y48" s="123"/>
      <c r="AD48" s="696">
        <f t="shared" si="41"/>
        <v>2026</v>
      </c>
      <c r="AE48" s="638"/>
      <c r="AF48" s="652">
        <f t="shared" si="35"/>
        <v>1973120.37565691</v>
      </c>
      <c r="AG48" s="697">
        <f t="shared" si="36"/>
        <v>79.728571428571442</v>
      </c>
      <c r="AH48" s="569">
        <v>0</v>
      </c>
      <c r="AI48" s="696">
        <v>0</v>
      </c>
      <c r="AJ48" s="569"/>
      <c r="AK48" s="569"/>
      <c r="AL48" s="569">
        <v>25</v>
      </c>
      <c r="AM48" s="778">
        <f t="shared" si="37"/>
        <v>7158</v>
      </c>
      <c r="AN48" s="1575">
        <f>[11]Nov!$AM49</f>
        <v>8557</v>
      </c>
      <c r="AO48" s="630">
        <f t="shared" si="38"/>
        <v>-1399</v>
      </c>
      <c r="AP48" s="322">
        <f t="shared" si="40"/>
        <v>67</v>
      </c>
      <c r="AQ48" s="474"/>
      <c r="AR48" s="474"/>
      <c r="AS48" s="474"/>
      <c r="AT48" s="474"/>
      <c r="AU48" s="474"/>
      <c r="AV48" s="474"/>
      <c r="AW48" s="474"/>
      <c r="AX48" s="474"/>
      <c r="AY48" s="474"/>
      <c r="AZ48" s="474"/>
      <c r="BA48" s="474"/>
      <c r="BB48" s="474"/>
      <c r="BC48" s="474"/>
      <c r="BD48" s="474"/>
      <c r="BE48" s="474"/>
      <c r="BF48" s="474"/>
      <c r="BG48" s="474"/>
      <c r="BH48" s="474"/>
      <c r="BI48" s="474"/>
    </row>
    <row r="49" spans="1:61">
      <c r="A49" s="123">
        <v>2016</v>
      </c>
      <c r="B49" s="572" t="s">
        <v>549</v>
      </c>
      <c r="P49" s="132">
        <f>[8]FCST!$BM23</f>
        <v>1753774.77903611</v>
      </c>
      <c r="Q49" s="371">
        <f t="shared" si="48"/>
        <v>30138.671402144726</v>
      </c>
      <c r="R49" s="558">
        <f t="shared" si="47"/>
        <v>0.46189999999999998</v>
      </c>
      <c r="S49" s="371">
        <f>[8]FCST!$CW23</f>
        <v>65249.342719516622</v>
      </c>
      <c r="T49" s="387">
        <f>[8]FCST!$CE23</f>
        <v>1553555.77903611</v>
      </c>
      <c r="U49" s="679">
        <f t="shared" si="24"/>
        <v>1730270.1076339653</v>
      </c>
      <c r="V49" s="374">
        <f t="shared" si="44"/>
        <v>17916</v>
      </c>
      <c r="W49" s="132">
        <f t="shared" si="19"/>
        <v>25910.75625791098</v>
      </c>
      <c r="X49" s="123"/>
      <c r="Y49" s="123"/>
      <c r="AD49" s="696">
        <f t="shared" si="41"/>
        <v>2027</v>
      </c>
      <c r="AE49" s="474"/>
      <c r="AF49" s="652">
        <f t="shared" si="35"/>
        <v>1990826.15060472</v>
      </c>
      <c r="AG49" s="697">
        <f t="shared" si="36"/>
        <v>79.728571428571442</v>
      </c>
      <c r="AH49" s="569">
        <v>0</v>
      </c>
      <c r="AI49" s="696">
        <v>0</v>
      </c>
      <c r="AJ49" s="569"/>
      <c r="AK49" s="569"/>
      <c r="AL49" s="569">
        <v>25</v>
      </c>
      <c r="AM49" s="778">
        <f t="shared" si="37"/>
        <v>7223</v>
      </c>
      <c r="AN49" s="1575">
        <f>[11]Nov!$AM50</f>
        <v>8693</v>
      </c>
      <c r="AO49" s="630">
        <f>AM49-AN49</f>
        <v>-1470</v>
      </c>
      <c r="AP49" s="322">
        <f>AM49-AM48</f>
        <v>65</v>
      </c>
      <c r="AQ49" s="474"/>
      <c r="AR49" s="474"/>
      <c r="AS49" s="474"/>
      <c r="AT49" s="474"/>
      <c r="AU49" s="474"/>
      <c r="AV49" s="474"/>
      <c r="AW49" s="474"/>
      <c r="AX49" s="474"/>
      <c r="AY49" s="474"/>
      <c r="AZ49" s="474"/>
      <c r="BA49" s="474"/>
      <c r="BB49" s="474"/>
      <c r="BC49" s="474"/>
      <c r="BD49" s="474"/>
      <c r="BE49" s="474"/>
      <c r="BF49" s="474"/>
      <c r="BG49" s="474"/>
      <c r="BH49" s="474"/>
      <c r="BI49" s="474"/>
    </row>
    <row r="50" spans="1:61">
      <c r="A50" s="123">
        <v>2017</v>
      </c>
      <c r="B50" s="304" t="s">
        <v>359</v>
      </c>
      <c r="P50" s="132">
        <f>[8]FCST!$BM24</f>
        <v>1780081.71435494</v>
      </c>
      <c r="Q50" s="371">
        <f t="shared" si="48"/>
        <v>30597.242619742967</v>
      </c>
      <c r="R50" s="558">
        <f t="shared" si="47"/>
        <v>0.46189999999999998</v>
      </c>
      <c r="S50" s="371">
        <f>[8]FCST!$CW24</f>
        <v>66242.136002907486</v>
      </c>
      <c r="T50" s="387">
        <f>[8]FCST!$CE24</f>
        <v>1577193.71435494</v>
      </c>
      <c r="U50" s="679">
        <f t="shared" si="24"/>
        <v>1756118.4717351971</v>
      </c>
      <c r="V50" s="374">
        <f t="shared" si="44"/>
        <v>18095</v>
      </c>
      <c r="W50" s="132">
        <f t="shared" si="19"/>
        <v>25848.364101231797</v>
      </c>
      <c r="X50" s="123"/>
      <c r="Y50" s="123"/>
      <c r="AD50" s="696">
        <f t="shared" si="41"/>
        <v>2028</v>
      </c>
      <c r="AE50" s="474"/>
      <c r="AF50" s="652">
        <f t="shared" si="35"/>
        <v>2008153.95769547</v>
      </c>
      <c r="AG50" s="697">
        <f t="shared" si="36"/>
        <v>79.728571428571442</v>
      </c>
      <c r="AH50" s="569">
        <v>0</v>
      </c>
      <c r="AI50" s="696">
        <v>0</v>
      </c>
      <c r="AJ50" s="569"/>
      <c r="AK50" s="569"/>
      <c r="AL50" s="569">
        <v>25</v>
      </c>
      <c r="AM50" s="778">
        <f t="shared" si="37"/>
        <v>7286</v>
      </c>
      <c r="AN50" s="1575">
        <f>[11]Nov!$AM51</f>
        <v>8827</v>
      </c>
      <c r="AO50" s="630">
        <f>AM50-AN50</f>
        <v>-1541</v>
      </c>
      <c r="AP50" s="322">
        <f>AM50-AM49</f>
        <v>63</v>
      </c>
      <c r="AQ50" s="474"/>
      <c r="AR50" s="474"/>
      <c r="AS50" s="474"/>
      <c r="AT50" s="474"/>
      <c r="AU50" s="474"/>
      <c r="AV50" s="474"/>
      <c r="AW50" s="474"/>
      <c r="AX50" s="474"/>
      <c r="AY50" s="474"/>
      <c r="AZ50" s="474"/>
      <c r="BA50" s="474"/>
      <c r="BB50" s="474"/>
      <c r="BC50" s="474"/>
      <c r="BD50" s="474"/>
      <c r="BE50" s="474"/>
      <c r="BF50" s="474"/>
      <c r="BG50" s="474"/>
      <c r="BH50" s="474"/>
      <c r="BI50" s="474"/>
    </row>
    <row r="51" spans="1:61">
      <c r="A51" s="123">
        <v>2018</v>
      </c>
      <c r="P51" s="132">
        <f>[8]FCST!$BM25</f>
        <v>1804946.9657359601</v>
      </c>
      <c r="Q51" s="371">
        <f t="shared" si="48"/>
        <v>31031.104623684481</v>
      </c>
      <c r="R51" s="558">
        <f t="shared" si="47"/>
        <v>0.46189999999999998</v>
      </c>
      <c r="S51" s="371">
        <f>[8]FCST!$CW25</f>
        <v>67181.434560910333</v>
      </c>
      <c r="T51" s="387">
        <f>[8]FCST!$CE25</f>
        <v>1599557.9657359601</v>
      </c>
      <c r="U51" s="679">
        <f t="shared" si="24"/>
        <v>1780549.8611122756</v>
      </c>
      <c r="V51" s="374">
        <f t="shared" si="44"/>
        <v>18276</v>
      </c>
      <c r="W51" s="132">
        <f t="shared" si="19"/>
        <v>24431.389377078507</v>
      </c>
      <c r="X51" s="123"/>
      <c r="Y51" s="123"/>
      <c r="AD51" s="696">
        <f t="shared" si="41"/>
        <v>2029</v>
      </c>
      <c r="AE51" s="474"/>
      <c r="AF51" s="652">
        <f t="shared" si="35"/>
        <v>2024882.44432572</v>
      </c>
      <c r="AG51" s="697">
        <f t="shared" si="36"/>
        <v>79.728571428571442</v>
      </c>
      <c r="AH51" s="569">
        <v>0</v>
      </c>
      <c r="AI51" s="696">
        <v>0</v>
      </c>
      <c r="AJ51" s="569"/>
      <c r="AK51" s="569"/>
      <c r="AL51" s="569">
        <v>25</v>
      </c>
      <c r="AM51" s="778">
        <f t="shared" si="37"/>
        <v>7347</v>
      </c>
      <c r="AN51" s="1575">
        <f>[11]Nov!$AM52</f>
        <v>8959</v>
      </c>
      <c r="AO51" s="630">
        <f>AM51-AN51</f>
        <v>-1612</v>
      </c>
      <c r="AP51" s="322">
        <f>AM51-AM50</f>
        <v>61</v>
      </c>
      <c r="AQ51" s="474"/>
      <c r="AR51" s="474"/>
      <c r="AS51" s="474"/>
      <c r="AT51" s="474"/>
      <c r="AU51" s="474"/>
      <c r="AV51" s="474"/>
      <c r="AW51" s="474"/>
      <c r="AX51" s="474"/>
      <c r="AY51" s="474"/>
      <c r="AZ51" s="474"/>
      <c r="BA51" s="474"/>
      <c r="BB51" s="474"/>
      <c r="BC51" s="474"/>
      <c r="BD51" s="474"/>
      <c r="BE51" s="474"/>
      <c r="BF51" s="474"/>
      <c r="BG51" s="474"/>
      <c r="BH51" s="474"/>
      <c r="BI51" s="474"/>
    </row>
    <row r="52" spans="1:61">
      <c r="A52" s="123">
        <v>2019</v>
      </c>
      <c r="P52" s="132">
        <f>[8]FCST!$BM26</f>
        <v>1828628.5474528901</v>
      </c>
      <c r="Q52" s="371">
        <f t="shared" si="48"/>
        <v>31444.933042676577</v>
      </c>
      <c r="R52" s="558">
        <f t="shared" si="47"/>
        <v>0.46189999999999998</v>
      </c>
      <c r="S52" s="371">
        <f>[8]FCST!$CW26</f>
        <v>68077.360993021386</v>
      </c>
      <c r="T52" s="387">
        <f>[8]FCST!$CE26</f>
        <v>1620889.5474528901</v>
      </c>
      <c r="U52" s="679">
        <f t="shared" si="24"/>
        <v>1803817.6144102134</v>
      </c>
      <c r="V52" s="374">
        <f t="shared" si="44"/>
        <v>18459</v>
      </c>
      <c r="W52" s="132">
        <f t="shared" si="19"/>
        <v>23267.753297937801</v>
      </c>
      <c r="X52" s="123"/>
      <c r="Y52" s="123"/>
      <c r="AD52" s="696">
        <f t="shared" si="41"/>
        <v>2030</v>
      </c>
      <c r="AE52" s="474"/>
      <c r="AF52" s="652">
        <f t="shared" si="35"/>
        <v>2040764.62577153</v>
      </c>
      <c r="AG52" s="697">
        <f t="shared" si="36"/>
        <v>79.728571428571442</v>
      </c>
      <c r="AH52" s="569">
        <v>0</v>
      </c>
      <c r="AI52" s="696">
        <v>0</v>
      </c>
      <c r="AJ52" s="569"/>
      <c r="AK52" s="569"/>
      <c r="AL52" s="569">
        <v>25</v>
      </c>
      <c r="AM52" s="778">
        <f t="shared" si="37"/>
        <v>7406</v>
      </c>
      <c r="AN52" s="1575">
        <f>[11]Nov!$AM53</f>
        <v>9091</v>
      </c>
      <c r="AO52" s="630">
        <f>AM52-AN52</f>
        <v>-1685</v>
      </c>
      <c r="AP52" s="322">
        <f>AM52-AM51</f>
        <v>59</v>
      </c>
      <c r="AQ52" s="474"/>
      <c r="AR52" s="474"/>
      <c r="AS52" s="474"/>
      <c r="AT52" s="474"/>
      <c r="AU52" s="474"/>
      <c r="AV52" s="474"/>
      <c r="AW52" s="474"/>
      <c r="AX52" s="474"/>
      <c r="AY52" s="474"/>
      <c r="AZ52" s="474"/>
      <c r="BA52" s="474"/>
      <c r="BB52" s="474"/>
      <c r="BC52" s="474"/>
      <c r="BD52" s="474"/>
      <c r="BE52" s="474"/>
      <c r="BF52" s="474"/>
      <c r="BG52" s="474"/>
      <c r="BH52" s="474"/>
      <c r="BI52" s="474"/>
    </row>
    <row r="53" spans="1:61">
      <c r="A53" s="123">
        <v>2020</v>
      </c>
      <c r="P53" s="132">
        <f>[8]FCST!$BM27</f>
        <v>1851854.0470127999</v>
      </c>
      <c r="Q53" s="371">
        <f t="shared" si="48"/>
        <v>31850.999947838915</v>
      </c>
      <c r="R53" s="558">
        <f t="shared" si="47"/>
        <v>0.46189999999999998</v>
      </c>
      <c r="S53" s="371">
        <f>[8]FCST!$CW27</f>
        <v>68956.483974537594</v>
      </c>
      <c r="T53" s="387">
        <f>[8]FCST!$CE27</f>
        <v>1641821.0470127999</v>
      </c>
      <c r="U53" s="679">
        <f t="shared" si="24"/>
        <v>1826637.0470649609</v>
      </c>
      <c r="V53" s="374">
        <f t="shared" si="44"/>
        <v>18644</v>
      </c>
      <c r="W53" s="132">
        <f t="shared" si="19"/>
        <v>22819.432654747507</v>
      </c>
      <c r="X53" s="123"/>
      <c r="Y53" s="123"/>
      <c r="AD53" s="696">
        <f t="shared" si="41"/>
        <v>2031</v>
      </c>
      <c r="AE53" s="474"/>
      <c r="AF53" s="652">
        <f t="shared" si="35"/>
        <v>2056240.4709505001</v>
      </c>
      <c r="AG53" s="697">
        <f t="shared" si="36"/>
        <v>79.728571428571442</v>
      </c>
      <c r="AH53" s="569">
        <v>0</v>
      </c>
      <c r="AI53" s="696">
        <v>0</v>
      </c>
      <c r="AJ53" s="569"/>
      <c r="AK53" s="569"/>
      <c r="AL53" s="569">
        <v>25</v>
      </c>
      <c r="AM53" s="778">
        <f t="shared" si="37"/>
        <v>7462</v>
      </c>
      <c r="AN53" s="1575"/>
      <c r="AO53" s="630"/>
      <c r="AP53" s="322">
        <f>AM53-AM52</f>
        <v>56</v>
      </c>
      <c r="AQ53" s="474"/>
      <c r="AR53" s="474"/>
      <c r="AS53" s="474"/>
      <c r="AT53" s="474"/>
      <c r="AU53" s="474"/>
      <c r="AV53" s="474"/>
      <c r="AW53" s="474"/>
      <c r="AX53" s="474"/>
      <c r="AY53" s="474"/>
      <c r="AZ53" s="474"/>
      <c r="BA53" s="474"/>
      <c r="BB53" s="474"/>
      <c r="BC53" s="474"/>
      <c r="BD53" s="474"/>
      <c r="BE53" s="474"/>
      <c r="BF53" s="474"/>
      <c r="BG53" s="474"/>
      <c r="BH53" s="474"/>
      <c r="BI53" s="474"/>
    </row>
    <row r="54" spans="1:61">
      <c r="A54" s="123">
        <v>2021</v>
      </c>
      <c r="P54" s="132">
        <f>[8]FCST!$BM28</f>
        <v>1874289.49230636</v>
      </c>
      <c r="Q54" s="371">
        <f t="shared" ref="Q54:Q63" si="49">R54*S54</f>
        <v>32243.679938244924</v>
      </c>
      <c r="R54" s="558">
        <f t="shared" si="47"/>
        <v>0.46189999999999998</v>
      </c>
      <c r="S54" s="371">
        <f>[8]FCST!$CW28</f>
        <v>69806.624676867126</v>
      </c>
      <c r="T54" s="387">
        <f>[8]FCST!$CE28</f>
        <v>1662062.49230636</v>
      </c>
      <c r="U54" s="679">
        <f t="shared" si="24"/>
        <v>1848679.8123681152</v>
      </c>
      <c r="V54" s="374">
        <f t="shared" si="44"/>
        <v>18830</v>
      </c>
      <c r="W54" s="132">
        <f t="shared" si="19"/>
        <v>22042.765303154243</v>
      </c>
      <c r="X54" s="123"/>
      <c r="Y54" s="123"/>
      <c r="AD54" s="696">
        <f t="shared" si="41"/>
        <v>2032</v>
      </c>
      <c r="AE54" s="474"/>
      <c r="AF54" s="652">
        <f t="shared" si="35"/>
        <v>2071315.41393496</v>
      </c>
      <c r="AG54" s="697">
        <f t="shared" ref="AG54:AG62" si="50">$Y$74</f>
        <v>79.728571428571442</v>
      </c>
      <c r="AH54" s="569">
        <v>0</v>
      </c>
      <c r="AI54" s="696">
        <v>0</v>
      </c>
      <c r="AJ54" s="569"/>
      <c r="AK54" s="569"/>
      <c r="AL54" s="569">
        <v>25</v>
      </c>
      <c r="AM54" s="778">
        <f t="shared" ref="AM54:AM62" si="51">ROUND($AV$13+$AU$13*$AF54+$AT$13*$AG54+$AS$13*$AH54+$AR$13*$AI54,0)-AL54</f>
        <v>7518</v>
      </c>
      <c r="AN54" s="1575"/>
      <c r="AO54" s="630"/>
      <c r="AP54" s="322">
        <f t="shared" ref="AP54:AP62" si="52">AM54-AM53</f>
        <v>56</v>
      </c>
      <c r="AQ54" s="474"/>
      <c r="AR54" s="474"/>
      <c r="AS54" s="474"/>
      <c r="AT54" s="474"/>
      <c r="AU54" s="474"/>
      <c r="AV54" s="474"/>
      <c r="AW54" s="474"/>
      <c r="AX54" s="474"/>
      <c r="AY54" s="474"/>
      <c r="AZ54" s="474"/>
      <c r="BA54" s="474"/>
      <c r="BB54" s="474"/>
      <c r="BC54" s="474"/>
      <c r="BD54" s="474"/>
      <c r="BE54" s="474"/>
      <c r="BF54" s="474"/>
      <c r="BG54" s="474"/>
      <c r="BH54" s="474"/>
      <c r="BI54" s="474"/>
    </row>
    <row r="55" spans="1:61">
      <c r="A55" s="123">
        <v>2022</v>
      </c>
      <c r="P55" s="132">
        <f>[8]FCST!$BM29</f>
        <v>1895924.9490063901</v>
      </c>
      <c r="Q55" s="371">
        <f t="shared" si="49"/>
        <v>32622.547492334164</v>
      </c>
      <c r="R55" s="558">
        <f t="shared" si="47"/>
        <v>0.46189999999999998</v>
      </c>
      <c r="S55" s="371">
        <f>[8]FCST!$CW29</f>
        <v>70626.861858268385</v>
      </c>
      <c r="T55" s="387">
        <f>[8]FCST!$CE29</f>
        <v>1681591.9490063901</v>
      </c>
      <c r="U55" s="679">
        <f t="shared" si="24"/>
        <v>1869936.4015140559</v>
      </c>
      <c r="V55" s="374">
        <f t="shared" si="44"/>
        <v>19018</v>
      </c>
      <c r="W55" s="132">
        <f t="shared" si="19"/>
        <v>21256.589145940728</v>
      </c>
      <c r="X55" s="123"/>
      <c r="Y55" s="123"/>
      <c r="AD55" s="696">
        <f t="shared" si="41"/>
        <v>2033</v>
      </c>
      <c r="AE55" s="474"/>
      <c r="AF55" s="652">
        <f t="shared" si="35"/>
        <v>2085999.08223096</v>
      </c>
      <c r="AG55" s="697">
        <f t="shared" si="50"/>
        <v>79.728571428571442</v>
      </c>
      <c r="AH55" s="569">
        <v>0</v>
      </c>
      <c r="AI55" s="696">
        <v>0</v>
      </c>
      <c r="AJ55" s="569"/>
      <c r="AK55" s="569"/>
      <c r="AL55" s="569">
        <v>25</v>
      </c>
      <c r="AM55" s="778">
        <f t="shared" si="51"/>
        <v>7572</v>
      </c>
      <c r="AN55" s="1575"/>
      <c r="AO55" s="630"/>
      <c r="AP55" s="322">
        <f t="shared" si="52"/>
        <v>54</v>
      </c>
      <c r="AQ55" s="1576"/>
      <c r="AR55" s="1577"/>
      <c r="AS55" s="1577"/>
      <c r="AT55" s="1577"/>
      <c r="AU55" s="1577"/>
      <c r="AV55" s="1577"/>
      <c r="AW55" s="474"/>
      <c r="AX55" s="474"/>
      <c r="AY55" s="474"/>
      <c r="AZ55" s="474"/>
      <c r="BA55" s="474"/>
      <c r="BB55" s="474"/>
      <c r="BC55" s="474"/>
      <c r="BD55" s="474"/>
      <c r="BE55" s="474"/>
      <c r="BF55" s="474"/>
      <c r="BG55" s="474"/>
      <c r="BH55" s="474"/>
      <c r="BI55" s="474"/>
    </row>
    <row r="56" spans="1:61">
      <c r="A56" s="123">
        <v>2023</v>
      </c>
      <c r="P56" s="132">
        <f>[8]FCST!$BM30</f>
        <v>1916347.0290263901</v>
      </c>
      <c r="Q56" s="371">
        <f t="shared" si="49"/>
        <v>32980.785751506162</v>
      </c>
      <c r="R56" s="558">
        <f t="shared" si="47"/>
        <v>0.46189999999999998</v>
      </c>
      <c r="S56" s="371">
        <f>[8]FCST!$CW30</f>
        <v>71402.437219108382</v>
      </c>
      <c r="T56" s="387">
        <f>[8]FCST!$CE30</f>
        <v>1700058.0290263901</v>
      </c>
      <c r="U56" s="679">
        <f t="shared" si="24"/>
        <v>1890000.2432748838</v>
      </c>
      <c r="V56" s="374">
        <f t="shared" si="44"/>
        <v>19208</v>
      </c>
      <c r="W56" s="132">
        <f t="shared" si="19"/>
        <v>20063.841760827927</v>
      </c>
      <c r="X56" s="123"/>
      <c r="Y56" s="123"/>
      <c r="AD56" s="696">
        <f t="shared" si="41"/>
        <v>2034</v>
      </c>
      <c r="AE56" s="474"/>
      <c r="AF56" s="652">
        <f t="shared" si="35"/>
        <v>2100303.8108867602</v>
      </c>
      <c r="AG56" s="697">
        <f t="shared" si="50"/>
        <v>79.728571428571442</v>
      </c>
      <c r="AH56" s="569">
        <v>0</v>
      </c>
      <c r="AI56" s="696">
        <v>0</v>
      </c>
      <c r="AJ56" s="569"/>
      <c r="AK56" s="569"/>
      <c r="AL56" s="569">
        <v>25</v>
      </c>
      <c r="AM56" s="778">
        <f t="shared" si="51"/>
        <v>7624</v>
      </c>
      <c r="AN56" s="1575"/>
      <c r="AO56" s="630"/>
      <c r="AP56" s="322">
        <f t="shared" si="52"/>
        <v>52</v>
      </c>
      <c r="AQ56" s="1578"/>
      <c r="AR56" s="1577"/>
      <c r="AS56" s="1577"/>
      <c r="AT56" s="1577"/>
      <c r="AU56" s="1577"/>
      <c r="AV56" s="1577"/>
      <c r="AW56" s="474"/>
      <c r="AX56" s="474"/>
      <c r="AY56" s="474"/>
      <c r="AZ56" s="474"/>
      <c r="BA56" s="474"/>
      <c r="BB56" s="474"/>
      <c r="BC56" s="474"/>
      <c r="BD56" s="474"/>
      <c r="BE56" s="474"/>
      <c r="BF56" s="474"/>
      <c r="BG56" s="474"/>
      <c r="BH56" s="474"/>
      <c r="BI56" s="474"/>
    </row>
    <row r="57" spans="1:61">
      <c r="A57" s="123">
        <v>2024</v>
      </c>
      <c r="P57" s="132">
        <f>[8]FCST!$BM31</f>
        <v>1936191.4068631099</v>
      </c>
      <c r="Q57" s="371">
        <f t="shared" si="49"/>
        <v>33329.05829106296</v>
      </c>
      <c r="R57" s="558">
        <f t="shared" si="47"/>
        <v>0.46189999999999998</v>
      </c>
      <c r="S57" s="371">
        <f>[8]FCST!$CW31</f>
        <v>72156.437088250619</v>
      </c>
      <c r="T57" s="387">
        <f>[8]FCST!$CE31</f>
        <v>1718010.4068631099</v>
      </c>
      <c r="U57" s="679">
        <f t="shared" si="24"/>
        <v>1909496.348572047</v>
      </c>
      <c r="V57" s="374">
        <f t="shared" si="44"/>
        <v>19400</v>
      </c>
      <c r="W57" s="132">
        <f t="shared" si="19"/>
        <v>19496.105297163129</v>
      </c>
      <c r="X57" s="123"/>
      <c r="Y57" s="123"/>
      <c r="AD57" s="696">
        <f t="shared" si="41"/>
        <v>2035</v>
      </c>
      <c r="AE57" s="474"/>
      <c r="AF57" s="652">
        <f t="shared" si="35"/>
        <v>2114239.0057578199</v>
      </c>
      <c r="AG57" s="697">
        <f t="shared" si="50"/>
        <v>79.728571428571442</v>
      </c>
      <c r="AH57" s="569">
        <v>0</v>
      </c>
      <c r="AI57" s="696">
        <v>0</v>
      </c>
      <c r="AJ57" s="569"/>
      <c r="AK57" s="569"/>
      <c r="AL57" s="569">
        <v>25</v>
      </c>
      <c r="AM57" s="778">
        <f t="shared" si="51"/>
        <v>7675</v>
      </c>
      <c r="AN57" s="1575"/>
      <c r="AO57" s="630"/>
      <c r="AP57" s="322">
        <f t="shared" si="52"/>
        <v>51</v>
      </c>
      <c r="AQ57" s="1577"/>
      <c r="AR57" s="1577"/>
      <c r="AS57" s="1577"/>
      <c r="AT57" s="1577"/>
      <c r="AU57" s="1577"/>
      <c r="AV57" s="1577"/>
      <c r="AW57" s="474"/>
      <c r="AX57" s="474"/>
      <c r="AY57" s="474"/>
      <c r="AZ57" s="474"/>
      <c r="BA57" s="474"/>
      <c r="BB57" s="474"/>
      <c r="BC57" s="474"/>
      <c r="BD57" s="474"/>
      <c r="BE57" s="474"/>
      <c r="BF57" s="474"/>
      <c r="BG57" s="474"/>
      <c r="BH57" s="474"/>
      <c r="BI57" s="474"/>
    </row>
    <row r="58" spans="1:61">
      <c r="A58" s="123">
        <v>2025</v>
      </c>
      <c r="P58" s="132">
        <f>[8]FCST!$BM32</f>
        <v>1955047.3829846201</v>
      </c>
      <c r="Q58" s="371">
        <f t="shared" si="49"/>
        <v>33660.406411825032</v>
      </c>
      <c r="R58" s="558">
        <f t="shared" si="47"/>
        <v>0.46189999999999998</v>
      </c>
      <c r="S58" s="371">
        <f>[8]FCST!$CW32</f>
        <v>72873.796085354043</v>
      </c>
      <c r="T58" s="387">
        <f>[8]FCST!$CE32</f>
        <v>1735090.3829846201</v>
      </c>
      <c r="U58" s="679">
        <f t="shared" si="24"/>
        <v>1928020.9765727951</v>
      </c>
      <c r="V58" s="374">
        <f t="shared" si="44"/>
        <v>19594</v>
      </c>
      <c r="W58" s="132">
        <f t="shared" si="19"/>
        <v>18524.628000748111</v>
      </c>
      <c r="AD58" s="696">
        <f t="shared" si="41"/>
        <v>2036</v>
      </c>
      <c r="AE58" s="474"/>
      <c r="AF58" s="652">
        <f t="shared" si="35"/>
        <v>2128296.66042472</v>
      </c>
      <c r="AG58" s="697">
        <f t="shared" si="50"/>
        <v>79.728571428571442</v>
      </c>
      <c r="AH58" s="569">
        <v>0</v>
      </c>
      <c r="AI58" s="696">
        <v>0</v>
      </c>
      <c r="AJ58" s="569"/>
      <c r="AK58" s="569"/>
      <c r="AL58" s="569">
        <v>25</v>
      </c>
      <c r="AM58" s="778">
        <f t="shared" si="51"/>
        <v>7727</v>
      </c>
      <c r="AN58" s="1575"/>
      <c r="AO58" s="630"/>
      <c r="AP58" s="322">
        <f t="shared" si="52"/>
        <v>52</v>
      </c>
      <c r="AQ58" s="505"/>
      <c r="AR58" s="1577"/>
      <c r="AS58" s="1577"/>
      <c r="AT58" s="1577"/>
      <c r="AU58" s="1577"/>
      <c r="AV58" s="1577"/>
      <c r="AW58" s="474"/>
      <c r="AX58" s="474"/>
      <c r="AY58" s="474"/>
      <c r="AZ58" s="474"/>
      <c r="BA58" s="474"/>
      <c r="BB58" s="474"/>
      <c r="BC58" s="474"/>
      <c r="BD58" s="474"/>
      <c r="BE58" s="474"/>
      <c r="BF58" s="474"/>
      <c r="BG58" s="474"/>
      <c r="BH58" s="474"/>
      <c r="BI58" s="474"/>
    </row>
    <row r="59" spans="1:61">
      <c r="A59" s="123">
        <v>2026</v>
      </c>
      <c r="P59" s="132">
        <f>[8]FCST!$BM33</f>
        <v>1973120.37565691</v>
      </c>
      <c r="Q59" s="371">
        <f t="shared" si="49"/>
        <v>33978.42719106892</v>
      </c>
      <c r="R59" s="558">
        <f t="shared" si="47"/>
        <v>0.46189999999999998</v>
      </c>
      <c r="S59" s="371">
        <f>[8]FCST!$CW33</f>
        <v>73562.301777590226</v>
      </c>
      <c r="T59" s="387">
        <f>[8]FCST!$CE33</f>
        <v>1751483.37565691</v>
      </c>
      <c r="U59" s="679">
        <f>P59-Q59+R$31</f>
        <v>1945775.9484658411</v>
      </c>
      <c r="V59" s="374">
        <f>ROUND(V58*1.01,0)</f>
        <v>19790</v>
      </c>
      <c r="W59" s="132">
        <f>U59-U58</f>
        <v>17754.971893046051</v>
      </c>
      <c r="X59" s="680"/>
      <c r="Y59" s="681"/>
      <c r="Z59" s="681"/>
      <c r="AA59" s="771"/>
      <c r="AD59" s="696">
        <f t="shared" si="41"/>
        <v>2037</v>
      </c>
      <c r="AE59" s="474"/>
      <c r="AF59" s="652">
        <f t="shared" si="35"/>
        <v>2143274.6028789002</v>
      </c>
      <c r="AG59" s="697">
        <f t="shared" si="50"/>
        <v>79.728571428571442</v>
      </c>
      <c r="AH59" s="569">
        <v>0</v>
      </c>
      <c r="AI59" s="696">
        <v>0</v>
      </c>
      <c r="AJ59" s="569"/>
      <c r="AK59" s="569"/>
      <c r="AL59" s="569">
        <v>25</v>
      </c>
      <c r="AM59" s="778">
        <f t="shared" si="51"/>
        <v>7782</v>
      </c>
      <c r="AN59" s="1575"/>
      <c r="AO59" s="630"/>
      <c r="AP59" s="322">
        <f t="shared" si="52"/>
        <v>55</v>
      </c>
      <c r="AQ59" s="505"/>
      <c r="AR59" s="1577"/>
      <c r="AS59" s="1577"/>
      <c r="AT59" s="1577"/>
      <c r="AU59" s="1577"/>
      <c r="AV59" s="1577"/>
      <c r="AW59" s="474"/>
      <c r="AX59" s="474"/>
      <c r="AY59" s="474"/>
      <c r="AZ59" s="474"/>
      <c r="BA59" s="474"/>
      <c r="BB59" s="474"/>
      <c r="BC59" s="474"/>
      <c r="BD59" s="474"/>
      <c r="BE59" s="474"/>
      <c r="BF59" s="474"/>
      <c r="BG59" s="474"/>
      <c r="BH59" s="474"/>
      <c r="BI59" s="474"/>
    </row>
    <row r="60" spans="1:61">
      <c r="A60" s="123">
        <v>2027</v>
      </c>
      <c r="P60" s="132">
        <f>[8]FCST!$BM34</f>
        <v>1990826.15060472</v>
      </c>
      <c r="Q60" s="371">
        <f t="shared" si="49"/>
        <v>34290.255210301446</v>
      </c>
      <c r="R60" s="558">
        <f t="shared" si="47"/>
        <v>0.46189999999999998</v>
      </c>
      <c r="S60" s="371">
        <f>[8]FCST!$CW34</f>
        <v>74237.400325398237</v>
      </c>
      <c r="T60" s="387">
        <f>[8]FCST!$CE34</f>
        <v>1767557.15060472</v>
      </c>
      <c r="U60" s="679">
        <f>P60-Q60+R$31</f>
        <v>1963169.8953944186</v>
      </c>
      <c r="V60" s="374">
        <f>ROUND(V59*1.01,0)</f>
        <v>19988</v>
      </c>
      <c r="W60" s="132">
        <f>U60-U59</f>
        <v>17393.946928577498</v>
      </c>
      <c r="X60" s="680"/>
      <c r="Y60" s="681"/>
      <c r="Z60" s="681"/>
      <c r="AA60" s="771"/>
      <c r="AD60" s="696">
        <f t="shared" si="41"/>
        <v>2038</v>
      </c>
      <c r="AE60" s="474"/>
      <c r="AF60" s="652">
        <f t="shared" si="35"/>
        <v>2158321.8388514603</v>
      </c>
      <c r="AG60" s="697">
        <f t="shared" si="50"/>
        <v>79.728571428571442</v>
      </c>
      <c r="AH60" s="569">
        <v>0</v>
      </c>
      <c r="AI60" s="696">
        <v>0</v>
      </c>
      <c r="AJ60" s="569"/>
      <c r="AK60" s="569"/>
      <c r="AL60" s="569">
        <v>25</v>
      </c>
      <c r="AM60" s="778">
        <f t="shared" si="51"/>
        <v>7837</v>
      </c>
      <c r="AN60" s="1575"/>
      <c r="AO60" s="630"/>
      <c r="AP60" s="322">
        <f t="shared" si="52"/>
        <v>55</v>
      </c>
      <c r="AQ60" s="505"/>
      <c r="AR60" s="1577"/>
      <c r="AS60" s="1577"/>
      <c r="AT60" s="1577"/>
      <c r="AU60" s="1577"/>
      <c r="AV60" s="1577"/>
      <c r="AW60" s="474"/>
      <c r="AX60" s="474"/>
      <c r="AY60" s="474"/>
      <c r="AZ60" s="474"/>
      <c r="BA60" s="474"/>
      <c r="BB60" s="474"/>
      <c r="BC60" s="474"/>
      <c r="BD60" s="474"/>
      <c r="BE60" s="474"/>
      <c r="BF60" s="474"/>
      <c r="BG60" s="474"/>
      <c r="BH60" s="474"/>
      <c r="BI60" s="474"/>
    </row>
    <row r="61" spans="1:61">
      <c r="A61" s="123">
        <v>2028</v>
      </c>
      <c r="P61" s="132">
        <f>[8]FCST!$BM35</f>
        <v>2008153.95769547</v>
      </c>
      <c r="Q61" s="371">
        <f t="shared" si="49"/>
        <v>34595.74011850058</v>
      </c>
      <c r="R61" s="558">
        <f t="shared" si="47"/>
        <v>0.46189999999999998</v>
      </c>
      <c r="S61" s="371">
        <f>[8]FCST!$CW35</f>
        <v>74898.76622320975</v>
      </c>
      <c r="T61" s="387">
        <f>[8]FCST!$CE35</f>
        <v>1783303.95769547</v>
      </c>
      <c r="U61" s="679">
        <f>P61-Q61+R$31</f>
        <v>1980192.2175769694</v>
      </c>
      <c r="V61" s="374">
        <f>ROUND(V60*1.01,0)</f>
        <v>20188</v>
      </c>
      <c r="W61" s="132">
        <f>U61-U60</f>
        <v>17022.322182550794</v>
      </c>
      <c r="X61" s="680"/>
      <c r="Y61" s="681"/>
      <c r="Z61" s="681"/>
      <c r="AA61" s="771"/>
      <c r="AD61" s="696">
        <f t="shared" si="41"/>
        <v>2039</v>
      </c>
      <c r="AE61" s="474"/>
      <c r="AF61" s="652">
        <f t="shared" si="35"/>
        <v>2173014.93766591</v>
      </c>
      <c r="AG61" s="697">
        <f t="shared" si="50"/>
        <v>79.728571428571442</v>
      </c>
      <c r="AH61" s="569">
        <v>0</v>
      </c>
      <c r="AI61" s="696">
        <v>0</v>
      </c>
      <c r="AJ61" s="569"/>
      <c r="AK61" s="569"/>
      <c r="AL61" s="569">
        <v>25</v>
      </c>
      <c r="AM61" s="778">
        <f t="shared" si="51"/>
        <v>7891</v>
      </c>
      <c r="AN61" s="1575"/>
      <c r="AO61" s="630"/>
      <c r="AP61" s="322">
        <f t="shared" si="52"/>
        <v>54</v>
      </c>
      <c r="AQ61" s="505"/>
      <c r="AR61" s="1577"/>
      <c r="AS61" s="1577"/>
      <c r="AT61" s="1577"/>
      <c r="AU61" s="1577"/>
      <c r="AV61" s="1577"/>
      <c r="AW61" s="474"/>
      <c r="AX61" s="474"/>
      <c r="AY61" s="474"/>
      <c r="AZ61" s="474"/>
      <c r="BA61" s="474"/>
      <c r="BB61" s="474"/>
      <c r="BC61" s="474"/>
      <c r="BD61" s="474"/>
      <c r="BE61" s="474"/>
      <c r="BF61" s="474"/>
      <c r="BG61" s="474"/>
      <c r="BH61" s="474"/>
      <c r="BI61" s="474"/>
    </row>
    <row r="62" spans="1:61">
      <c r="A62" s="123">
        <v>2029</v>
      </c>
      <c r="P62" s="132">
        <f>[8]FCST!$BM36</f>
        <v>2024882.44432572</v>
      </c>
      <c r="Q62" s="371">
        <f t="shared" si="49"/>
        <v>34890.8593166301</v>
      </c>
      <c r="R62" s="558">
        <f t="shared" si="47"/>
        <v>0.46189999999999998</v>
      </c>
      <c r="S62" s="371">
        <f>[8]FCST!$CW36</f>
        <v>75537.690661680244</v>
      </c>
      <c r="T62" s="387">
        <f>[8]FCST!$CE36</f>
        <v>1798516.44432572</v>
      </c>
      <c r="U62" s="679">
        <f>P62-Q62+R$31</f>
        <v>1996625.5850090899</v>
      </c>
      <c r="V62" s="374">
        <f>ROUND(V61*1.01,0)</f>
        <v>20390</v>
      </c>
      <c r="W62" s="132">
        <f>U62-U61</f>
        <v>16433.367432120489</v>
      </c>
      <c r="X62" s="680"/>
      <c r="Y62" s="681"/>
      <c r="Z62" s="681"/>
      <c r="AA62" s="771"/>
      <c r="AD62" s="696">
        <f t="shared" si="41"/>
        <v>2040</v>
      </c>
      <c r="AE62" s="474"/>
      <c r="AF62" s="652">
        <f t="shared" si="35"/>
        <v>2187706.0364803597</v>
      </c>
      <c r="AG62" s="697">
        <f t="shared" si="50"/>
        <v>79.728571428571442</v>
      </c>
      <c r="AH62" s="569">
        <v>0</v>
      </c>
      <c r="AI62" s="696">
        <v>0</v>
      </c>
      <c r="AJ62" s="569"/>
      <c r="AK62" s="569"/>
      <c r="AL62" s="569">
        <v>25</v>
      </c>
      <c r="AM62" s="778">
        <f t="shared" si="51"/>
        <v>7944</v>
      </c>
      <c r="AN62" s="569"/>
      <c r="AO62" s="630"/>
      <c r="AP62" s="322">
        <f t="shared" si="52"/>
        <v>53</v>
      </c>
      <c r="AQ62" s="505"/>
      <c r="AR62" s="1577"/>
      <c r="AS62" s="1577"/>
      <c r="AT62" s="1577"/>
      <c r="AU62" s="1577"/>
      <c r="AV62" s="1577"/>
      <c r="AW62" s="474"/>
      <c r="AX62" s="474"/>
      <c r="AY62" s="474"/>
      <c r="AZ62" s="474"/>
      <c r="BA62" s="474"/>
      <c r="BB62" s="474"/>
      <c r="BC62" s="474"/>
      <c r="BD62" s="474"/>
      <c r="BE62" s="474"/>
      <c r="BF62" s="474"/>
      <c r="BG62" s="474"/>
      <c r="BH62" s="474"/>
      <c r="BI62" s="474"/>
    </row>
    <row r="63" spans="1:61">
      <c r="A63" s="123">
        <v>2030</v>
      </c>
      <c r="P63" s="132">
        <f>[8]FCST!$BM37</f>
        <v>2040764.62577153</v>
      </c>
      <c r="Q63" s="371">
        <f t="shared" si="49"/>
        <v>35171.53914304253</v>
      </c>
      <c r="R63" s="558">
        <f t="shared" si="47"/>
        <v>0.46189999999999998</v>
      </c>
      <c r="S63" s="371">
        <f>[8]FCST!$CW37</f>
        <v>76145.354282404267</v>
      </c>
      <c r="T63" s="387">
        <f>[8]FCST!$CE37</f>
        <v>1812984.62577153</v>
      </c>
      <c r="U63" s="679">
        <f>P63-Q63+R$31</f>
        <v>2012227.0866284873</v>
      </c>
      <c r="V63" s="374"/>
      <c r="W63" s="132">
        <f>U63-U62</f>
        <v>15601.50161939743</v>
      </c>
      <c r="AD63" s="696"/>
      <c r="AE63" s="474"/>
      <c r="AF63" s="652"/>
      <c r="AG63" s="697"/>
      <c r="AH63" s="569"/>
      <c r="AI63" s="696"/>
      <c r="AJ63" s="569"/>
      <c r="AK63" s="569"/>
      <c r="AL63" s="569"/>
      <c r="AM63" s="778"/>
      <c r="AN63" s="569"/>
      <c r="AO63" s="630"/>
      <c r="AP63" s="322"/>
      <c r="AQ63" s="505"/>
      <c r="AR63" s="1577"/>
      <c r="AS63" s="1577"/>
      <c r="AT63" s="1577"/>
      <c r="AU63" s="1577"/>
      <c r="AV63" s="1577"/>
      <c r="AW63" s="474"/>
      <c r="AX63" s="474"/>
      <c r="AY63" s="474"/>
      <c r="AZ63" s="474"/>
      <c r="BA63" s="474"/>
      <c r="BB63" s="474"/>
      <c r="BC63" s="474"/>
      <c r="BD63" s="474"/>
      <c r="BE63" s="474"/>
      <c r="BF63" s="474"/>
      <c r="BG63" s="474"/>
      <c r="BH63" s="474"/>
      <c r="BI63" s="474"/>
    </row>
    <row r="64" spans="1:61">
      <c r="A64" s="123">
        <v>2031</v>
      </c>
      <c r="P64" s="132">
        <f>[8]FCST!$BM38</f>
        <v>2056240.4709505001</v>
      </c>
      <c r="Q64" s="371">
        <f t="shared" ref="Q64:Q73" si="53">R64*S64</f>
        <v>35445.325516945515</v>
      </c>
      <c r="R64" s="558">
        <f t="shared" si="47"/>
        <v>0.46189999999999998</v>
      </c>
      <c r="S64" s="371">
        <f>[8]FCST!$CW38</f>
        <v>76738.093779921008</v>
      </c>
      <c r="T64" s="387">
        <f>[8]FCST!$CE38</f>
        <v>1827097.4709505001</v>
      </c>
      <c r="U64" s="679">
        <f t="shared" ref="U64:U73" si="54">P64-Q64+R$31</f>
        <v>2027429.1454335547</v>
      </c>
      <c r="V64" s="374"/>
      <c r="W64" s="132">
        <f t="shared" ref="W64:W73" si="55">U64-U63</f>
        <v>15202.058805067325</v>
      </c>
      <c r="AD64" s="638"/>
      <c r="AE64" s="638"/>
      <c r="AF64" s="638"/>
      <c r="AG64" s="638"/>
      <c r="AH64" s="649"/>
      <c r="AI64" s="649"/>
      <c r="AJ64" s="638"/>
      <c r="AK64" s="638"/>
      <c r="AL64" s="638"/>
      <c r="AM64" s="649"/>
      <c r="AN64" s="649"/>
      <c r="AO64" s="649"/>
      <c r="AP64" s="649"/>
      <c r="AQ64" s="650"/>
      <c r="AR64" s="1566"/>
      <c r="AS64" s="1567"/>
      <c r="AT64" s="1567"/>
      <c r="AU64" s="1567"/>
      <c r="AV64" s="643"/>
      <c r="AW64" s="474"/>
      <c r="AX64" s="474"/>
      <c r="AY64" s="474"/>
      <c r="AZ64" s="474"/>
      <c r="BA64" s="474"/>
      <c r="BB64" s="474"/>
      <c r="BC64" s="474"/>
      <c r="BD64" s="474"/>
      <c r="BE64" s="474"/>
      <c r="BF64" s="474"/>
      <c r="BG64" s="474"/>
      <c r="BH64" s="474"/>
      <c r="BI64" s="474"/>
    </row>
    <row r="65" spans="1:61">
      <c r="A65" s="123">
        <v>2032</v>
      </c>
      <c r="P65" s="132">
        <f>[8]FCST!$BM39</f>
        <v>2071315.41393496</v>
      </c>
      <c r="Q65" s="371">
        <f t="shared" si="53"/>
        <v>35712.343258055444</v>
      </c>
      <c r="R65" s="558">
        <f t="shared" si="47"/>
        <v>0.46189999999999998</v>
      </c>
      <c r="S65" s="371">
        <f>[8]FCST!$CW39</f>
        <v>77316.179385268333</v>
      </c>
      <c r="T65" s="387">
        <f>[8]FCST!$CE39</f>
        <v>1840861.41393496</v>
      </c>
      <c r="U65" s="679">
        <f t="shared" si="54"/>
        <v>2042237.0706769046</v>
      </c>
      <c r="V65" s="374"/>
      <c r="W65" s="132">
        <f t="shared" si="55"/>
        <v>14807.925243349979</v>
      </c>
      <c r="AD65" s="1504"/>
      <c r="AE65" s="1505"/>
      <c r="AF65" s="647"/>
      <c r="AG65" s="648"/>
      <c r="AH65" s="649"/>
      <c r="AI65" s="649"/>
      <c r="AJ65" s="767"/>
      <c r="AK65" s="1505"/>
      <c r="AL65" s="769"/>
      <c r="AM65" s="1506">
        <f>(BD33/BD20)^(1/19)-1</f>
        <v>1.2212769007400537E-2</v>
      </c>
      <c r="AN65" s="767"/>
      <c r="AO65" s="767"/>
      <c r="AP65" s="649"/>
      <c r="AQ65" s="507"/>
      <c r="AR65" s="508"/>
      <c r="AS65" s="508"/>
      <c r="AT65" s="1570"/>
      <c r="AU65" s="1579"/>
      <c r="AV65" s="1580"/>
      <c r="AW65" s="474"/>
      <c r="AX65" s="474"/>
      <c r="AY65" s="474"/>
      <c r="AZ65" s="474"/>
      <c r="BA65" s="474"/>
      <c r="BB65" s="474"/>
      <c r="BC65" s="474"/>
      <c r="BD65" s="474"/>
      <c r="BE65" s="474"/>
      <c r="BF65" s="474"/>
      <c r="BG65" s="474"/>
      <c r="BH65" s="474"/>
      <c r="BI65" s="474"/>
    </row>
    <row r="66" spans="1:61">
      <c r="A66" s="123">
        <v>2033</v>
      </c>
      <c r="P66" s="132">
        <f>[8]FCST!$BM40</f>
        <v>2085999.08223096</v>
      </c>
      <c r="Q66" s="371">
        <f t="shared" si="53"/>
        <v>35972.759738264176</v>
      </c>
      <c r="R66" s="558">
        <f t="shared" si="47"/>
        <v>0.46189999999999998</v>
      </c>
      <c r="S66" s="371">
        <f>[8]FCST!$CW40</f>
        <v>77879.973453700324</v>
      </c>
      <c r="T66" s="387">
        <f>[8]FCST!$CE40</f>
        <v>1854285.08223096</v>
      </c>
      <c r="U66" s="679">
        <f t="shared" si="54"/>
        <v>2056660.3224926959</v>
      </c>
      <c r="V66" s="374"/>
      <c r="W66" s="132">
        <f t="shared" si="55"/>
        <v>14423.251815791242</v>
      </c>
      <c r="AD66" s="1504"/>
      <c r="AE66" s="1505"/>
      <c r="AF66" s="647"/>
      <c r="AG66" s="648"/>
      <c r="AH66" s="649"/>
      <c r="AI66" s="649"/>
      <c r="AJ66" s="767"/>
      <c r="AK66" s="1509"/>
      <c r="AL66" s="1127"/>
      <c r="AM66" s="1506">
        <f>(AM46/AM36)^(1/9)-1</f>
        <v>2.2849648724489802E-2</v>
      </c>
      <c r="AN66" s="1506">
        <f>(AN46/AN36)^(1/9)-1</f>
        <v>2.1294609877925863E-2</v>
      </c>
      <c r="AO66" s="767"/>
      <c r="AP66" s="649"/>
      <c r="AQ66" s="509"/>
      <c r="AR66" s="275"/>
      <c r="AS66" s="275"/>
      <c r="AT66" s="1570"/>
      <c r="AU66" s="275"/>
      <c r="AV66" s="275"/>
      <c r="AW66" s="474"/>
      <c r="AX66" s="474"/>
      <c r="AY66" s="474"/>
      <c r="AZ66" s="474"/>
      <c r="BA66" s="474"/>
      <c r="BB66" s="474"/>
      <c r="BC66" s="474"/>
      <c r="BD66" s="474"/>
      <c r="BE66" s="474"/>
      <c r="BF66" s="474"/>
      <c r="BG66" s="474"/>
      <c r="BH66" s="474"/>
      <c r="BI66" s="474"/>
    </row>
    <row r="67" spans="1:61">
      <c r="A67" s="123">
        <v>2034</v>
      </c>
      <c r="P67" s="132">
        <f>[8]FCST!$BM41</f>
        <v>2100303.8108867602</v>
      </c>
      <c r="Q67" s="371">
        <f t="shared" si="53"/>
        <v>36226.73665584097</v>
      </c>
      <c r="R67" s="558">
        <f t="shared" si="47"/>
        <v>0.46189999999999998</v>
      </c>
      <c r="S67" s="371">
        <f>[8]FCST!$CW41</f>
        <v>78429.826057243932</v>
      </c>
      <c r="T67" s="387">
        <f>[8]FCST!$CE41</f>
        <v>1867376.81088676</v>
      </c>
      <c r="U67" s="679">
        <f t="shared" si="54"/>
        <v>2070711.0742309194</v>
      </c>
      <c r="V67" s="374"/>
      <c r="W67" s="132">
        <f t="shared" si="55"/>
        <v>14050.75173822348</v>
      </c>
      <c r="AD67" s="638"/>
      <c r="AE67" s="639"/>
      <c r="AF67" s="647"/>
      <c r="AG67" s="648"/>
      <c r="AH67" s="649"/>
      <c r="AI67" s="649"/>
      <c r="AJ67" s="642"/>
      <c r="AK67" s="642"/>
      <c r="AL67" s="643"/>
      <c r="AM67" s="643"/>
      <c r="AN67" s="643"/>
      <c r="AO67" s="643"/>
      <c r="AP67" s="643"/>
      <c r="AQ67" s="509"/>
      <c r="AR67" s="510"/>
      <c r="AS67" s="510"/>
      <c r="AT67" s="1571"/>
      <c r="AU67" s="1571"/>
      <c r="AV67" s="1571"/>
      <c r="AW67" s="474"/>
      <c r="AX67" s="474"/>
      <c r="AY67" s="474"/>
      <c r="AZ67" s="474"/>
      <c r="BA67" s="474"/>
      <c r="BB67" s="474"/>
      <c r="BC67" s="474"/>
      <c r="BD67" s="474"/>
      <c r="BE67" s="474"/>
      <c r="BF67" s="474"/>
      <c r="BG67" s="474"/>
      <c r="BH67" s="474"/>
      <c r="BI67" s="474"/>
    </row>
    <row r="68" spans="1:61">
      <c r="A68" s="123">
        <v>2035</v>
      </c>
      <c r="P68" s="132">
        <f>[8]FCST!$BM42</f>
        <v>2114239.0057578199</v>
      </c>
      <c r="Q68" s="371">
        <f t="shared" si="53"/>
        <v>36474.495282100557</v>
      </c>
      <c r="R68" s="558">
        <f t="shared" si="47"/>
        <v>0.46189999999999998</v>
      </c>
      <c r="S68" s="371">
        <f>[8]FCST!$CW42</f>
        <v>78966.216241828442</v>
      </c>
      <c r="T68" s="387">
        <f>[8]FCST!$CE42</f>
        <v>1880148.0057578201</v>
      </c>
      <c r="U68" s="679">
        <f t="shared" si="54"/>
        <v>2084398.5104757193</v>
      </c>
      <c r="V68" s="374"/>
      <c r="W68" s="132">
        <f t="shared" si="55"/>
        <v>13687.436244799988</v>
      </c>
      <c r="Y68" s="143"/>
      <c r="Z68" s="143"/>
      <c r="AA68" s="143"/>
      <c r="AD68" s="638"/>
      <c r="AE68" s="639"/>
      <c r="AF68" s="647"/>
      <c r="AG68" s="648"/>
      <c r="AH68" s="649"/>
      <c r="AI68" s="649"/>
      <c r="AJ68" s="642"/>
      <c r="AK68" s="642"/>
      <c r="AL68" s="643"/>
      <c r="AM68" s="643"/>
      <c r="AN68" s="643"/>
      <c r="AO68" s="643"/>
      <c r="AP68" s="643"/>
      <c r="AQ68" s="509"/>
      <c r="AR68" s="275"/>
      <c r="AS68" s="1572"/>
      <c r="AT68" s="1571"/>
      <c r="AU68" s="1571"/>
      <c r="AV68" s="1571"/>
      <c r="AW68" s="474"/>
      <c r="AX68" s="474"/>
      <c r="AY68" s="474"/>
      <c r="AZ68" s="474"/>
      <c r="BA68" s="474"/>
      <c r="BB68" s="474"/>
      <c r="BC68" s="474"/>
      <c r="BD68" s="474"/>
      <c r="BE68" s="474"/>
      <c r="BF68" s="474"/>
      <c r="BG68" s="474"/>
      <c r="BH68" s="474"/>
      <c r="BI68" s="474"/>
    </row>
    <row r="69" spans="1:61">
      <c r="A69" s="123">
        <v>2036</v>
      </c>
      <c r="P69" s="132">
        <f>[8]FCST!$BM43</f>
        <v>2128296.66042472</v>
      </c>
      <c r="Q69" s="371">
        <f t="shared" si="53"/>
        <v>36724.804202107487</v>
      </c>
      <c r="R69" s="558">
        <f t="shared" si="47"/>
        <v>0.46189999999999998</v>
      </c>
      <c r="S69" s="371">
        <f>[8]FCST!$CW43</f>
        <v>79508.127737838251</v>
      </c>
      <c r="T69" s="387">
        <f>[8]FCST!$CE43</f>
        <v>1893050.66042472</v>
      </c>
      <c r="U69" s="679">
        <f t="shared" si="54"/>
        <v>2098205.8562226128</v>
      </c>
      <c r="V69" s="374"/>
      <c r="W69" s="132">
        <f t="shared" si="55"/>
        <v>13807.345746893436</v>
      </c>
      <c r="AD69" s="638"/>
      <c r="AE69" s="639"/>
      <c r="AF69" s="647"/>
      <c r="AG69" s="648"/>
      <c r="AH69" s="649"/>
      <c r="AI69" s="649"/>
      <c r="AJ69" s="642"/>
      <c r="AK69" s="642"/>
      <c r="AL69" s="643"/>
      <c r="AM69" s="643"/>
      <c r="AN69" s="643"/>
      <c r="AO69" s="643"/>
      <c r="AP69" s="643"/>
      <c r="AQ69" s="644"/>
      <c r="AR69" s="590"/>
      <c r="AS69" s="590"/>
      <c r="AT69" s="590"/>
      <c r="AU69" s="590"/>
      <c r="AV69" s="590"/>
      <c r="AW69" s="646"/>
      <c r="AX69" s="474"/>
      <c r="AY69" s="474"/>
      <c r="AZ69" s="474"/>
      <c r="BA69" s="474"/>
      <c r="BB69" s="474"/>
      <c r="BC69" s="474"/>
      <c r="BD69" s="474"/>
      <c r="BE69" s="474"/>
      <c r="BF69" s="474"/>
      <c r="BG69" s="474"/>
      <c r="BH69" s="474"/>
      <c r="BI69" s="474"/>
    </row>
    <row r="70" spans="1:61">
      <c r="A70" s="123">
        <v>2037</v>
      </c>
      <c r="P70" s="132">
        <f>[8]FCST!$BM44</f>
        <v>2143274.6028789002</v>
      </c>
      <c r="Q70" s="371">
        <f t="shared" si="53"/>
        <v>36991.220539130081</v>
      </c>
      <c r="R70" s="558">
        <f t="shared" si="47"/>
        <v>0.46189999999999998</v>
      </c>
      <c r="S70" s="371">
        <f>[8]FCST!$CW44</f>
        <v>80084.911320913801</v>
      </c>
      <c r="T70" s="387">
        <f>[8]FCST!$CE44</f>
        <v>1906783.6028789</v>
      </c>
      <c r="U70" s="679">
        <f t="shared" si="54"/>
        <v>2112917.38233977</v>
      </c>
      <c r="V70" s="374"/>
      <c r="W70" s="132">
        <f t="shared" si="55"/>
        <v>14711.526117157191</v>
      </c>
      <c r="AD70" s="645"/>
      <c r="AE70" s="646"/>
      <c r="AF70" s="647"/>
      <c r="AG70" s="648"/>
      <c r="AH70" s="649"/>
      <c r="AI70" s="649"/>
      <c r="AJ70" s="646"/>
      <c r="AK70" s="646"/>
      <c r="AL70" s="646"/>
      <c r="AM70" s="646"/>
      <c r="AN70" s="646"/>
      <c r="AO70" s="646"/>
      <c r="AP70" s="646"/>
      <c r="AQ70" s="644"/>
      <c r="AR70" s="590"/>
      <c r="AS70" s="590"/>
      <c r="AT70" s="590"/>
      <c r="AU70" s="590"/>
      <c r="AV70" s="590"/>
      <c r="AW70" s="646"/>
      <c r="AX70" s="474"/>
      <c r="AY70" s="474"/>
      <c r="AZ70" s="474"/>
      <c r="BA70" s="474"/>
      <c r="BB70" s="474"/>
      <c r="BC70" s="474"/>
      <c r="BD70" s="474"/>
      <c r="BE70" s="474"/>
      <c r="BF70" s="474"/>
      <c r="BG70" s="474"/>
      <c r="BH70" s="474"/>
      <c r="BI70" s="474"/>
    </row>
    <row r="71" spans="1:61">
      <c r="A71" s="123">
        <v>2038</v>
      </c>
      <c r="P71" s="132">
        <f>[8]FCST!$BM45</f>
        <v>2158321.8388514603</v>
      </c>
      <c r="Q71" s="371">
        <f t="shared" si="53"/>
        <v>37258.845357950559</v>
      </c>
      <c r="R71" s="558">
        <f t="shared" si="47"/>
        <v>0.46189999999999998</v>
      </c>
      <c r="S71" s="371">
        <f>[8]FCST!$CW45</f>
        <v>80664.311231761327</v>
      </c>
      <c r="T71" s="387">
        <f>[8]FCST!$CE45</f>
        <v>1920578.83885146</v>
      </c>
      <c r="U71" s="679">
        <f t="shared" si="54"/>
        <v>2127696.9934935095</v>
      </c>
      <c r="V71" s="374"/>
      <c r="W71" s="132">
        <f t="shared" si="55"/>
        <v>14779.611153739505</v>
      </c>
      <c r="AD71" s="646"/>
      <c r="AE71" s="643"/>
      <c r="AF71" s="647"/>
      <c r="AG71" s="648"/>
      <c r="AH71" s="649"/>
      <c r="AI71" s="649"/>
      <c r="AJ71" s="646"/>
      <c r="AK71" s="646"/>
      <c r="AL71" s="646"/>
      <c r="AM71" s="646"/>
      <c r="AN71" s="646"/>
      <c r="AO71" s="646"/>
      <c r="AP71" s="646"/>
      <c r="AQ71" s="590"/>
      <c r="AR71" s="590"/>
      <c r="AS71" s="590"/>
      <c r="AT71" s="590"/>
      <c r="AU71" s="590"/>
      <c r="AV71" s="590"/>
      <c r="AW71" s="646"/>
      <c r="AX71" s="474"/>
      <c r="AY71" s="474"/>
      <c r="AZ71" s="474"/>
      <c r="BA71" s="474"/>
      <c r="BB71" s="474"/>
      <c r="BC71" s="474"/>
      <c r="BD71" s="474"/>
      <c r="BE71" s="474"/>
      <c r="BF71" s="474"/>
      <c r="BG71" s="474"/>
      <c r="BH71" s="474"/>
      <c r="BI71" s="474"/>
    </row>
    <row r="72" spans="1:61">
      <c r="A72" s="123">
        <v>2039</v>
      </c>
      <c r="P72" s="132">
        <f>[8]FCST!$BM46</f>
        <v>2173014.93766591</v>
      </c>
      <c r="Q72" s="371">
        <f t="shared" si="53"/>
        <v>37520.705775331124</v>
      </c>
      <c r="R72" s="558">
        <f t="shared" si="47"/>
        <v>0.46189999999999998</v>
      </c>
      <c r="S72" s="371">
        <f>[8]FCST!$CW46</f>
        <v>81231.231381968231</v>
      </c>
      <c r="T72" s="387">
        <f>[8]FCST!$CE46</f>
        <v>1934076.93766591</v>
      </c>
      <c r="U72" s="679">
        <f t="shared" si="54"/>
        <v>2142128.2318905788</v>
      </c>
      <c r="V72" s="374"/>
      <c r="W72" s="132">
        <f t="shared" si="55"/>
        <v>14431.238397069275</v>
      </c>
      <c r="AD72" s="647"/>
      <c r="AE72" s="638"/>
      <c r="AF72" s="647"/>
      <c r="AG72" s="648"/>
      <c r="AH72" s="649"/>
      <c r="AI72" s="649"/>
      <c r="AJ72" s="647"/>
      <c r="AK72" s="647"/>
      <c r="AL72" s="647"/>
      <c r="AM72" s="649"/>
      <c r="AN72" s="649"/>
      <c r="AO72" s="649"/>
      <c r="AP72" s="649"/>
      <c r="AQ72" s="1"/>
      <c r="AR72" s="646"/>
      <c r="AS72" s="646"/>
      <c r="AT72" s="590"/>
      <c r="AU72" s="590"/>
      <c r="AV72" s="590"/>
      <c r="AW72" s="646"/>
      <c r="AX72" s="474"/>
      <c r="AY72" s="474"/>
      <c r="AZ72" s="474"/>
      <c r="BA72" s="474"/>
      <c r="BB72" s="474"/>
      <c r="BC72" s="474"/>
      <c r="BD72" s="474"/>
      <c r="BE72" s="474"/>
      <c r="BF72" s="474"/>
      <c r="BG72" s="474"/>
      <c r="BH72" s="474"/>
      <c r="BI72" s="474"/>
    </row>
    <row r="73" spans="1:61">
      <c r="A73" s="123">
        <v>2040</v>
      </c>
      <c r="P73" s="132">
        <f>[8]FCST!$BM47</f>
        <v>2187706.0364803597</v>
      </c>
      <c r="Q73" s="371">
        <f t="shared" si="53"/>
        <v>37782.566192711696</v>
      </c>
      <c r="R73" s="558">
        <f t="shared" si="47"/>
        <v>0.46189999999999998</v>
      </c>
      <c r="S73" s="371">
        <f>[8]FCST!$CW47</f>
        <v>81798.151532175136</v>
      </c>
      <c r="T73" s="387">
        <f>[8]FCST!$CE47</f>
        <v>1947575.03648036</v>
      </c>
      <c r="U73" s="679">
        <f t="shared" si="54"/>
        <v>2156557.470287648</v>
      </c>
      <c r="V73" s="374"/>
      <c r="W73" s="132">
        <f t="shared" si="55"/>
        <v>14429.238397069275</v>
      </c>
      <c r="AD73" s="638"/>
      <c r="AE73" s="639"/>
      <c r="AF73" s="640"/>
      <c r="AG73" s="641"/>
      <c r="AH73" s="642"/>
      <c r="AI73" s="642"/>
      <c r="AJ73" s="642"/>
      <c r="AK73" s="642"/>
      <c r="AL73" s="643"/>
      <c r="AM73" s="643"/>
      <c r="AN73" s="643"/>
      <c r="AO73" s="643"/>
      <c r="AP73" s="643"/>
      <c r="AQ73" s="650"/>
      <c r="AR73" s="1567"/>
      <c r="AS73" s="1567"/>
      <c r="AT73" s="1567"/>
      <c r="AU73" s="1567"/>
      <c r="AV73" s="646"/>
      <c r="AW73" s="646"/>
      <c r="AX73" s="474"/>
      <c r="AY73" s="474"/>
      <c r="AZ73" s="474"/>
      <c r="BA73" s="474"/>
      <c r="BB73" s="474"/>
      <c r="BC73" s="474"/>
      <c r="BD73" s="474"/>
      <c r="BE73" s="474"/>
      <c r="BF73" s="474"/>
      <c r="BG73" s="474"/>
      <c r="BH73" s="474"/>
      <c r="BI73" s="474"/>
    </row>
    <row r="74" spans="1:61">
      <c r="X74" s="680">
        <f>AVERAGE(X42:X43,X34:X40,X31:X32,X29,X27,X21:X23,X18:X19,X15,X11)</f>
        <v>78.170000000000016</v>
      </c>
      <c r="Y74" s="891">
        <f>AVERAGE(Y42:Y44,Y34:Y40,Y31:Y32,Y29,Y27,Y21:Y23,Y18:Y19,Y15,Y11)</f>
        <v>79.728571428571442</v>
      </c>
      <c r="Z74" s="681">
        <f>AVERAGE(Z42:Z43,Z34:Z40,Z31:Z32,Z29,Z27,Z21:Z23,Z18:Z19,Z15,Z11)</f>
        <v>75.405000000000001</v>
      </c>
      <c r="AA74" s="1059">
        <f>AVERAGE(AA42:AA43,AA34:AA40,AA31:AA32,AA29,AA27,AA21:AA23,AA18:AA19,AA15,AA11)</f>
        <v>81.115000000000009</v>
      </c>
      <c r="AD74" s="638"/>
      <c r="AE74" s="651"/>
      <c r="AF74" s="651"/>
      <c r="AG74" s="641"/>
      <c r="AH74" s="638"/>
      <c r="AI74" s="638"/>
      <c r="AJ74" s="652"/>
      <c r="AK74" s="651"/>
      <c r="AL74" s="638"/>
      <c r="AM74" s="638"/>
      <c r="AN74" s="638"/>
      <c r="AO74" s="638"/>
      <c r="AP74" s="638"/>
      <c r="AQ74" s="635"/>
      <c r="AR74" s="272"/>
      <c r="AS74" s="1568"/>
      <c r="AT74" s="1568"/>
      <c r="AU74" s="1568"/>
      <c r="AV74" s="1580"/>
      <c r="AW74" s="646"/>
      <c r="AX74" s="474"/>
      <c r="AY74" s="474"/>
      <c r="AZ74" s="474"/>
      <c r="BA74" s="474"/>
      <c r="BB74" s="474"/>
      <c r="BC74" s="474"/>
      <c r="BD74" s="474"/>
      <c r="BE74" s="474"/>
      <c r="BF74" s="474"/>
      <c r="BG74" s="474"/>
      <c r="BH74" s="474"/>
      <c r="BI74" s="474"/>
    </row>
    <row r="75" spans="1:61">
      <c r="X75" s="302"/>
      <c r="Y75" s="123"/>
      <c r="AD75" s="638"/>
      <c r="AE75" s="651"/>
      <c r="AF75" s="651"/>
      <c r="AG75" s="641"/>
      <c r="AH75" s="638"/>
      <c r="AI75" s="638"/>
      <c r="AJ75" s="652"/>
      <c r="AK75" s="651"/>
      <c r="AL75" s="638"/>
      <c r="AM75" s="638"/>
      <c r="AN75" s="638"/>
      <c r="AO75" s="638"/>
      <c r="AP75" s="653"/>
      <c r="AQ75" s="636"/>
      <c r="AR75" s="275"/>
      <c r="AS75" s="268"/>
      <c r="AT75" s="268"/>
      <c r="AU75" s="268"/>
      <c r="AV75" s="268"/>
      <c r="AW75" s="129"/>
    </row>
    <row r="76" spans="1:61">
      <c r="X76" s="930" t="s">
        <v>548</v>
      </c>
      <c r="Y76" s="908"/>
      <c r="Z76" s="908"/>
      <c r="AA76" s="908"/>
      <c r="AD76" s="638"/>
      <c r="AE76" s="651"/>
      <c r="AF76" s="651"/>
      <c r="AG76" s="641"/>
      <c r="AH76" s="638"/>
      <c r="AI76" s="638"/>
      <c r="AJ76" s="652"/>
      <c r="AK76" s="651"/>
      <c r="AL76" s="638"/>
      <c r="AM76" s="638"/>
      <c r="AN76" s="638"/>
      <c r="AO76" s="638"/>
      <c r="AP76" s="653"/>
      <c r="AQ76" s="636"/>
      <c r="AR76" s="277"/>
      <c r="AS76" s="278"/>
      <c r="AT76" s="269"/>
      <c r="AU76" s="269"/>
      <c r="AV76" s="269"/>
      <c r="AW76" s="129"/>
    </row>
    <row r="77" spans="1:61">
      <c r="X77" s="1332" t="s">
        <v>362</v>
      </c>
      <c r="Y77" s="908"/>
      <c r="Z77" s="908"/>
      <c r="AA77" s="908"/>
      <c r="AD77" s="638"/>
      <c r="AE77" s="651"/>
      <c r="AF77" s="651"/>
      <c r="AG77" s="641"/>
      <c r="AH77" s="638"/>
      <c r="AI77" s="638"/>
      <c r="AJ77" s="652"/>
      <c r="AK77" s="651"/>
      <c r="AL77" s="638"/>
      <c r="AM77" s="638"/>
      <c r="AN77" s="638"/>
      <c r="AO77" s="638"/>
      <c r="AP77" s="653"/>
      <c r="AQ77" s="636"/>
      <c r="AR77" s="268"/>
      <c r="AS77" s="279"/>
      <c r="AT77" s="269"/>
      <c r="AU77" s="269"/>
      <c r="AV77" s="269"/>
      <c r="AW77" s="129"/>
    </row>
    <row r="78" spans="1:61">
      <c r="AD78" s="638"/>
      <c r="AE78" s="651"/>
      <c r="AF78" s="651"/>
      <c r="AG78" s="641"/>
      <c r="AH78" s="638"/>
      <c r="AI78" s="638"/>
      <c r="AJ78" s="652"/>
      <c r="AK78" s="651"/>
      <c r="AL78" s="638"/>
      <c r="AM78" s="638"/>
      <c r="AN78" s="638"/>
      <c r="AO78" s="638"/>
      <c r="AP78" s="653"/>
      <c r="AQ78" s="636"/>
      <c r="AR78" s="279"/>
      <c r="AS78" s="279"/>
      <c r="AT78" s="269"/>
      <c r="AU78" s="269"/>
      <c r="AV78" s="269"/>
      <c r="AW78" s="129"/>
    </row>
    <row r="79" spans="1:61">
      <c r="AD79" s="638"/>
      <c r="AE79" s="651"/>
      <c r="AF79" s="651"/>
      <c r="AG79" s="641"/>
      <c r="AH79" s="638"/>
      <c r="AI79" s="638"/>
      <c r="AJ79" s="652"/>
      <c r="AK79" s="651"/>
      <c r="AL79" s="638"/>
      <c r="AM79" s="638"/>
      <c r="AN79" s="638"/>
      <c r="AO79" s="638"/>
      <c r="AP79" s="653"/>
      <c r="AQ79" s="637"/>
      <c r="AR79" s="270"/>
      <c r="AS79" s="270"/>
      <c r="AT79" s="270"/>
      <c r="AU79" s="270"/>
      <c r="AV79" s="270"/>
      <c r="AW79" s="129"/>
    </row>
    <row r="80" spans="1:61">
      <c r="AD80" s="638"/>
      <c r="AE80" s="651"/>
      <c r="AF80" s="651"/>
      <c r="AG80" s="641"/>
      <c r="AH80" s="638"/>
      <c r="AI80" s="638"/>
      <c r="AJ80" s="652"/>
      <c r="AK80" s="651"/>
      <c r="AL80" s="638"/>
      <c r="AM80" s="638"/>
      <c r="AN80" s="638"/>
      <c r="AO80" s="638"/>
      <c r="AP80" s="653"/>
      <c r="AQ80" s="646"/>
      <c r="AR80" s="129"/>
      <c r="AS80" s="129"/>
      <c r="AT80" s="129"/>
      <c r="AU80" s="129"/>
      <c r="AV80" s="129"/>
      <c r="AW80" s="129"/>
    </row>
    <row r="81" spans="30:49">
      <c r="AD81" s="638"/>
      <c r="AE81" s="651"/>
      <c r="AF81" s="651"/>
      <c r="AG81" s="641"/>
      <c r="AH81" s="638"/>
      <c r="AI81" s="638"/>
      <c r="AJ81" s="652"/>
      <c r="AK81" s="651"/>
      <c r="AL81" s="638"/>
      <c r="AM81" s="638"/>
      <c r="AN81" s="638"/>
      <c r="AO81" s="638"/>
      <c r="AP81" s="653"/>
      <c r="AQ81" s="646"/>
      <c r="AR81" s="129"/>
      <c r="AS81" s="129"/>
      <c r="AT81" s="129"/>
      <c r="AU81" s="129"/>
      <c r="AV81" s="129"/>
      <c r="AW81" s="129"/>
    </row>
    <row r="82" spans="30:49">
      <c r="AD82" s="638"/>
      <c r="AE82" s="651"/>
      <c r="AF82" s="651"/>
      <c r="AG82" s="641"/>
      <c r="AH82" s="638"/>
      <c r="AI82" s="638"/>
      <c r="AJ82" s="652"/>
      <c r="AK82" s="651"/>
      <c r="AL82" s="638"/>
      <c r="AM82" s="638"/>
      <c r="AN82" s="638"/>
      <c r="AO82" s="638"/>
      <c r="AP82" s="653"/>
      <c r="AQ82" s="646"/>
      <c r="AR82" s="129"/>
      <c r="AS82" s="129"/>
      <c r="AT82" s="129"/>
      <c r="AU82" s="129"/>
      <c r="AV82" s="129"/>
      <c r="AW82" s="129"/>
    </row>
    <row r="83" spans="30:49">
      <c r="AD83" s="638"/>
      <c r="AE83" s="651"/>
      <c r="AF83" s="651"/>
      <c r="AG83" s="641"/>
      <c r="AH83" s="638"/>
      <c r="AI83" s="638"/>
      <c r="AJ83" s="652"/>
      <c r="AK83" s="651"/>
      <c r="AL83" s="638"/>
      <c r="AM83" s="638"/>
      <c r="AN83" s="638"/>
      <c r="AO83" s="638"/>
      <c r="AP83" s="653"/>
      <c r="AQ83" s="646"/>
    </row>
    <row r="84" spans="30:49">
      <c r="AD84" s="638"/>
      <c r="AE84" s="651"/>
      <c r="AF84" s="651"/>
      <c r="AG84" s="641"/>
      <c r="AH84" s="638"/>
      <c r="AI84" s="638"/>
      <c r="AJ84" s="652"/>
      <c r="AK84" s="651"/>
      <c r="AL84" s="638"/>
      <c r="AM84" s="638"/>
      <c r="AN84" s="638"/>
      <c r="AO84" s="638"/>
      <c r="AP84" s="653"/>
      <c r="AQ84" s="643"/>
      <c r="AR84" s="504"/>
      <c r="AS84" s="504"/>
      <c r="AT84" s="504"/>
      <c r="AU84" s="504"/>
      <c r="AV84" s="504"/>
    </row>
    <row r="85" spans="30:49">
      <c r="AD85" s="638"/>
      <c r="AE85" s="651"/>
      <c r="AF85" s="651"/>
      <c r="AG85" s="641"/>
      <c r="AH85" s="638"/>
      <c r="AI85" s="638"/>
      <c r="AJ85" s="652"/>
      <c r="AK85" s="638"/>
      <c r="AL85" s="638"/>
      <c r="AM85" s="652"/>
      <c r="AN85" s="638"/>
      <c r="AO85" s="639"/>
      <c r="AP85" s="638"/>
      <c r="AQ85" s="643"/>
      <c r="AR85" s="504"/>
      <c r="AS85" s="504"/>
      <c r="AT85" s="504"/>
      <c r="AU85" s="504"/>
      <c r="AV85" s="504"/>
    </row>
    <row r="86" spans="30:49">
      <c r="AD86" s="638"/>
      <c r="AE86" s="643"/>
      <c r="AF86" s="651"/>
      <c r="AG86" s="641"/>
      <c r="AH86" s="638"/>
      <c r="AI86" s="638"/>
      <c r="AJ86" s="643"/>
      <c r="AK86" s="643"/>
      <c r="AL86" s="638"/>
      <c r="AM86" s="652"/>
      <c r="AN86" s="638"/>
      <c r="AO86" s="639"/>
      <c r="AP86" s="639"/>
      <c r="AQ86" s="643"/>
      <c r="AR86" s="504"/>
      <c r="AS86" s="504"/>
      <c r="AT86" s="504"/>
      <c r="AU86" s="504"/>
      <c r="AV86" s="504"/>
    </row>
    <row r="87" spans="30:49">
      <c r="AD87" s="638"/>
      <c r="AE87" s="643"/>
      <c r="AF87" s="651"/>
      <c r="AG87" s="641"/>
      <c r="AH87" s="638"/>
      <c r="AI87" s="638"/>
      <c r="AJ87" s="643"/>
      <c r="AK87" s="643"/>
      <c r="AL87" s="638"/>
      <c r="AM87" s="652"/>
      <c r="AN87" s="638"/>
      <c r="AO87" s="639"/>
      <c r="AP87" s="639"/>
      <c r="AQ87" s="643"/>
      <c r="AR87" s="504"/>
      <c r="AS87" s="504"/>
      <c r="AT87" s="504"/>
      <c r="AU87" s="504"/>
      <c r="AV87" s="504"/>
    </row>
    <row r="88" spans="30:49">
      <c r="AD88" s="638"/>
      <c r="AE88" s="643"/>
      <c r="AF88" s="651"/>
      <c r="AG88" s="641"/>
      <c r="AH88" s="638"/>
      <c r="AI88" s="638"/>
      <c r="AJ88" s="643"/>
      <c r="AK88" s="643"/>
      <c r="AL88" s="638"/>
      <c r="AM88" s="652"/>
      <c r="AN88" s="638"/>
      <c r="AO88" s="639"/>
      <c r="AP88" s="639"/>
      <c r="AQ88" s="643"/>
      <c r="AR88" s="504"/>
      <c r="AS88" s="504"/>
      <c r="AT88" s="504"/>
      <c r="AU88" s="504"/>
      <c r="AV88" s="504"/>
    </row>
    <row r="89" spans="30:49">
      <c r="AD89" s="638"/>
      <c r="AE89" s="643"/>
      <c r="AF89" s="651"/>
      <c r="AG89" s="641"/>
      <c r="AH89" s="638"/>
      <c r="AI89" s="638"/>
      <c r="AJ89" s="643"/>
      <c r="AK89" s="643"/>
      <c r="AL89" s="638"/>
      <c r="AM89" s="652"/>
      <c r="AN89" s="638"/>
      <c r="AO89" s="639"/>
      <c r="AP89" s="639"/>
      <c r="AQ89" s="643"/>
      <c r="AR89" s="504"/>
      <c r="AS89" s="504"/>
      <c r="AT89" s="504"/>
      <c r="AU89" s="504"/>
      <c r="AV89" s="504"/>
    </row>
    <row r="90" spans="30:49">
      <c r="AD90" s="638"/>
      <c r="AE90" s="643"/>
      <c r="AF90" s="651"/>
      <c r="AG90" s="641"/>
      <c r="AH90" s="638"/>
      <c r="AI90" s="638"/>
      <c r="AJ90" s="643"/>
      <c r="AK90" s="643"/>
      <c r="AL90" s="638"/>
      <c r="AM90" s="652"/>
      <c r="AN90" s="638"/>
      <c r="AO90" s="639"/>
      <c r="AP90" s="639"/>
      <c r="AQ90" s="643"/>
      <c r="AR90" s="504"/>
      <c r="AS90" s="504"/>
      <c r="AT90" s="504"/>
      <c r="AU90" s="504"/>
      <c r="AV90" s="504"/>
    </row>
    <row r="91" spans="30:49">
      <c r="AD91" s="638"/>
      <c r="AE91" s="643"/>
      <c r="AF91" s="651"/>
      <c r="AG91" s="641"/>
      <c r="AH91" s="638"/>
      <c r="AI91" s="638"/>
      <c r="AJ91" s="643"/>
      <c r="AK91" s="643"/>
      <c r="AL91" s="638"/>
      <c r="AM91" s="652"/>
      <c r="AN91" s="638"/>
      <c r="AO91" s="639"/>
      <c r="AP91" s="639"/>
      <c r="AQ91" s="643"/>
      <c r="AR91" s="504"/>
      <c r="AS91" s="504"/>
      <c r="AT91" s="504"/>
      <c r="AU91" s="504"/>
      <c r="AV91" s="504"/>
    </row>
    <row r="92" spans="30:49">
      <c r="AD92" s="638"/>
      <c r="AE92" s="643"/>
      <c r="AF92" s="651"/>
      <c r="AG92" s="641"/>
      <c r="AH92" s="638"/>
      <c r="AI92" s="638"/>
      <c r="AJ92" s="643"/>
      <c r="AK92" s="643"/>
      <c r="AL92" s="638"/>
      <c r="AM92" s="652"/>
      <c r="AN92" s="638"/>
      <c r="AO92" s="639"/>
      <c r="AP92" s="639"/>
      <c r="AQ92" s="643"/>
      <c r="AR92" s="504"/>
      <c r="AS92" s="504"/>
      <c r="AT92" s="504"/>
      <c r="AU92" s="504"/>
      <c r="AV92" s="504"/>
    </row>
    <row r="93" spans="30:49">
      <c r="AD93" s="638"/>
      <c r="AE93" s="643"/>
      <c r="AF93" s="651"/>
      <c r="AG93" s="641"/>
      <c r="AH93" s="638"/>
      <c r="AI93" s="638"/>
      <c r="AJ93" s="643"/>
      <c r="AK93" s="643"/>
      <c r="AL93" s="638"/>
      <c r="AM93" s="652"/>
      <c r="AN93" s="638"/>
      <c r="AO93" s="639"/>
      <c r="AP93" s="639"/>
      <c r="AQ93" s="643"/>
      <c r="AR93" s="504"/>
      <c r="AS93" s="504"/>
      <c r="AT93" s="504"/>
      <c r="AU93" s="504"/>
      <c r="AV93" s="504"/>
    </row>
    <row r="94" spans="30:49">
      <c r="AD94" s="638"/>
      <c r="AE94" s="643"/>
      <c r="AF94" s="651"/>
      <c r="AG94" s="641"/>
      <c r="AH94" s="638"/>
      <c r="AI94" s="638"/>
      <c r="AJ94" s="643"/>
      <c r="AK94" s="643"/>
      <c r="AL94" s="638"/>
      <c r="AM94" s="652"/>
      <c r="AN94" s="638"/>
      <c r="AO94" s="639"/>
      <c r="AP94" s="639"/>
      <c r="AQ94" s="643"/>
      <c r="AR94" s="504"/>
      <c r="AS94" s="504"/>
      <c r="AT94" s="504"/>
      <c r="AU94" s="504"/>
      <c r="AV94" s="504"/>
    </row>
    <row r="95" spans="30:49">
      <c r="AD95" s="638"/>
      <c r="AE95" s="643"/>
      <c r="AF95" s="651"/>
      <c r="AG95" s="641"/>
      <c r="AH95" s="638"/>
      <c r="AI95" s="638"/>
      <c r="AJ95" s="643"/>
      <c r="AK95" s="643"/>
      <c r="AL95" s="638"/>
      <c r="AM95" s="652"/>
      <c r="AN95" s="638"/>
      <c r="AO95" s="639"/>
      <c r="AP95" s="639"/>
      <c r="AQ95" s="643"/>
      <c r="AR95" s="504"/>
      <c r="AS95" s="504"/>
      <c r="AT95" s="504"/>
      <c r="AU95" s="504"/>
      <c r="AV95" s="504"/>
    </row>
    <row r="96" spans="30:49">
      <c r="AD96" s="638"/>
      <c r="AE96" s="643"/>
      <c r="AF96" s="651"/>
      <c r="AG96" s="641"/>
      <c r="AH96" s="638"/>
      <c r="AI96" s="638"/>
      <c r="AJ96" s="643"/>
      <c r="AK96" s="643"/>
      <c r="AL96" s="638"/>
      <c r="AM96" s="652"/>
      <c r="AN96" s="638"/>
      <c r="AO96" s="639"/>
      <c r="AP96" s="639"/>
      <c r="AQ96" s="643"/>
      <c r="AR96" s="504"/>
      <c r="AS96" s="504"/>
      <c r="AT96" s="504"/>
      <c r="AU96" s="504"/>
      <c r="AV96" s="504"/>
    </row>
    <row r="97" spans="30:52">
      <c r="AD97" s="638"/>
      <c r="AE97" s="643"/>
      <c r="AF97" s="651"/>
      <c r="AG97" s="641"/>
      <c r="AH97" s="638"/>
      <c r="AI97" s="638"/>
      <c r="AJ97" s="643"/>
      <c r="AK97" s="643"/>
      <c r="AL97" s="638"/>
      <c r="AM97" s="652"/>
      <c r="AN97" s="638"/>
      <c r="AO97" s="639"/>
      <c r="AP97" s="639"/>
      <c r="AQ97" s="643"/>
      <c r="AR97" s="504"/>
      <c r="AS97" s="504"/>
      <c r="AT97" s="504"/>
      <c r="AU97" s="504"/>
      <c r="AV97" s="504"/>
    </row>
    <row r="98" spans="30:52">
      <c r="AD98" s="638"/>
      <c r="AE98" s="643"/>
      <c r="AF98" s="651"/>
      <c r="AG98" s="641"/>
      <c r="AH98" s="638"/>
      <c r="AI98" s="638"/>
      <c r="AJ98" s="643"/>
      <c r="AK98" s="643"/>
      <c r="AL98" s="638"/>
      <c r="AM98" s="652"/>
      <c r="AN98" s="638"/>
      <c r="AO98" s="639"/>
      <c r="AP98" s="639"/>
      <c r="AQ98" s="643"/>
      <c r="AR98" s="504"/>
      <c r="AS98" s="504"/>
      <c r="AT98" s="504"/>
      <c r="AU98" s="504"/>
      <c r="AV98" s="504"/>
    </row>
    <row r="99" spans="30:52">
      <c r="AD99" s="638"/>
      <c r="AE99" s="643"/>
      <c r="AF99" s="651"/>
      <c r="AG99" s="641"/>
      <c r="AH99" s="638"/>
      <c r="AI99" s="638"/>
      <c r="AJ99" s="643"/>
      <c r="AK99" s="643"/>
      <c r="AL99" s="638"/>
      <c r="AM99" s="652"/>
      <c r="AN99" s="638"/>
      <c r="AO99" s="639"/>
      <c r="AP99" s="639"/>
      <c r="AQ99" s="643"/>
      <c r="AR99" s="504"/>
      <c r="AS99" s="504"/>
      <c r="AT99" s="504"/>
      <c r="AU99" s="504"/>
      <c r="AV99" s="504"/>
    </row>
    <row r="100" spans="30:52">
      <c r="AD100" s="638"/>
      <c r="AE100" s="643"/>
      <c r="AF100" s="651"/>
      <c r="AG100" s="641"/>
      <c r="AH100" s="638"/>
      <c r="AI100" s="638"/>
      <c r="AJ100" s="643"/>
      <c r="AK100" s="643"/>
      <c r="AL100" s="638"/>
      <c r="AM100" s="652"/>
      <c r="AN100" s="638"/>
      <c r="AO100" s="639"/>
      <c r="AP100" s="639"/>
      <c r="AQ100" s="643"/>
      <c r="AR100" s="504"/>
      <c r="AS100" s="504"/>
      <c r="AT100" s="504"/>
      <c r="AU100" s="504"/>
      <c r="AV100" s="504"/>
    </row>
    <row r="101" spans="30:52">
      <c r="AD101" s="638"/>
      <c r="AE101" s="643"/>
      <c r="AF101" s="651"/>
      <c r="AG101" s="641"/>
      <c r="AH101" s="638"/>
      <c r="AI101" s="638"/>
      <c r="AJ101" s="643"/>
      <c r="AK101" s="643"/>
      <c r="AL101" s="638"/>
      <c r="AM101" s="652"/>
      <c r="AN101" s="638"/>
      <c r="AO101" s="639"/>
      <c r="AP101" s="639"/>
      <c r="AQ101" s="643"/>
      <c r="AR101" s="504"/>
      <c r="AS101" s="504"/>
      <c r="AT101" s="504"/>
      <c r="AU101" s="504"/>
      <c r="AV101" s="504"/>
    </row>
    <row r="102" spans="30:52">
      <c r="AD102" s="638"/>
      <c r="AE102" s="643"/>
      <c r="AF102" s="651"/>
      <c r="AG102" s="641"/>
      <c r="AH102" s="638"/>
      <c r="AI102" s="638"/>
      <c r="AJ102" s="643"/>
      <c r="AK102" s="643"/>
      <c r="AL102" s="638"/>
      <c r="AM102" s="652"/>
      <c r="AN102" s="638"/>
      <c r="AO102" s="638"/>
      <c r="AP102" s="639"/>
      <c r="AQ102" s="643"/>
      <c r="AR102" s="504"/>
      <c r="AS102" s="504"/>
      <c r="AT102" s="504"/>
      <c r="AU102" s="504"/>
      <c r="AV102" s="504"/>
    </row>
    <row r="103" spans="30:52">
      <c r="AD103" s="638"/>
      <c r="AE103" s="643"/>
      <c r="AF103" s="651"/>
      <c r="AG103" s="641"/>
      <c r="AH103" s="638"/>
      <c r="AI103" s="638"/>
      <c r="AJ103" s="643"/>
      <c r="AK103" s="643"/>
      <c r="AL103" s="638"/>
      <c r="AM103" s="652"/>
      <c r="AN103" s="638"/>
      <c r="AO103" s="638"/>
      <c r="AP103" s="639"/>
      <c r="AQ103" s="643"/>
      <c r="AR103" s="504"/>
      <c r="AS103" s="504"/>
      <c r="AT103" s="504"/>
      <c r="AU103" s="504"/>
      <c r="AV103" s="504"/>
    </row>
    <row r="104" spans="30:52">
      <c r="AD104" s="638"/>
      <c r="AE104" s="643"/>
      <c r="AF104" s="651"/>
      <c r="AG104" s="641"/>
      <c r="AH104" s="638"/>
      <c r="AI104" s="638"/>
      <c r="AJ104" s="643"/>
      <c r="AK104" s="643"/>
      <c r="AL104" s="638"/>
      <c r="AM104" s="652"/>
      <c r="AN104" s="638"/>
      <c r="AO104" s="638"/>
      <c r="AP104" s="639"/>
      <c r="AQ104" s="643"/>
      <c r="AR104" s="504"/>
      <c r="AS104" s="504"/>
      <c r="AT104" s="504"/>
      <c r="AU104" s="504"/>
      <c r="AV104" s="504"/>
    </row>
    <row r="105" spans="30:52">
      <c r="AD105" s="638"/>
      <c r="AE105" s="643"/>
      <c r="AF105" s="651"/>
      <c r="AG105" s="641"/>
      <c r="AH105" s="638"/>
      <c r="AI105" s="638"/>
      <c r="AJ105" s="643"/>
      <c r="AK105" s="643"/>
      <c r="AL105" s="638"/>
      <c r="AM105" s="652"/>
      <c r="AN105" s="638"/>
      <c r="AO105" s="638"/>
      <c r="AP105" s="639"/>
      <c r="AQ105" s="643"/>
      <c r="AR105" s="504"/>
      <c r="AS105" s="504"/>
      <c r="AT105" s="504"/>
      <c r="AU105" s="504"/>
      <c r="AV105" s="504"/>
    </row>
    <row r="106" spans="30:52">
      <c r="AD106" s="638"/>
      <c r="AE106" s="643"/>
      <c r="AF106" s="651"/>
      <c r="AG106" s="641"/>
      <c r="AH106" s="638"/>
      <c r="AI106" s="638"/>
      <c r="AJ106" s="643"/>
      <c r="AK106" s="643"/>
      <c r="AL106" s="638"/>
      <c r="AM106" s="652"/>
      <c r="AN106" s="638"/>
      <c r="AO106" s="638"/>
      <c r="AP106" s="639"/>
      <c r="AQ106" s="643"/>
      <c r="AR106" s="504"/>
      <c r="AS106" s="504"/>
      <c r="AT106" s="504"/>
      <c r="AU106" s="504"/>
      <c r="AV106" s="504"/>
    </row>
    <row r="107" spans="30:52">
      <c r="AD107" s="643"/>
      <c r="AE107" s="643"/>
      <c r="AF107" s="643"/>
      <c r="AG107" s="643"/>
      <c r="AH107" s="643"/>
      <c r="AI107" s="643"/>
      <c r="AJ107" s="643"/>
      <c r="AK107" s="643"/>
      <c r="AL107" s="643"/>
      <c r="AM107" s="643"/>
      <c r="AN107" s="643"/>
      <c r="AO107" s="643"/>
      <c r="AP107" s="643"/>
      <c r="AQ107" s="643"/>
      <c r="AR107" s="504"/>
      <c r="AS107" s="504"/>
      <c r="AT107" s="504"/>
      <c r="AU107" s="504"/>
      <c r="AV107" s="504"/>
    </row>
    <row r="108" spans="30:52">
      <c r="AD108" s="646"/>
      <c r="AE108" s="646"/>
      <c r="AF108" s="646"/>
      <c r="AG108" s="646"/>
      <c r="AH108" s="646"/>
      <c r="AI108" s="646"/>
      <c r="AJ108" s="646"/>
      <c r="AK108" s="646"/>
      <c r="AL108" s="646"/>
      <c r="AM108" s="646"/>
      <c r="AN108" s="646"/>
      <c r="AO108" s="646"/>
      <c r="AP108" s="646"/>
      <c r="AQ108" s="646"/>
    </row>
    <row r="109" spans="30:52">
      <c r="AD109" s="646"/>
      <c r="AE109" s="646"/>
      <c r="AF109" s="646"/>
      <c r="AG109" s="646"/>
      <c r="AH109" s="646"/>
      <c r="AI109" s="646"/>
      <c r="AJ109" s="646"/>
      <c r="AK109" s="646"/>
      <c r="AL109" s="646"/>
      <c r="AM109" s="646"/>
      <c r="AN109" s="646"/>
      <c r="AO109" s="646"/>
      <c r="AP109" s="646"/>
      <c r="AQ109" s="646"/>
    </row>
    <row r="110" spans="30:52">
      <c r="AD110" s="646"/>
      <c r="AE110" s="646"/>
      <c r="AF110" s="646"/>
      <c r="AG110" s="646"/>
      <c r="AH110" s="646"/>
      <c r="AI110" s="646"/>
      <c r="AJ110" s="646"/>
      <c r="AK110" s="646"/>
      <c r="AL110" s="646"/>
      <c r="AM110" s="646"/>
      <c r="AN110" s="646"/>
      <c r="AO110" s="646"/>
      <c r="AP110" s="646"/>
      <c r="AQ110" s="646"/>
    </row>
    <row r="111" spans="30:52">
      <c r="AD111" s="646"/>
      <c r="AE111" s="646"/>
      <c r="AF111" s="646"/>
      <c r="AG111" s="646"/>
      <c r="AH111" s="646"/>
      <c r="AI111" s="646"/>
      <c r="AJ111" s="646"/>
      <c r="AK111" s="646"/>
      <c r="AL111" s="646"/>
      <c r="AM111" s="646"/>
      <c r="AN111" s="646"/>
      <c r="AO111" s="646"/>
      <c r="AP111" s="646"/>
      <c r="AQ111" s="646"/>
      <c r="AZ111" s="123"/>
    </row>
    <row r="112" spans="30:52">
      <c r="AD112" s="646"/>
      <c r="AE112" s="646"/>
      <c r="AF112" s="646"/>
      <c r="AG112" s="646"/>
      <c r="AH112" s="646"/>
      <c r="AI112" s="646"/>
      <c r="AJ112" s="646"/>
      <c r="AK112" s="646"/>
      <c r="AL112" s="646"/>
      <c r="AM112" s="646"/>
      <c r="AN112" s="646"/>
      <c r="AO112" s="646"/>
      <c r="AP112" s="646"/>
      <c r="AQ112" s="646"/>
      <c r="AZ112" s="123"/>
    </row>
    <row r="113" spans="30:52">
      <c r="AD113" s="646"/>
      <c r="AE113" s="646"/>
      <c r="AF113" s="646"/>
      <c r="AG113" s="646"/>
      <c r="AH113" s="646"/>
      <c r="AI113" s="646"/>
      <c r="AJ113" s="646"/>
      <c r="AK113" s="646"/>
      <c r="AL113" s="646"/>
      <c r="AM113" s="646"/>
      <c r="AN113" s="646"/>
      <c r="AO113" s="646"/>
      <c r="AP113" s="646"/>
      <c r="AQ113" s="646"/>
      <c r="AZ113" s="123"/>
    </row>
    <row r="114" spans="30:52">
      <c r="AD114" s="646"/>
      <c r="AE114" s="646"/>
      <c r="AF114" s="646"/>
      <c r="AG114" s="646"/>
      <c r="AH114" s="646"/>
      <c r="AI114" s="646"/>
      <c r="AJ114" s="646"/>
      <c r="AK114" s="646"/>
      <c r="AL114" s="646"/>
      <c r="AM114" s="646"/>
      <c r="AN114" s="646"/>
      <c r="AO114" s="646"/>
      <c r="AP114" s="646"/>
      <c r="AQ114" s="646"/>
    </row>
    <row r="115" spans="30:52">
      <c r="AD115" s="646"/>
      <c r="AE115" s="646"/>
      <c r="AF115" s="646"/>
      <c r="AG115" s="646"/>
      <c r="AH115" s="646"/>
      <c r="AI115" s="646"/>
      <c r="AJ115" s="646"/>
      <c r="AK115" s="646"/>
      <c r="AL115" s="646"/>
      <c r="AM115" s="646"/>
      <c r="AN115" s="646"/>
      <c r="AO115" s="646"/>
      <c r="AP115" s="646"/>
      <c r="AQ115" s="646"/>
    </row>
    <row r="116" spans="30:52">
      <c r="AD116" s="646"/>
      <c r="AE116" s="646"/>
      <c r="AF116" s="646"/>
      <c r="AG116" s="646"/>
      <c r="AH116" s="646"/>
      <c r="AI116" s="646"/>
      <c r="AJ116" s="646"/>
      <c r="AK116" s="646"/>
      <c r="AL116" s="646"/>
      <c r="AM116" s="646"/>
      <c r="AN116" s="646"/>
      <c r="AO116" s="646"/>
      <c r="AP116" s="646"/>
      <c r="AQ116" s="646"/>
    </row>
    <row r="117" spans="30:52">
      <c r="AD117" s="646"/>
      <c r="AE117" s="646"/>
      <c r="AF117" s="646"/>
      <c r="AG117" s="646"/>
      <c r="AH117" s="646"/>
      <c r="AI117" s="646"/>
      <c r="AJ117" s="646"/>
      <c r="AK117" s="646"/>
      <c r="AL117" s="646"/>
      <c r="AM117" s="646"/>
      <c r="AN117" s="646"/>
      <c r="AO117" s="646"/>
      <c r="AP117" s="646"/>
      <c r="AQ117" s="646"/>
    </row>
    <row r="118" spans="30:52">
      <c r="AD118" s="646"/>
      <c r="AE118" s="646"/>
      <c r="AF118" s="646"/>
      <c r="AG118" s="646"/>
      <c r="AH118" s="646"/>
      <c r="AI118" s="646"/>
      <c r="AJ118" s="646"/>
      <c r="AK118" s="646"/>
      <c r="AL118" s="646"/>
      <c r="AM118" s="646"/>
      <c r="AN118" s="646"/>
      <c r="AO118" s="646"/>
      <c r="AP118" s="646"/>
      <c r="AQ118" s="646"/>
    </row>
    <row r="119" spans="30:52">
      <c r="AD119" s="646"/>
      <c r="AE119" s="646"/>
      <c r="AF119" s="646"/>
      <c r="AG119" s="646"/>
      <c r="AH119" s="646"/>
      <c r="AI119" s="646"/>
      <c r="AJ119" s="646"/>
      <c r="AK119" s="646"/>
      <c r="AL119" s="646"/>
      <c r="AM119" s="646"/>
      <c r="AN119" s="646"/>
      <c r="AO119" s="646"/>
      <c r="AP119" s="646"/>
      <c r="AQ119" s="646"/>
    </row>
  </sheetData>
  <mergeCells count="1">
    <mergeCell ref="AD1:AU1"/>
  </mergeCells>
  <phoneticPr fontId="52" type="noConversion"/>
  <printOptions horizontalCentered="1"/>
  <pageMargins left="0.25" right="0.25" top="0.5" bottom="0.75" header="0" footer="0.25"/>
  <pageSetup scale="65" orientation="landscape" verticalDpi="300" r:id="rId1"/>
  <headerFooter alignWithMargins="0">
    <oddFooter>&amp;LLoad Forecasting : &amp;D&amp;R14LGBRA-NRGPOD1-6-DOC 38
14BGBRA-STAFFROG1-19A-DOC 38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131"/>
  <sheetViews>
    <sheetView tabSelected="1" zoomScale="75" workbookViewId="0">
      <pane xSplit="4" ySplit="12" topLeftCell="H31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/>
  <cols>
    <col min="1" max="1" width="6.28515625" style="123" bestFit="1" customWidth="1"/>
    <col min="2" max="2" width="8.85546875" style="123" bestFit="1" customWidth="1"/>
    <col min="3" max="3" width="4" style="123" bestFit="1" customWidth="1"/>
    <col min="4" max="4" width="5.5703125" style="123" bestFit="1" customWidth="1"/>
    <col min="5" max="5" width="8.7109375" style="123" bestFit="1" customWidth="1"/>
    <col min="6" max="6" width="10.42578125" style="123" bestFit="1" customWidth="1"/>
    <col min="7" max="7" width="11.140625" style="123" bestFit="1" customWidth="1"/>
    <col min="8" max="8" width="8.28515625" style="123" bestFit="1" customWidth="1"/>
    <col min="9" max="9" width="9.42578125" style="123" bestFit="1" customWidth="1"/>
    <col min="10" max="10" width="8.7109375" style="123" bestFit="1" customWidth="1"/>
    <col min="11" max="11" width="10" style="123" bestFit="1" customWidth="1"/>
    <col min="12" max="12" width="7.7109375" style="123" bestFit="1" customWidth="1"/>
    <col min="13" max="13" width="11.42578125" style="123" bestFit="1" customWidth="1"/>
    <col min="14" max="14" width="7.140625" style="123" bestFit="1" customWidth="1"/>
    <col min="15" max="15" width="7.7109375" style="123" bestFit="1" customWidth="1"/>
    <col min="16" max="16" width="12.7109375" style="123" bestFit="1" customWidth="1"/>
    <col min="17" max="18" width="12.7109375" style="123" customWidth="1"/>
    <col min="19" max="19" width="14.28515625" style="123" bestFit="1" customWidth="1"/>
    <col min="20" max="20" width="13.85546875" style="123" bestFit="1" customWidth="1"/>
    <col min="21" max="21" width="12.7109375" style="123" bestFit="1" customWidth="1"/>
    <col min="22" max="23" width="11" style="124" bestFit="1" customWidth="1"/>
    <col min="24" max="26" width="9.140625" style="124"/>
    <col min="27" max="27" width="10.42578125" style="124" bestFit="1" customWidth="1"/>
    <col min="28" max="31" width="9.140625" style="124"/>
    <col min="32" max="32" width="10.42578125" style="124" bestFit="1" customWidth="1"/>
    <col min="33" max="33" width="10.28515625" style="124" bestFit="1" customWidth="1"/>
    <col min="34" max="34" width="9.140625" style="124"/>
    <col min="35" max="35" width="8.7109375" style="124" bestFit="1" customWidth="1"/>
    <col min="36" max="36" width="9.28515625" style="124" bestFit="1" customWidth="1"/>
    <col min="37" max="37" width="10.85546875" style="124" bestFit="1" customWidth="1"/>
    <col min="38" max="41" width="9.140625" style="124"/>
    <col min="42" max="42" width="6.5703125" style="124" customWidth="1"/>
    <col min="43" max="43" width="11.7109375" style="124" customWidth="1"/>
    <col min="44" max="44" width="15.7109375" style="124" customWidth="1"/>
    <col min="45" max="45" width="14.42578125" style="124" customWidth="1"/>
    <col min="46" max="48" width="12.7109375" style="124" customWidth="1"/>
    <col min="49" max="49" width="10" style="124" bestFit="1" customWidth="1"/>
    <col min="50" max="50" width="10.28515625" style="124" bestFit="1" customWidth="1"/>
    <col min="51" max="53" width="9.140625" style="124"/>
    <col min="54" max="54" width="9.140625" style="123"/>
    <col min="55" max="55" width="11.140625" style="124" bestFit="1" customWidth="1"/>
    <col min="56" max="56" width="12.140625" style="124" bestFit="1" customWidth="1"/>
    <col min="57" max="57" width="9.7109375" style="124" bestFit="1" customWidth="1"/>
    <col min="58" max="16384" width="9.140625" style="124"/>
  </cols>
  <sheetData>
    <row r="1" spans="1:60" s="122" customFormat="1" ht="13.5" thickBot="1">
      <c r="A1" s="906" t="s">
        <v>110</v>
      </c>
      <c r="B1" s="1583"/>
      <c r="C1" s="1583"/>
      <c r="D1" s="1583"/>
      <c r="E1" s="1583"/>
      <c r="F1" s="1583"/>
      <c r="G1" s="1583"/>
      <c r="H1" s="1583"/>
      <c r="I1" s="1583"/>
      <c r="J1" s="1583"/>
      <c r="K1" s="308" t="s">
        <v>634</v>
      </c>
      <c r="L1" s="1583"/>
      <c r="M1" s="1583"/>
      <c r="N1" s="1583"/>
      <c r="O1" s="1583"/>
      <c r="P1" s="1583"/>
      <c r="Q1" s="308" t="s">
        <v>634</v>
      </c>
      <c r="R1" s="308" t="s">
        <v>634</v>
      </c>
      <c r="S1" s="308" t="s">
        <v>634</v>
      </c>
      <c r="T1" s="308" t="s">
        <v>634</v>
      </c>
      <c r="U1" s="308" t="s">
        <v>634</v>
      </c>
      <c r="V1" s="1058" t="s">
        <v>634</v>
      </c>
      <c r="W1" s="1058" t="s">
        <v>634</v>
      </c>
      <c r="AE1" s="1604" t="s">
        <v>114</v>
      </c>
      <c r="AF1" s="1604"/>
      <c r="AG1" s="1604"/>
      <c r="AH1" s="1604"/>
      <c r="AI1" s="1604"/>
      <c r="AJ1" s="1604"/>
      <c r="AK1" s="1604"/>
      <c r="AL1" s="1604"/>
      <c r="AM1" s="1604"/>
      <c r="AN1" s="1604"/>
      <c r="AO1" s="1604"/>
      <c r="AP1" s="1604"/>
      <c r="AQ1" s="1604"/>
      <c r="AR1" s="1604"/>
      <c r="AS1" s="1604"/>
      <c r="AT1" s="1604"/>
      <c r="AU1" s="1604"/>
      <c r="AV1" s="1604"/>
      <c r="BB1" s="121"/>
    </row>
    <row r="2" spans="1:60">
      <c r="P2" s="1190" t="str">
        <f>Feb!P2</f>
        <v>CF_201309</v>
      </c>
      <c r="R2" s="1190" t="str">
        <f>Feb!R2</f>
        <v>13_EDB_Adjmt.xlsx</v>
      </c>
      <c r="S2" s="109"/>
      <c r="T2" s="1190" t="str">
        <f>P2</f>
        <v>CF_201309</v>
      </c>
    </row>
    <row r="3" spans="1:60">
      <c r="J3" s="265" t="s">
        <v>21</v>
      </c>
      <c r="M3" s="123" t="s">
        <v>58</v>
      </c>
      <c r="Q3" s="92"/>
      <c r="R3" s="92"/>
      <c r="S3" s="92"/>
      <c r="T3" s="92"/>
    </row>
    <row r="4" spans="1:60" ht="14.25">
      <c r="J4" s="123" t="s">
        <v>6</v>
      </c>
      <c r="L4" s="780" t="s">
        <v>363</v>
      </c>
      <c r="M4" s="123" t="s">
        <v>6</v>
      </c>
      <c r="O4" s="123" t="s">
        <v>1</v>
      </c>
      <c r="Q4" s="353" t="s">
        <v>186</v>
      </c>
      <c r="R4" s="687">
        <f>[2]ssr!$K$183</f>
        <v>0.35599999999999998</v>
      </c>
      <c r="S4" s="370"/>
      <c r="T4" s="92"/>
      <c r="U4" s="810" t="s">
        <v>396</v>
      </c>
      <c r="AE4" s="125" t="s">
        <v>296</v>
      </c>
    </row>
    <row r="5" spans="1:60">
      <c r="J5" s="123" t="s">
        <v>61</v>
      </c>
      <c r="L5" s="123" t="s">
        <v>87</v>
      </c>
      <c r="M5" s="123" t="s">
        <v>61</v>
      </c>
      <c r="N5" s="123" t="s">
        <v>0</v>
      </c>
      <c r="O5" s="123" t="s">
        <v>6</v>
      </c>
      <c r="P5" s="810" t="s">
        <v>396</v>
      </c>
      <c r="Q5" s="351" t="s">
        <v>187</v>
      </c>
      <c r="R5" s="350" t="s">
        <v>189</v>
      </c>
      <c r="S5" s="350" t="s">
        <v>21</v>
      </c>
      <c r="T5" s="92"/>
      <c r="U5" s="309" t="s">
        <v>315</v>
      </c>
      <c r="V5" s="351" t="s">
        <v>346</v>
      </c>
      <c r="W5" s="350" t="s">
        <v>194</v>
      </c>
      <c r="X5" s="123"/>
      <c r="Z5" s="123"/>
      <c r="AE5" s="265"/>
      <c r="AI5" s="309" t="s">
        <v>303</v>
      </c>
      <c r="AJ5" s="309" t="s">
        <v>303</v>
      </c>
    </row>
    <row r="6" spans="1:60" s="129" customFormat="1" ht="13.5" thickBot="1">
      <c r="A6" s="121" t="s">
        <v>9</v>
      </c>
      <c r="B6" s="121" t="s">
        <v>88</v>
      </c>
      <c r="C6" s="121" t="s">
        <v>89</v>
      </c>
      <c r="D6" s="121" t="s">
        <v>90</v>
      </c>
      <c r="E6" s="121" t="s">
        <v>91</v>
      </c>
      <c r="F6" s="121" t="s">
        <v>92</v>
      </c>
      <c r="G6" s="121" t="s">
        <v>93</v>
      </c>
      <c r="H6" s="121" t="s">
        <v>94</v>
      </c>
      <c r="I6" s="121" t="s">
        <v>95</v>
      </c>
      <c r="J6" s="121" t="s">
        <v>62</v>
      </c>
      <c r="K6" s="121" t="s">
        <v>57</v>
      </c>
      <c r="L6" s="121" t="s">
        <v>77</v>
      </c>
      <c r="M6" s="121" t="s">
        <v>59</v>
      </c>
      <c r="N6" s="324" t="s">
        <v>66</v>
      </c>
      <c r="O6" s="1211" t="s">
        <v>567</v>
      </c>
      <c r="P6" s="178" t="s">
        <v>197</v>
      </c>
      <c r="Q6" s="352" t="s">
        <v>226</v>
      </c>
      <c r="R6" s="352" t="s">
        <v>190</v>
      </c>
      <c r="S6" s="359" t="s">
        <v>188</v>
      </c>
      <c r="T6" s="343" t="s">
        <v>191</v>
      </c>
      <c r="U6" s="112" t="s">
        <v>316</v>
      </c>
      <c r="V6" s="343" t="s">
        <v>345</v>
      </c>
      <c r="W6" s="359" t="s">
        <v>169</v>
      </c>
      <c r="X6" s="128" t="s">
        <v>236</v>
      </c>
      <c r="Y6" s="128" t="s">
        <v>237</v>
      </c>
      <c r="Z6" s="178" t="s">
        <v>259</v>
      </c>
      <c r="AD6" s="121" t="s">
        <v>9</v>
      </c>
      <c r="AE6" s="128" t="s">
        <v>179</v>
      </c>
      <c r="AF6" s="121" t="s">
        <v>97</v>
      </c>
      <c r="AG6" s="128" t="s">
        <v>236</v>
      </c>
      <c r="AH6" s="128" t="s">
        <v>237</v>
      </c>
      <c r="AI6" s="324" t="s">
        <v>611</v>
      </c>
      <c r="AJ6" s="128" t="s">
        <v>80</v>
      </c>
      <c r="AK6" s="121" t="s">
        <v>98</v>
      </c>
      <c r="AL6" s="121" t="s">
        <v>99</v>
      </c>
      <c r="AM6" s="121" t="s">
        <v>100</v>
      </c>
      <c r="AN6" s="178" t="str">
        <f>Nov!AM6</f>
        <v>Fall'13</v>
      </c>
      <c r="AO6" s="178" t="str">
        <f>Nov!AN6</f>
        <v>TYSP'13</v>
      </c>
      <c r="AP6" s="178" t="str">
        <f>Nov!AO6</f>
        <v>Diff</v>
      </c>
      <c r="AQ6" s="178" t="str">
        <f>Nov!AP6</f>
        <v>Yr-Yr Growth</v>
      </c>
      <c r="BB6" s="131"/>
    </row>
    <row r="7" spans="1:60">
      <c r="B7" s="177"/>
      <c r="V7" s="123"/>
      <c r="W7" s="123"/>
      <c r="X7" s="123"/>
      <c r="Y7" s="123"/>
      <c r="AR7" s="852" t="s">
        <v>488</v>
      </c>
      <c r="AS7" s="908"/>
    </row>
    <row r="8" spans="1:60">
      <c r="A8" s="123">
        <v>1975</v>
      </c>
      <c r="B8" s="139">
        <v>27747</v>
      </c>
      <c r="C8" s="123">
        <v>9</v>
      </c>
      <c r="D8" s="346" t="str">
        <f t="shared" ref="D8:D17" si="0">TEXT(WEEKDAY(B8),"ddd")</f>
        <v>Fri</v>
      </c>
      <c r="E8" s="347">
        <v>3268</v>
      </c>
      <c r="P8" s="374">
        <f>[4]Data!$I370</f>
        <v>636067</v>
      </c>
      <c r="U8" s="374">
        <f t="shared" ref="U8:U29" si="1">P8-Q8</f>
        <v>636067</v>
      </c>
      <c r="V8" s="123"/>
      <c r="X8" s="339"/>
      <c r="Y8" s="123"/>
      <c r="Z8" s="339"/>
      <c r="AE8" s="908"/>
      <c r="AF8" s="908"/>
      <c r="AG8" s="908"/>
      <c r="AR8" s="1540" t="s">
        <v>458</v>
      </c>
      <c r="AS8" s="872"/>
      <c r="AT8" s="872"/>
      <c r="AU8" s="872"/>
      <c r="AV8" s="872"/>
      <c r="AW8" s="872"/>
      <c r="AX8" s="1040"/>
      <c r="AY8" s="1040"/>
      <c r="AZ8" s="1040"/>
      <c r="BA8" s="1040"/>
      <c r="BB8" s="1445"/>
      <c r="BC8" s="1040"/>
      <c r="BD8" s="1040"/>
      <c r="BE8" s="1040"/>
      <c r="BF8" s="1040"/>
      <c r="BG8" s="1040"/>
      <c r="BH8" s="1040"/>
    </row>
    <row r="9" spans="1:60">
      <c r="A9" s="123">
        <v>1976</v>
      </c>
      <c r="B9" s="139">
        <v>28116</v>
      </c>
      <c r="C9" s="123">
        <v>9</v>
      </c>
      <c r="D9" s="346" t="str">
        <f t="shared" si="0"/>
        <v>Wed</v>
      </c>
      <c r="E9" s="347">
        <v>3453</v>
      </c>
      <c r="P9" s="374">
        <f>[4]Data!$I371</f>
        <v>660404</v>
      </c>
      <c r="U9" s="374">
        <f t="shared" si="1"/>
        <v>660404</v>
      </c>
      <c r="V9" s="123"/>
      <c r="X9" s="971">
        <f>[5]Dec!J4</f>
        <v>38.1</v>
      </c>
      <c r="Y9" s="971">
        <f>[5]Dec!K4</f>
        <v>40.4</v>
      </c>
      <c r="Z9" s="970">
        <f>[5]Dec!L4</f>
        <v>38.799999999999997</v>
      </c>
      <c r="AE9" s="852" t="s">
        <v>489</v>
      </c>
      <c r="AF9" s="908"/>
      <c r="AG9" s="908"/>
      <c r="AQ9" s="415"/>
      <c r="AR9" s="1541" t="s">
        <v>204</v>
      </c>
      <c r="AS9" s="872"/>
      <c r="AT9" s="872"/>
      <c r="AU9" s="872"/>
      <c r="AV9" s="872"/>
      <c r="AW9" s="872"/>
      <c r="AX9" s="1040"/>
      <c r="AY9" s="1040"/>
      <c r="AZ9" s="1040"/>
      <c r="BA9" s="1040"/>
      <c r="BB9" s="1445"/>
      <c r="BC9" s="1040"/>
      <c r="BD9" s="1040"/>
      <c r="BE9" s="1040"/>
      <c r="BF9" s="1040"/>
      <c r="BG9" s="1040"/>
      <c r="BH9" s="1040"/>
    </row>
    <row r="10" spans="1:60">
      <c r="A10" s="123">
        <v>1977</v>
      </c>
      <c r="B10" s="139">
        <v>28487</v>
      </c>
      <c r="C10" s="123">
        <v>9</v>
      </c>
      <c r="D10" s="346" t="str">
        <f t="shared" si="0"/>
        <v>Wed</v>
      </c>
      <c r="E10" s="347">
        <v>3579</v>
      </c>
      <c r="P10" s="374">
        <f>[4]Data!$I372</f>
        <v>688415</v>
      </c>
      <c r="U10" s="374">
        <f t="shared" si="1"/>
        <v>688415</v>
      </c>
      <c r="V10" s="123"/>
      <c r="X10" s="971">
        <f>[5]Dec!J5</f>
        <v>36.799999999999997</v>
      </c>
      <c r="Y10" s="971">
        <f>[5]Dec!K5</f>
        <v>41.3</v>
      </c>
      <c r="Z10" s="970">
        <f>[5]Dec!L5</f>
        <v>38.299999999999997</v>
      </c>
      <c r="AD10" s="1040"/>
      <c r="AE10" s="1040"/>
      <c r="AF10" s="1040"/>
      <c r="AG10" s="1040"/>
      <c r="AH10" s="1040"/>
      <c r="AI10" s="1040"/>
      <c r="AJ10" s="1040"/>
      <c r="AK10" s="1040"/>
      <c r="AL10" s="1040"/>
      <c r="AM10" s="1040"/>
      <c r="AN10" s="1040"/>
      <c r="AO10" s="1040"/>
      <c r="AP10" s="1040"/>
      <c r="AQ10" s="1040"/>
      <c r="AR10" s="872" t="s">
        <v>19</v>
      </c>
      <c r="AS10" s="872"/>
      <c r="AT10" s="872"/>
      <c r="AU10" s="872"/>
      <c r="AV10" s="872"/>
      <c r="AW10" s="872"/>
      <c r="AX10" s="1040"/>
      <c r="AY10" s="1040"/>
      <c r="AZ10" s="1040"/>
      <c r="BA10" s="1040"/>
      <c r="BB10" s="1445"/>
      <c r="BC10" s="1040"/>
      <c r="BD10" s="1040"/>
      <c r="BE10" s="1040"/>
      <c r="BF10" s="1040"/>
      <c r="BG10" s="1040"/>
      <c r="BH10" s="1040"/>
    </row>
    <row r="11" spans="1:60">
      <c r="A11" s="123">
        <v>1978</v>
      </c>
      <c r="B11" s="139">
        <v>28837</v>
      </c>
      <c r="C11" s="131">
        <v>8</v>
      </c>
      <c r="D11" s="346" t="str">
        <f t="shared" si="0"/>
        <v>Wed</v>
      </c>
      <c r="E11" s="347">
        <v>3172</v>
      </c>
      <c r="F11" s="132"/>
      <c r="G11" s="132"/>
      <c r="H11" s="132"/>
      <c r="I11" s="132"/>
      <c r="J11" s="133"/>
      <c r="K11" s="132"/>
      <c r="L11" s="133"/>
      <c r="M11" s="133"/>
      <c r="N11" s="133"/>
      <c r="O11" s="133"/>
      <c r="P11" s="374">
        <f>[4]Data!$I373</f>
        <v>720963</v>
      </c>
      <c r="U11" s="374">
        <f t="shared" si="1"/>
        <v>720963</v>
      </c>
      <c r="V11" s="132"/>
      <c r="X11" s="1061">
        <f>[5]Dec!J6</f>
        <v>47.7</v>
      </c>
      <c r="Y11" s="1061">
        <f>[5]Dec!K6</f>
        <v>51.9</v>
      </c>
      <c r="Z11" s="680">
        <f>[5]Dec!L6</f>
        <v>49</v>
      </c>
      <c r="AD11" s="1040"/>
      <c r="AE11" s="1040"/>
      <c r="AF11" s="1040"/>
      <c r="AG11" s="1040"/>
      <c r="AH11" s="1040"/>
      <c r="AI11" s="1040"/>
      <c r="AJ11" s="1040"/>
      <c r="AK11" s="1040"/>
      <c r="AL11" s="1040"/>
      <c r="AM11" s="1040"/>
      <c r="AN11" s="1040"/>
      <c r="AO11" s="1040"/>
      <c r="AP11" s="1040"/>
      <c r="AQ11" s="1040"/>
      <c r="AR11" s="1035"/>
      <c r="AS11" s="872"/>
      <c r="AT11" s="872"/>
      <c r="AU11" s="872"/>
      <c r="AV11" s="872"/>
      <c r="AW11" s="872"/>
      <c r="AX11" s="1040"/>
      <c r="AY11" s="1040"/>
      <c r="AZ11" s="1040"/>
      <c r="BA11" s="1040"/>
      <c r="BB11" s="1445"/>
      <c r="BC11" s="1040"/>
      <c r="BD11" s="1040"/>
      <c r="BE11" s="1040"/>
      <c r="BF11" s="1040"/>
      <c r="BG11" s="1040"/>
      <c r="BH11" s="1040"/>
    </row>
    <row r="12" spans="1:60" ht="13.5" thickBot="1">
      <c r="A12" s="123">
        <v>1979</v>
      </c>
      <c r="B12" s="139">
        <v>29190</v>
      </c>
      <c r="C12" s="131">
        <v>9</v>
      </c>
      <c r="D12" s="915" t="str">
        <f t="shared" si="0"/>
        <v>Sat</v>
      </c>
      <c r="E12" s="347">
        <v>3668</v>
      </c>
      <c r="F12" s="132"/>
      <c r="G12" s="132"/>
      <c r="H12" s="132"/>
      <c r="I12" s="132"/>
      <c r="J12" s="133"/>
      <c r="K12" s="132"/>
      <c r="L12" s="133"/>
      <c r="M12" s="133"/>
      <c r="N12" s="133"/>
      <c r="O12" s="133"/>
      <c r="P12" s="374">
        <f>[4]Data!$I374</f>
        <v>758423</v>
      </c>
      <c r="U12" s="374">
        <f t="shared" si="1"/>
        <v>758423</v>
      </c>
      <c r="V12" s="132"/>
      <c r="X12" s="971">
        <f>[5]Dec!J7</f>
        <v>43</v>
      </c>
      <c r="Y12" s="971">
        <f>[5]Dec!K7</f>
        <v>44.3</v>
      </c>
      <c r="Z12" s="970">
        <f>[5]Dec!L7</f>
        <v>43.4</v>
      </c>
      <c r="AD12" s="1040"/>
      <c r="AE12" s="1040"/>
      <c r="AF12" s="1040"/>
      <c r="AG12" s="1040"/>
      <c r="AH12" s="1040"/>
      <c r="AI12" s="1040"/>
      <c r="AJ12" s="1040"/>
      <c r="AK12" s="1040"/>
      <c r="AL12" s="1040"/>
      <c r="AM12" s="1040"/>
      <c r="AN12" s="1040"/>
      <c r="AO12" s="1040"/>
      <c r="AP12" s="1040"/>
      <c r="AQ12" s="1040"/>
      <c r="AR12" s="1036" t="s">
        <v>171</v>
      </c>
      <c r="AS12" s="1037" t="s">
        <v>302</v>
      </c>
      <c r="AT12" s="1037" t="s">
        <v>183</v>
      </c>
      <c r="AU12" s="1037" t="s">
        <v>238</v>
      </c>
      <c r="AV12" s="1037" t="s">
        <v>239</v>
      </c>
      <c r="AW12" s="1039" t="s">
        <v>169</v>
      </c>
      <c r="AX12" s="1039" t="s">
        <v>22</v>
      </c>
      <c r="AY12" s="1040"/>
      <c r="AZ12" s="1040"/>
      <c r="BA12" s="1040"/>
      <c r="BB12" s="1445"/>
      <c r="BC12" s="1521" t="s">
        <v>9</v>
      </c>
      <c r="BD12" s="1550" t="s">
        <v>232</v>
      </c>
      <c r="BE12" s="1551" t="s">
        <v>231</v>
      </c>
      <c r="BF12" s="1551" t="s">
        <v>230</v>
      </c>
      <c r="BG12" s="1552" t="s">
        <v>233</v>
      </c>
      <c r="BH12" s="1552" t="s">
        <v>229</v>
      </c>
    </row>
    <row r="13" spans="1:60">
      <c r="A13" s="123">
        <v>1980</v>
      </c>
      <c r="B13" s="139">
        <v>29583</v>
      </c>
      <c r="C13" s="131">
        <v>10</v>
      </c>
      <c r="D13" s="915" t="str">
        <f t="shared" si="0"/>
        <v>Sun</v>
      </c>
      <c r="E13" s="134">
        <f>[6]Hist!G16</f>
        <v>3804</v>
      </c>
      <c r="F13" s="134">
        <f>[6]Hist!H16</f>
        <v>3136</v>
      </c>
      <c r="G13" s="164">
        <f>SUM([6]Hist!M16:O16)</f>
        <v>0</v>
      </c>
      <c r="H13" s="164">
        <f>[6]Hist!L16</f>
        <v>0</v>
      </c>
      <c r="I13" s="164">
        <f>[6]Hist!P16</f>
        <v>0</v>
      </c>
      <c r="J13" s="133">
        <f t="shared" ref="J13:J34" si="2">SUM(F13:I13)</f>
        <v>3136</v>
      </c>
      <c r="K13" s="164">
        <f>[6]Hist!U16</f>
        <v>0</v>
      </c>
      <c r="L13" s="164">
        <f>[6]Hist!V16</f>
        <v>0</v>
      </c>
      <c r="M13" s="133">
        <f>SUM(J13:K13)</f>
        <v>3136</v>
      </c>
      <c r="N13" s="340">
        <v>150</v>
      </c>
      <c r="O13" s="1377">
        <f>J13-N13-L13</f>
        <v>2986</v>
      </c>
      <c r="P13" s="374">
        <f>[4]Data!$I375</f>
        <v>793777</v>
      </c>
      <c r="U13" s="374">
        <f t="shared" si="1"/>
        <v>793777</v>
      </c>
      <c r="V13" s="132"/>
      <c r="X13" s="971">
        <f>[5]Dec!J8</f>
        <v>39.6</v>
      </c>
      <c r="Y13" s="971">
        <f>[5]Dec!K8</f>
        <v>44.9</v>
      </c>
      <c r="Z13" s="970">
        <f>[5]Dec!L8</f>
        <v>41.4</v>
      </c>
      <c r="AD13" s="1445">
        <f t="shared" ref="AD13:AD18" si="3">A13</f>
        <v>1980</v>
      </c>
      <c r="AE13" s="1446">
        <f t="shared" ref="AE13:AE18" si="4">O13</f>
        <v>2986</v>
      </c>
      <c r="AF13" s="1447">
        <f t="shared" ref="AF13:AF18" si="5">U13</f>
        <v>793777</v>
      </c>
      <c r="AG13" s="1520">
        <f t="shared" ref="AG13:AH18" si="6">X13</f>
        <v>39.6</v>
      </c>
      <c r="AH13" s="1520">
        <f t="shared" si="6"/>
        <v>44.9</v>
      </c>
      <c r="AI13" s="1449">
        <v>0</v>
      </c>
      <c r="AJ13" s="1449">
        <v>1</v>
      </c>
      <c r="AK13" s="1449"/>
      <c r="AL13" s="1449"/>
      <c r="AM13" s="1040"/>
      <c r="AN13" s="1040"/>
      <c r="AO13" s="1040"/>
      <c r="AP13" s="1040"/>
      <c r="AQ13" s="1040"/>
      <c r="AR13" s="1434" t="s">
        <v>172</v>
      </c>
      <c r="AS13" s="1042">
        <f t="array" ref="AS13:AX17">LINEST(AE15:AE41,AF15:AJ41,TRUE,TRUE)</f>
        <v>93.522217902375615</v>
      </c>
      <c r="AT13" s="1042">
        <v>319.03405136763217</v>
      </c>
      <c r="AU13" s="1542">
        <v>-50.046016977413856</v>
      </c>
      <c r="AV13" s="1043">
        <v>-81.575442617904315</v>
      </c>
      <c r="AW13" s="1542">
        <v>4.5950747865551997E-3</v>
      </c>
      <c r="AX13" s="1543">
        <v>4862.0817602996785</v>
      </c>
      <c r="AY13" s="1040"/>
      <c r="AZ13" s="1040"/>
      <c r="BA13" s="1040"/>
      <c r="BB13" s="1445"/>
      <c r="BC13" s="1445">
        <v>1980</v>
      </c>
      <c r="BD13" s="1449">
        <f t="shared" ref="BD13:BD42" si="7">ROUND($AX$13+$AW$13*$AF13+$AV$13*$AG$53+$AU$13*$AH$53+$AT$13*$AI13+$AS$13*$AJ13,0)</f>
        <v>3272</v>
      </c>
      <c r="BE13" s="1446">
        <f t="shared" ref="BE13:BE39" si="8">AE13</f>
        <v>2986</v>
      </c>
      <c r="BF13" s="1553">
        <f>BD13-BE13</f>
        <v>286</v>
      </c>
      <c r="BG13" s="1446">
        <f t="shared" ref="BG13:BG38" si="9">AK13</f>
        <v>0</v>
      </c>
      <c r="BH13" s="1553">
        <f>BD13-BG13</f>
        <v>3272</v>
      </c>
    </row>
    <row r="14" spans="1:60" ht="13.5" thickBot="1">
      <c r="A14" s="123">
        <v>1981</v>
      </c>
      <c r="B14" s="139">
        <v>29940</v>
      </c>
      <c r="C14" s="131">
        <v>9</v>
      </c>
      <c r="D14" s="346" t="str">
        <f t="shared" si="0"/>
        <v>Sun</v>
      </c>
      <c r="E14" s="134">
        <f>[6]Hist!G28</f>
        <v>4515</v>
      </c>
      <c r="F14" s="134">
        <f>[6]Hist!H28</f>
        <v>3642</v>
      </c>
      <c r="G14" s="164">
        <f>SUM([6]Hist!M28:O28)</f>
        <v>0</v>
      </c>
      <c r="H14" s="164">
        <f>[6]Hist!L28</f>
        <v>0</v>
      </c>
      <c r="I14" s="164">
        <f>[6]Hist!P28</f>
        <v>0</v>
      </c>
      <c r="J14" s="133">
        <f t="shared" si="2"/>
        <v>3642</v>
      </c>
      <c r="K14" s="164">
        <f>[6]Hist!U28</f>
        <v>0</v>
      </c>
      <c r="L14" s="164">
        <f>[6]Hist!V28</f>
        <v>11</v>
      </c>
      <c r="M14" s="133">
        <f t="shared" ref="M14:M39" si="10">SUM(J14:K14)</f>
        <v>3642</v>
      </c>
      <c r="N14" s="340">
        <v>150</v>
      </c>
      <c r="O14" s="1377">
        <f t="shared" ref="O14:O45" si="11">J14-N14-L14</f>
        <v>3481</v>
      </c>
      <c r="P14" s="374">
        <f>[4]Data!$I376</f>
        <v>822838</v>
      </c>
      <c r="U14" s="374">
        <f t="shared" si="1"/>
        <v>822838</v>
      </c>
      <c r="V14" s="132"/>
      <c r="X14" s="971">
        <f>[5]Dec!J9</f>
        <v>32.200000000000003</v>
      </c>
      <c r="Y14" s="971">
        <f>[5]Dec!K9</f>
        <v>34.299999999999997</v>
      </c>
      <c r="Z14" s="970">
        <f>[5]Dec!L9</f>
        <v>32.9</v>
      </c>
      <c r="AD14" s="1521">
        <f t="shared" si="3"/>
        <v>1981</v>
      </c>
      <c r="AE14" s="1522">
        <f t="shared" si="4"/>
        <v>3481</v>
      </c>
      <c r="AF14" s="1523">
        <f t="shared" si="5"/>
        <v>822838</v>
      </c>
      <c r="AG14" s="1524">
        <f t="shared" si="6"/>
        <v>32.200000000000003</v>
      </c>
      <c r="AH14" s="1524">
        <f t="shared" si="6"/>
        <v>34.299999999999997</v>
      </c>
      <c r="AI14" s="1523">
        <v>1</v>
      </c>
      <c r="AJ14" s="1523">
        <v>1</v>
      </c>
      <c r="AK14" s="1523"/>
      <c r="AL14" s="1523"/>
      <c r="AM14" s="1525"/>
      <c r="AN14" s="1525"/>
      <c r="AO14" s="1525"/>
      <c r="AP14" s="1525"/>
      <c r="AQ14" s="1526">
        <f t="shared" ref="AQ14:AQ42" si="12">AE14-AE13</f>
        <v>495</v>
      </c>
      <c r="AR14" s="1439" t="s">
        <v>173</v>
      </c>
      <c r="AS14" s="1440">
        <v>192.06381369915422</v>
      </c>
      <c r="AT14" s="1440">
        <v>241.53305086346191</v>
      </c>
      <c r="AU14" s="1440">
        <v>22.876445275338256</v>
      </c>
      <c r="AV14" s="1440">
        <v>22.783654542540575</v>
      </c>
      <c r="AW14" s="1440">
        <v>3.8374526715069784E-4</v>
      </c>
      <c r="AX14" s="1586">
        <v>831.35868842311675</v>
      </c>
      <c r="AY14" s="1587"/>
      <c r="AZ14" s="1040"/>
      <c r="BA14" s="1040"/>
      <c r="BB14" s="1445"/>
      <c r="BC14" s="1445">
        <v>1981</v>
      </c>
      <c r="BD14" s="1449">
        <f t="shared" si="7"/>
        <v>3725</v>
      </c>
      <c r="BE14" s="1446">
        <f t="shared" si="8"/>
        <v>3481</v>
      </c>
      <c r="BF14" s="1553">
        <f t="shared" ref="BF14:BF34" si="13">BD14-BE14</f>
        <v>244</v>
      </c>
      <c r="BG14" s="1446">
        <f t="shared" si="9"/>
        <v>0</v>
      </c>
      <c r="BH14" s="1553">
        <f t="shared" ref="BH14:BH34" si="14">BD14-BG14</f>
        <v>3725</v>
      </c>
    </row>
    <row r="15" spans="1:60">
      <c r="A15" s="123">
        <v>1982</v>
      </c>
      <c r="B15" s="139">
        <v>30303</v>
      </c>
      <c r="C15" s="131">
        <v>9</v>
      </c>
      <c r="D15" s="915" t="str">
        <f t="shared" si="0"/>
        <v>Sat</v>
      </c>
      <c r="E15" s="134">
        <f>[6]Hist!G40</f>
        <v>3849</v>
      </c>
      <c r="F15" s="134">
        <f>[6]Hist!H40</f>
        <v>3161</v>
      </c>
      <c r="G15" s="164">
        <f>SUM([6]Hist!M40:O40)</f>
        <v>0</v>
      </c>
      <c r="H15" s="164">
        <f>[6]Hist!L40</f>
        <v>0</v>
      </c>
      <c r="I15" s="164">
        <f>[6]Hist!P40</f>
        <v>0</v>
      </c>
      <c r="J15" s="133">
        <f t="shared" si="2"/>
        <v>3161</v>
      </c>
      <c r="K15" s="164">
        <f>[6]Hist!U40</f>
        <v>21</v>
      </c>
      <c r="L15" s="164">
        <f>[6]Hist!V40</f>
        <v>12</v>
      </c>
      <c r="M15" s="133">
        <f t="shared" si="10"/>
        <v>3182</v>
      </c>
      <c r="N15" s="340">
        <v>150</v>
      </c>
      <c r="O15" s="1377">
        <f t="shared" si="11"/>
        <v>2999</v>
      </c>
      <c r="P15" s="374">
        <f>[4]Data!$I377</f>
        <v>851505</v>
      </c>
      <c r="U15" s="374">
        <f t="shared" si="1"/>
        <v>851505</v>
      </c>
      <c r="V15" s="132"/>
      <c r="X15" s="971">
        <f>[5]Dec!J10</f>
        <v>41</v>
      </c>
      <c r="Y15" s="971">
        <f>[5]Dec!K10</f>
        <v>45.9</v>
      </c>
      <c r="Z15" s="970">
        <f>[5]Dec!L10</f>
        <v>42.6</v>
      </c>
      <c r="AD15" s="1527">
        <f t="shared" si="3"/>
        <v>1982</v>
      </c>
      <c r="AE15" s="1446">
        <f t="shared" si="4"/>
        <v>2999</v>
      </c>
      <c r="AF15" s="1447">
        <f t="shared" si="5"/>
        <v>851505</v>
      </c>
      <c r="AG15" s="1520">
        <f t="shared" si="6"/>
        <v>41</v>
      </c>
      <c r="AH15" s="1520">
        <f t="shared" si="6"/>
        <v>45.9</v>
      </c>
      <c r="AI15" s="1449">
        <v>0</v>
      </c>
      <c r="AJ15" s="1449">
        <v>1</v>
      </c>
      <c r="AK15" s="1449">
        <f t="shared" ref="AK15:AK42" si="15">ROUND($AX$13+$AW$13*$AF15+$AV$13*$AG15+$AU$13*$AH15+$AT$13*$AI15+$AS$13*$AJ15,0)</f>
        <v>3227</v>
      </c>
      <c r="AL15" s="1449">
        <f t="shared" ref="AL15:AL35" si="16">AE15-AK15</f>
        <v>-228</v>
      </c>
      <c r="AM15" s="1040"/>
      <c r="AN15" s="1040"/>
      <c r="AO15" s="1040"/>
      <c r="AP15" s="1451"/>
      <c r="AQ15" s="1456">
        <f t="shared" si="12"/>
        <v>-482</v>
      </c>
      <c r="AR15" s="1439" t="s">
        <v>174</v>
      </c>
      <c r="AS15" s="1443">
        <v>0.90870929334956896</v>
      </c>
      <c r="AT15" s="1443">
        <v>410.27013777453476</v>
      </c>
      <c r="AU15" s="1434" t="e">
        <v>#N/A</v>
      </c>
      <c r="AV15" s="1434" t="e">
        <v>#N/A</v>
      </c>
      <c r="AW15" s="1434" t="e">
        <v>#N/A</v>
      </c>
      <c r="AX15" s="1588" t="e">
        <v>#N/A</v>
      </c>
      <c r="AY15" s="1587"/>
      <c r="AZ15" s="1040"/>
      <c r="BA15" s="1040"/>
      <c r="BB15" s="1445"/>
      <c r="BC15" s="1445">
        <v>1982</v>
      </c>
      <c r="BD15" s="1449">
        <f t="shared" si="7"/>
        <v>3538</v>
      </c>
      <c r="BE15" s="1446">
        <f t="shared" si="8"/>
        <v>2999</v>
      </c>
      <c r="BF15" s="1553">
        <f t="shared" si="13"/>
        <v>539</v>
      </c>
      <c r="BG15" s="1446">
        <f t="shared" si="9"/>
        <v>3227</v>
      </c>
      <c r="BH15" s="1553">
        <f t="shared" si="14"/>
        <v>311</v>
      </c>
    </row>
    <row r="16" spans="1:60">
      <c r="A16" s="123">
        <v>1983</v>
      </c>
      <c r="B16" s="139">
        <v>30677</v>
      </c>
      <c r="C16" s="131">
        <v>9</v>
      </c>
      <c r="D16" s="346" t="str">
        <f t="shared" si="0"/>
        <v>Tue</v>
      </c>
      <c r="E16" s="134">
        <f>[6]Hist!G52</f>
        <v>4913</v>
      </c>
      <c r="F16" s="134">
        <f>[6]Hist!H52</f>
        <v>4056</v>
      </c>
      <c r="G16" s="164">
        <f>SUM([6]Hist!M52:O52)</f>
        <v>156</v>
      </c>
      <c r="H16" s="164">
        <f>[6]Hist!L52</f>
        <v>50</v>
      </c>
      <c r="I16" s="164">
        <f>[6]Hist!P52</f>
        <v>0</v>
      </c>
      <c r="J16" s="133">
        <f t="shared" si="2"/>
        <v>4262</v>
      </c>
      <c r="K16" s="164">
        <f>[6]Hist!U52</f>
        <v>39</v>
      </c>
      <c r="L16" s="164">
        <f>[6]Hist!V52</f>
        <v>36</v>
      </c>
      <c r="M16" s="133">
        <f t="shared" si="10"/>
        <v>4301</v>
      </c>
      <c r="N16" s="416">
        <f>[6]Hist!AA52</f>
        <v>168</v>
      </c>
      <c r="O16" s="1377">
        <f t="shared" si="11"/>
        <v>4058</v>
      </c>
      <c r="P16" s="374">
        <f>[4]Data!$I378</f>
        <v>885443</v>
      </c>
      <c r="U16" s="374">
        <f t="shared" si="1"/>
        <v>885443</v>
      </c>
      <c r="V16" s="132"/>
      <c r="X16" s="971">
        <f>[5]Dec!J11</f>
        <v>37.1</v>
      </c>
      <c r="Y16" s="971">
        <f>[5]Dec!K11</f>
        <v>34.6</v>
      </c>
      <c r="Z16" s="970">
        <f>[5]Dec!L11</f>
        <v>36.299999999999997</v>
      </c>
      <c r="AD16" s="1527">
        <f t="shared" si="3"/>
        <v>1983</v>
      </c>
      <c r="AE16" s="1446">
        <f t="shared" si="4"/>
        <v>4058</v>
      </c>
      <c r="AF16" s="1447">
        <f t="shared" si="5"/>
        <v>885443</v>
      </c>
      <c r="AG16" s="1520">
        <f t="shared" si="6"/>
        <v>37.1</v>
      </c>
      <c r="AH16" s="1520">
        <f t="shared" si="6"/>
        <v>34.6</v>
      </c>
      <c r="AI16" s="1449">
        <v>0</v>
      </c>
      <c r="AJ16" s="1449">
        <v>0</v>
      </c>
      <c r="AK16" s="1449">
        <f t="shared" si="15"/>
        <v>4173</v>
      </c>
      <c r="AL16" s="1449">
        <f t="shared" si="16"/>
        <v>-115</v>
      </c>
      <c r="AM16" s="1040"/>
      <c r="AN16" s="1040"/>
      <c r="AO16" s="1040"/>
      <c r="AP16" s="1452"/>
      <c r="AQ16" s="1456">
        <f t="shared" si="12"/>
        <v>1059</v>
      </c>
      <c r="AR16" s="1439" t="s">
        <v>175</v>
      </c>
      <c r="AS16" s="1442">
        <v>41.806873581147414</v>
      </c>
      <c r="AT16" s="1434">
        <v>21</v>
      </c>
      <c r="AU16" s="1434" t="e">
        <v>#N/A</v>
      </c>
      <c r="AV16" s="1434" t="e">
        <v>#N/A</v>
      </c>
      <c r="AW16" s="1434" t="e">
        <v>#N/A</v>
      </c>
      <c r="AX16" s="1588" t="e">
        <v>#N/A</v>
      </c>
      <c r="AY16" s="1587"/>
      <c r="AZ16" s="1040"/>
      <c r="BA16" s="1040"/>
      <c r="BB16" s="1445"/>
      <c r="BC16" s="1445">
        <v>1983</v>
      </c>
      <c r="BD16" s="1449">
        <f t="shared" si="7"/>
        <v>3600</v>
      </c>
      <c r="BE16" s="1446">
        <f t="shared" si="8"/>
        <v>4058</v>
      </c>
      <c r="BF16" s="1553">
        <f t="shared" si="13"/>
        <v>-458</v>
      </c>
      <c r="BG16" s="1446">
        <f t="shared" si="9"/>
        <v>4173</v>
      </c>
      <c r="BH16" s="1553">
        <f t="shared" si="14"/>
        <v>-573</v>
      </c>
    </row>
    <row r="17" spans="1:60">
      <c r="A17" s="123">
        <v>1984</v>
      </c>
      <c r="B17" s="139">
        <v>31024</v>
      </c>
      <c r="C17" s="131">
        <v>9</v>
      </c>
      <c r="D17" s="915" t="str">
        <f t="shared" si="0"/>
        <v>Sat</v>
      </c>
      <c r="E17" s="134">
        <f>[6]Hist!G64</f>
        <v>4254</v>
      </c>
      <c r="F17" s="134">
        <f>[6]Hist!H64</f>
        <v>3670</v>
      </c>
      <c r="G17" s="164">
        <f>SUM([6]Hist!M64:O64)</f>
        <v>0</v>
      </c>
      <c r="H17" s="164">
        <f>[6]Hist!L64</f>
        <v>0</v>
      </c>
      <c r="I17" s="164">
        <f>[6]Hist!P64</f>
        <v>0</v>
      </c>
      <c r="J17" s="133">
        <f t="shared" si="2"/>
        <v>3670</v>
      </c>
      <c r="K17" s="164">
        <f>[6]Hist!U64</f>
        <v>59</v>
      </c>
      <c r="L17" s="164">
        <f>[6]Hist!V64</f>
        <v>36</v>
      </c>
      <c r="M17" s="133">
        <f t="shared" si="10"/>
        <v>3729</v>
      </c>
      <c r="N17" s="416">
        <f>[6]Hist!AA64</f>
        <v>148</v>
      </c>
      <c r="O17" s="1377">
        <f t="shared" si="11"/>
        <v>3486</v>
      </c>
      <c r="P17" s="374">
        <f>[4]Data!$I379</f>
        <v>927083</v>
      </c>
      <c r="U17" s="374">
        <f t="shared" si="1"/>
        <v>927083</v>
      </c>
      <c r="V17" s="132"/>
      <c r="X17" s="971">
        <f>[5]Dec!J12</f>
        <v>40.9</v>
      </c>
      <c r="Y17" s="971">
        <f>[5]Dec!K12</f>
        <v>42.5</v>
      </c>
      <c r="Z17" s="970">
        <f>[5]Dec!L12</f>
        <v>41.4</v>
      </c>
      <c r="AD17" s="1527">
        <f t="shared" si="3"/>
        <v>1984</v>
      </c>
      <c r="AE17" s="1446">
        <f t="shared" si="4"/>
        <v>3486</v>
      </c>
      <c r="AF17" s="1447">
        <f t="shared" si="5"/>
        <v>927083</v>
      </c>
      <c r="AG17" s="1520">
        <f t="shared" si="6"/>
        <v>40.9</v>
      </c>
      <c r="AH17" s="1520">
        <f t="shared" si="6"/>
        <v>42.5</v>
      </c>
      <c r="AI17" s="1449">
        <v>0</v>
      </c>
      <c r="AJ17" s="1449">
        <v>1</v>
      </c>
      <c r="AK17" s="1449">
        <f t="shared" si="15"/>
        <v>3752</v>
      </c>
      <c r="AL17" s="1449">
        <f t="shared" si="16"/>
        <v>-266</v>
      </c>
      <c r="AM17" s="1445"/>
      <c r="AN17" s="1445"/>
      <c r="AO17" s="1040"/>
      <c r="AP17" s="1453"/>
      <c r="AQ17" s="1456">
        <f t="shared" si="12"/>
        <v>-572</v>
      </c>
      <c r="AR17" s="1439" t="s">
        <v>176</v>
      </c>
      <c r="AS17" s="1434">
        <v>35184996.32385239</v>
      </c>
      <c r="AT17" s="1434">
        <v>3534753.3049402498</v>
      </c>
      <c r="AU17" s="1434" t="e">
        <v>#N/A</v>
      </c>
      <c r="AV17" s="1434" t="e">
        <v>#N/A</v>
      </c>
      <c r="AW17" s="1434" t="e">
        <v>#N/A</v>
      </c>
      <c r="AX17" s="1588" t="e">
        <v>#N/A</v>
      </c>
      <c r="AY17" s="1587"/>
      <c r="AZ17" s="1040"/>
      <c r="BA17" s="1040"/>
      <c r="BB17" s="1445"/>
      <c r="BC17" s="1445">
        <f t="shared" ref="BC17:BC39" si="17">AD17</f>
        <v>1984</v>
      </c>
      <c r="BD17" s="1449">
        <f t="shared" si="7"/>
        <v>3885</v>
      </c>
      <c r="BE17" s="1446">
        <f t="shared" si="8"/>
        <v>3486</v>
      </c>
      <c r="BF17" s="1553">
        <f t="shared" si="13"/>
        <v>399</v>
      </c>
      <c r="BG17" s="1446">
        <f t="shared" si="9"/>
        <v>3752</v>
      </c>
      <c r="BH17" s="1553">
        <f t="shared" si="14"/>
        <v>133</v>
      </c>
    </row>
    <row r="18" spans="1:60">
      <c r="A18" s="123">
        <v>1985</v>
      </c>
      <c r="B18" s="139">
        <v>31407</v>
      </c>
      <c r="C18" s="131">
        <v>9</v>
      </c>
      <c r="D18" s="346" t="str">
        <f t="shared" ref="D18:D33" si="18">TEXT(WEEKDAY(B18),"ddd")</f>
        <v>Thu</v>
      </c>
      <c r="E18" s="134">
        <f>[6]Hist!G76</f>
        <v>5206</v>
      </c>
      <c r="F18" s="134">
        <f>[6]Hist!H76</f>
        <v>4670</v>
      </c>
      <c r="G18" s="164">
        <f>SUM([6]Hist!M76:O76)</f>
        <v>0</v>
      </c>
      <c r="H18" s="164">
        <f>[6]Hist!L76</f>
        <v>0</v>
      </c>
      <c r="I18" s="164">
        <f>[6]Hist!P76</f>
        <v>0</v>
      </c>
      <c r="J18" s="133">
        <f t="shared" si="2"/>
        <v>4670</v>
      </c>
      <c r="K18" s="164">
        <f>[6]Hist!U76</f>
        <v>74</v>
      </c>
      <c r="L18" s="164">
        <f>[6]Hist!V76</f>
        <v>42</v>
      </c>
      <c r="M18" s="133">
        <f t="shared" si="10"/>
        <v>4744</v>
      </c>
      <c r="N18" s="164">
        <f>[6]Hist!AA76</f>
        <v>88</v>
      </c>
      <c r="O18" s="1377">
        <f t="shared" si="11"/>
        <v>4540</v>
      </c>
      <c r="P18" s="374">
        <f>[4]Data!$I380</f>
        <v>966273</v>
      </c>
      <c r="U18" s="374">
        <f t="shared" si="1"/>
        <v>966273</v>
      </c>
      <c r="V18" s="132"/>
      <c r="X18" s="971">
        <f>[5]Dec!J13</f>
        <v>28.7</v>
      </c>
      <c r="Y18" s="971">
        <f>[5]Dec!K13</f>
        <v>41.2</v>
      </c>
      <c r="Z18" s="970">
        <f>[5]Dec!L13</f>
        <v>32.799999999999997</v>
      </c>
      <c r="AD18" s="1527">
        <f t="shared" si="3"/>
        <v>1985</v>
      </c>
      <c r="AE18" s="1446">
        <f t="shared" si="4"/>
        <v>4540</v>
      </c>
      <c r="AF18" s="1447">
        <f t="shared" si="5"/>
        <v>966273</v>
      </c>
      <c r="AG18" s="1520">
        <f t="shared" si="6"/>
        <v>28.7</v>
      </c>
      <c r="AH18" s="1520">
        <f t="shared" si="6"/>
        <v>41.2</v>
      </c>
      <c r="AI18" s="1449">
        <v>0</v>
      </c>
      <c r="AJ18" s="1449">
        <v>0</v>
      </c>
      <c r="AK18" s="1449">
        <f t="shared" si="15"/>
        <v>4899</v>
      </c>
      <c r="AL18" s="1449">
        <f t="shared" si="16"/>
        <v>-359</v>
      </c>
      <c r="AM18" s="1449"/>
      <c r="AN18" s="1449"/>
      <c r="AO18" s="1040"/>
      <c r="AP18" s="1453"/>
      <c r="AQ18" s="1456">
        <f t="shared" si="12"/>
        <v>1054</v>
      </c>
      <c r="AR18" s="1053" t="s">
        <v>177</v>
      </c>
      <c r="AS18" s="1440">
        <f t="shared" ref="AS18:AX18" si="19">AS13/AS14</f>
        <v>0.48693304637211549</v>
      </c>
      <c r="AT18" s="1440">
        <f t="shared" si="19"/>
        <v>1.3208712026246934</v>
      </c>
      <c r="AU18" s="1440">
        <f t="shared" si="19"/>
        <v>-2.1876658010047354</v>
      </c>
      <c r="AV18" s="1440">
        <f t="shared" si="19"/>
        <v>-3.5804371272216433</v>
      </c>
      <c r="AW18" s="1440">
        <f t="shared" si="19"/>
        <v>11.974283932342809</v>
      </c>
      <c r="AX18" s="1440">
        <f t="shared" si="19"/>
        <v>5.8483562245820195</v>
      </c>
      <c r="AY18" s="1587"/>
      <c r="AZ18" s="1040"/>
      <c r="BA18" s="1040"/>
      <c r="BB18" s="1445"/>
      <c r="BC18" s="1445">
        <f t="shared" si="17"/>
        <v>1985</v>
      </c>
      <c r="BD18" s="1449">
        <f t="shared" si="7"/>
        <v>3971</v>
      </c>
      <c r="BE18" s="1446">
        <f t="shared" si="8"/>
        <v>4540</v>
      </c>
      <c r="BF18" s="1553">
        <f t="shared" si="13"/>
        <v>-569</v>
      </c>
      <c r="BG18" s="1446">
        <f t="shared" si="9"/>
        <v>4899</v>
      </c>
      <c r="BH18" s="1553">
        <f t="shared" si="14"/>
        <v>-928</v>
      </c>
    </row>
    <row r="19" spans="1:60">
      <c r="A19" s="123">
        <v>1986</v>
      </c>
      <c r="B19" s="139">
        <v>31756</v>
      </c>
      <c r="C19" s="894">
        <v>19</v>
      </c>
      <c r="D19" s="346" t="str">
        <f t="shared" si="18"/>
        <v>Wed</v>
      </c>
      <c r="E19" s="134">
        <f>[6]Hist!G88</f>
        <v>3203</v>
      </c>
      <c r="F19" s="134">
        <f>[6]Hist!H88</f>
        <v>3008</v>
      </c>
      <c r="G19" s="164">
        <f>SUM([6]Hist!M88:O88)</f>
        <v>0</v>
      </c>
      <c r="H19" s="164">
        <f>[6]Hist!L88</f>
        <v>0</v>
      </c>
      <c r="I19" s="164">
        <f>[6]Hist!P88</f>
        <v>0</v>
      </c>
      <c r="J19" s="133">
        <f t="shared" si="2"/>
        <v>3008</v>
      </c>
      <c r="K19" s="164">
        <f>[6]Hist!U88</f>
        <v>83</v>
      </c>
      <c r="L19" s="164">
        <f>[6]Hist!V88</f>
        <v>51</v>
      </c>
      <c r="M19" s="133">
        <f t="shared" si="10"/>
        <v>3091</v>
      </c>
      <c r="N19" s="164">
        <f>[6]Hist!AA88</f>
        <v>275</v>
      </c>
      <c r="O19" s="1377">
        <f t="shared" si="11"/>
        <v>2682</v>
      </c>
      <c r="P19" s="374">
        <f>[4]Data!$I381</f>
        <v>1007537</v>
      </c>
      <c r="U19" s="374">
        <f t="shared" si="1"/>
        <v>1007537</v>
      </c>
      <c r="V19" s="132"/>
      <c r="X19" s="339">
        <f>[5]Dec!J14</f>
        <v>76.7</v>
      </c>
      <c r="Y19" s="895">
        <f>[5]Dec!K14</f>
        <v>73.8</v>
      </c>
      <c r="Z19" s="284">
        <f>[5]Dec!L14</f>
        <v>75.7</v>
      </c>
      <c r="AD19" s="1527">
        <f t="shared" ref="AD19:AD25" si="20">A20</f>
        <v>1987</v>
      </c>
      <c r="AE19" s="1446">
        <f t="shared" ref="AE19:AE25" si="21">O20</f>
        <v>4172</v>
      </c>
      <c r="AF19" s="1447">
        <f t="shared" ref="AF19:AF25" si="22">U20</f>
        <v>1046627</v>
      </c>
      <c r="AG19" s="1520">
        <f t="shared" ref="AG19:AH25" si="23">X20</f>
        <v>41.4</v>
      </c>
      <c r="AH19" s="1520">
        <f t="shared" si="23"/>
        <v>46.2</v>
      </c>
      <c r="AI19" s="1449">
        <v>0</v>
      </c>
      <c r="AJ19" s="1449">
        <v>0</v>
      </c>
      <c r="AK19" s="1449">
        <f t="shared" si="15"/>
        <v>3982</v>
      </c>
      <c r="AL19" s="1449">
        <f t="shared" si="16"/>
        <v>190</v>
      </c>
      <c r="AM19" s="1449"/>
      <c r="AN19" s="1449"/>
      <c r="AO19" s="1040"/>
      <c r="AP19" s="1453"/>
      <c r="AQ19" s="1456">
        <f t="shared" si="12"/>
        <v>-368</v>
      </c>
      <c r="AR19" s="1040"/>
      <c r="AS19" s="1040"/>
      <c r="AT19" s="1040"/>
      <c r="AU19" s="1040"/>
      <c r="AV19" s="1040"/>
      <c r="AW19" s="1040"/>
      <c r="AX19" s="872"/>
      <c r="AY19" s="872"/>
      <c r="AZ19" s="1040"/>
      <c r="BA19" s="1040"/>
      <c r="BB19" s="1445"/>
      <c r="BC19" s="1445">
        <f t="shared" si="17"/>
        <v>1987</v>
      </c>
      <c r="BD19" s="1449">
        <f t="shared" si="7"/>
        <v>4341</v>
      </c>
      <c r="BE19" s="1446">
        <f t="shared" si="8"/>
        <v>4172</v>
      </c>
      <c r="BF19" s="1553">
        <f t="shared" si="13"/>
        <v>169</v>
      </c>
      <c r="BG19" s="1446">
        <f t="shared" si="9"/>
        <v>3982</v>
      </c>
      <c r="BH19" s="1553">
        <f t="shared" si="14"/>
        <v>359</v>
      </c>
    </row>
    <row r="20" spans="1:60">
      <c r="A20" s="123">
        <v>1987</v>
      </c>
      <c r="B20" s="139">
        <v>32129</v>
      </c>
      <c r="C20" s="131">
        <v>8</v>
      </c>
      <c r="D20" s="346" t="str">
        <f t="shared" si="18"/>
        <v>Fri</v>
      </c>
      <c r="E20" s="134">
        <f>[6]Hist!G100</f>
        <v>4938</v>
      </c>
      <c r="F20" s="134">
        <f>[6]Hist!H100</f>
        <v>4465</v>
      </c>
      <c r="G20" s="164">
        <f>SUM([6]Hist!M100:O100)</f>
        <v>0</v>
      </c>
      <c r="H20" s="164">
        <f>[6]Hist!L100</f>
        <v>0</v>
      </c>
      <c r="I20" s="164">
        <f>[6]Hist!P100</f>
        <v>0</v>
      </c>
      <c r="J20" s="133">
        <f t="shared" si="2"/>
        <v>4465</v>
      </c>
      <c r="K20" s="164">
        <f>[6]Hist!U100</f>
        <v>90</v>
      </c>
      <c r="L20" s="164">
        <f>[6]Hist!V100</f>
        <v>58</v>
      </c>
      <c r="M20" s="133">
        <f t="shared" si="10"/>
        <v>4555</v>
      </c>
      <c r="N20" s="164">
        <f>[6]Hist!AA100</f>
        <v>235</v>
      </c>
      <c r="O20" s="1377">
        <f t="shared" si="11"/>
        <v>4172</v>
      </c>
      <c r="P20" s="374">
        <f>[4]Data!$I382</f>
        <v>1046627</v>
      </c>
      <c r="U20" s="374">
        <f t="shared" si="1"/>
        <v>1046627</v>
      </c>
      <c r="V20" s="132"/>
      <c r="X20" s="971">
        <f>[5]Dec!J15</f>
        <v>41.4</v>
      </c>
      <c r="Y20" s="971">
        <f>[5]Dec!K15</f>
        <v>46.2</v>
      </c>
      <c r="Z20" s="1065">
        <f>[5]Dec!L15</f>
        <v>43</v>
      </c>
      <c r="AD20" s="1527">
        <f t="shared" si="20"/>
        <v>1988</v>
      </c>
      <c r="AE20" s="1446">
        <f t="shared" si="21"/>
        <v>4617</v>
      </c>
      <c r="AF20" s="1447">
        <f t="shared" si="22"/>
        <v>1086476</v>
      </c>
      <c r="AG20" s="1520">
        <f t="shared" si="23"/>
        <v>35.200000000000003</v>
      </c>
      <c r="AH20" s="1520">
        <f t="shared" si="23"/>
        <v>41.7</v>
      </c>
      <c r="AI20" s="1449">
        <v>0</v>
      </c>
      <c r="AJ20" s="1449">
        <v>1</v>
      </c>
      <c r="AK20" s="1449">
        <f t="shared" si="15"/>
        <v>4990</v>
      </c>
      <c r="AL20" s="1449">
        <f t="shared" si="16"/>
        <v>-373</v>
      </c>
      <c r="AM20" s="1449"/>
      <c r="AN20" s="1449"/>
      <c r="AO20" s="1040"/>
      <c r="AP20" s="1453"/>
      <c r="AQ20" s="1456">
        <f t="shared" si="12"/>
        <v>445</v>
      </c>
      <c r="AR20" s="1040"/>
      <c r="AS20" s="1040"/>
      <c r="AT20" s="1040"/>
      <c r="AU20" s="1040"/>
      <c r="AV20" s="1040"/>
      <c r="AW20" s="1040"/>
      <c r="AX20" s="872"/>
      <c r="AY20" s="872"/>
      <c r="AZ20" s="1040"/>
      <c r="BA20" s="1040"/>
      <c r="BB20" s="1445"/>
      <c r="BC20" s="1445">
        <f t="shared" si="17"/>
        <v>1988</v>
      </c>
      <c r="BD20" s="1449">
        <f t="shared" si="7"/>
        <v>4617</v>
      </c>
      <c r="BE20" s="1446">
        <f t="shared" si="8"/>
        <v>4617</v>
      </c>
      <c r="BF20" s="1553">
        <f t="shared" si="13"/>
        <v>0</v>
      </c>
      <c r="BG20" s="1446">
        <f t="shared" si="9"/>
        <v>4990</v>
      </c>
      <c r="BH20" s="1553">
        <f t="shared" si="14"/>
        <v>-373</v>
      </c>
    </row>
    <row r="21" spans="1:60">
      <c r="A21" s="123">
        <v>1988</v>
      </c>
      <c r="B21" s="139">
        <v>32496</v>
      </c>
      <c r="C21" s="131">
        <v>8</v>
      </c>
      <c r="D21" s="346" t="str">
        <f t="shared" si="18"/>
        <v>Mon</v>
      </c>
      <c r="E21" s="134">
        <f>[6]Hist!G112</f>
        <v>5614</v>
      </c>
      <c r="F21" s="134">
        <f>[6]Hist!H112</f>
        <v>4712</v>
      </c>
      <c r="G21" s="164">
        <f>SUM([6]Hist!M112:O112)</f>
        <v>195</v>
      </c>
      <c r="H21" s="164">
        <f>[6]Hist!L112</f>
        <v>0</v>
      </c>
      <c r="I21" s="164">
        <f>[6]Hist!P112</f>
        <v>0</v>
      </c>
      <c r="J21" s="133">
        <f t="shared" si="2"/>
        <v>4907</v>
      </c>
      <c r="K21" s="164">
        <f>[6]Hist!U112</f>
        <v>95</v>
      </c>
      <c r="L21" s="164">
        <f>[6]Hist!V112</f>
        <v>61</v>
      </c>
      <c r="M21" s="133">
        <f t="shared" si="10"/>
        <v>5002</v>
      </c>
      <c r="N21" s="164">
        <f>[6]Hist!AA112</f>
        <v>229</v>
      </c>
      <c r="O21" s="1377">
        <f t="shared" si="11"/>
        <v>4617</v>
      </c>
      <c r="P21" s="374">
        <f>[4]Data!$I383</f>
        <v>1086476</v>
      </c>
      <c r="U21" s="374">
        <f t="shared" si="1"/>
        <v>1086476</v>
      </c>
      <c r="V21" s="132"/>
      <c r="X21" s="971">
        <f>[5]Dec!J16</f>
        <v>35.200000000000003</v>
      </c>
      <c r="Y21" s="971">
        <f>[5]Dec!K16</f>
        <v>41.7</v>
      </c>
      <c r="Z21" s="1065">
        <f>[5]Dec!L16</f>
        <v>37.299999999999997</v>
      </c>
      <c r="AD21" s="1527">
        <f t="shared" si="20"/>
        <v>1989</v>
      </c>
      <c r="AE21" s="1446">
        <f t="shared" si="21"/>
        <v>6220</v>
      </c>
      <c r="AF21" s="1447">
        <f t="shared" si="22"/>
        <v>1126876</v>
      </c>
      <c r="AG21" s="1520">
        <f t="shared" si="23"/>
        <v>30.3</v>
      </c>
      <c r="AH21" s="1520">
        <f t="shared" si="23"/>
        <v>38.5</v>
      </c>
      <c r="AI21" s="1449">
        <v>0</v>
      </c>
      <c r="AJ21" s="1449">
        <v>1</v>
      </c>
      <c r="AK21" s="1449">
        <f t="shared" si="15"/>
        <v>5735</v>
      </c>
      <c r="AL21" s="1449">
        <f t="shared" si="16"/>
        <v>485</v>
      </c>
      <c r="AM21" s="1449"/>
      <c r="AN21" s="1449"/>
      <c r="AO21" s="1040"/>
      <c r="AP21" s="1453"/>
      <c r="AQ21" s="1456">
        <f t="shared" si="12"/>
        <v>1603</v>
      </c>
      <c r="AR21" s="1040"/>
      <c r="AS21" s="1040"/>
      <c r="AT21" s="1040"/>
      <c r="AU21" s="1040"/>
      <c r="AV21" s="1040"/>
      <c r="AW21" s="1040"/>
      <c r="AX21" s="872"/>
      <c r="AY21" s="872"/>
      <c r="AZ21" s="1040"/>
      <c r="BA21" s="1040"/>
      <c r="BB21" s="1445"/>
      <c r="BC21" s="1445">
        <f t="shared" si="17"/>
        <v>1989</v>
      </c>
      <c r="BD21" s="1449">
        <f t="shared" si="7"/>
        <v>4803</v>
      </c>
      <c r="BE21" s="1446">
        <f t="shared" si="8"/>
        <v>6220</v>
      </c>
      <c r="BF21" s="1553">
        <f t="shared" si="13"/>
        <v>-1417</v>
      </c>
      <c r="BG21" s="1446">
        <f t="shared" si="9"/>
        <v>5735</v>
      </c>
      <c r="BH21" s="1553">
        <f t="shared" si="14"/>
        <v>-932</v>
      </c>
    </row>
    <row r="22" spans="1:60">
      <c r="A22" s="123">
        <v>1989</v>
      </c>
      <c r="B22" s="139">
        <v>32865</v>
      </c>
      <c r="C22" s="894">
        <v>18</v>
      </c>
      <c r="D22" s="915" t="str">
        <f t="shared" si="18"/>
        <v>Sat</v>
      </c>
      <c r="E22" s="134">
        <f>[6]Hist!G124</f>
        <v>6817</v>
      </c>
      <c r="F22" s="134">
        <f>[6]Hist!H124</f>
        <v>5942</v>
      </c>
      <c r="G22" s="164">
        <f>SUM([6]Hist!M124:O124)</f>
        <v>344</v>
      </c>
      <c r="H22" s="164">
        <f>[6]Hist!L124</f>
        <v>230</v>
      </c>
      <c r="I22" s="164">
        <f>[6]Hist!P124</f>
        <v>0</v>
      </c>
      <c r="J22" s="133">
        <f t="shared" si="2"/>
        <v>6516</v>
      </c>
      <c r="K22" s="164">
        <f>[6]Hist!U124</f>
        <v>99</v>
      </c>
      <c r="L22" s="164">
        <f>[6]Hist!V124</f>
        <v>66</v>
      </c>
      <c r="M22" s="133">
        <f t="shared" si="10"/>
        <v>6615</v>
      </c>
      <c r="N22" s="164">
        <f>[6]Hist!AA124</f>
        <v>230</v>
      </c>
      <c r="O22" s="1377">
        <f t="shared" si="11"/>
        <v>6220</v>
      </c>
      <c r="P22" s="374">
        <f>[4]Data!$I384</f>
        <v>1126876</v>
      </c>
      <c r="U22" s="374">
        <f t="shared" si="1"/>
        <v>1126876</v>
      </c>
      <c r="V22" s="132"/>
      <c r="X22" s="971">
        <f>[5]Dec!J17</f>
        <v>30.3</v>
      </c>
      <c r="Y22" s="971">
        <f>[5]Dec!K17</f>
        <v>38.5</v>
      </c>
      <c r="Z22" s="1065">
        <f>[5]Dec!L17</f>
        <v>33</v>
      </c>
      <c r="AD22" s="1527">
        <f t="shared" si="20"/>
        <v>1990</v>
      </c>
      <c r="AE22" s="1446">
        <f t="shared" si="21"/>
        <v>4167.0798976863152</v>
      </c>
      <c r="AF22" s="1447">
        <f t="shared" si="22"/>
        <v>1155657</v>
      </c>
      <c r="AG22" s="1520">
        <f t="shared" si="23"/>
        <v>43.8</v>
      </c>
      <c r="AH22" s="1520">
        <f t="shared" si="23"/>
        <v>53.7</v>
      </c>
      <c r="AI22" s="1449">
        <v>0</v>
      </c>
      <c r="AJ22" s="1449">
        <v>0</v>
      </c>
      <c r="AK22" s="1449">
        <f t="shared" si="15"/>
        <v>3912</v>
      </c>
      <c r="AL22" s="1449">
        <f t="shared" si="16"/>
        <v>255.07989768631523</v>
      </c>
      <c r="AM22" s="1449"/>
      <c r="AN22" s="1449"/>
      <c r="AO22" s="1040"/>
      <c r="AP22" s="1451"/>
      <c r="AQ22" s="1456">
        <f t="shared" si="12"/>
        <v>-2052.9201023136848</v>
      </c>
      <c r="AR22" s="1040"/>
      <c r="AS22" s="1040"/>
      <c r="AT22" s="1040"/>
      <c r="AU22" s="1040"/>
      <c r="AV22" s="1040"/>
      <c r="AW22" s="1040"/>
      <c r="AX22" s="872"/>
      <c r="AY22" s="872"/>
      <c r="AZ22" s="1040"/>
      <c r="BA22" s="1040"/>
      <c r="BB22" s="1445"/>
      <c r="BC22" s="1445">
        <f t="shared" si="17"/>
        <v>1990</v>
      </c>
      <c r="BD22" s="1449">
        <f t="shared" si="7"/>
        <v>4842</v>
      </c>
      <c r="BE22" s="1446">
        <f t="shared" si="8"/>
        <v>4167.0798976863152</v>
      </c>
      <c r="BF22" s="1553">
        <f t="shared" si="13"/>
        <v>674.92010231368477</v>
      </c>
      <c r="BG22" s="1446">
        <f t="shared" si="9"/>
        <v>3912</v>
      </c>
      <c r="BH22" s="1553">
        <f t="shared" si="14"/>
        <v>930</v>
      </c>
    </row>
    <row r="23" spans="1:60">
      <c r="A23" s="123">
        <v>1990</v>
      </c>
      <c r="B23" s="139">
        <v>33218</v>
      </c>
      <c r="C23" s="131">
        <v>8</v>
      </c>
      <c r="D23" s="346" t="str">
        <f t="shared" si="18"/>
        <v>Tue</v>
      </c>
      <c r="E23" s="133">
        <f>[7]MoCoinMW!F16</f>
        <v>5017</v>
      </c>
      <c r="F23" s="133">
        <f>[7]MoCoinMW!G16</f>
        <v>4407.0798976863152</v>
      </c>
      <c r="G23" s="164">
        <f>SUM([6]Hist!M136:O136)</f>
        <v>0</v>
      </c>
      <c r="H23" s="164">
        <f>[6]Hist!L136</f>
        <v>0</v>
      </c>
      <c r="I23" s="164">
        <f>[6]Hist!P136</f>
        <v>0</v>
      </c>
      <c r="J23" s="133">
        <f t="shared" si="2"/>
        <v>4407.0798976863152</v>
      </c>
      <c r="K23" s="164">
        <f>[6]Hist!U136</f>
        <v>104</v>
      </c>
      <c r="L23" s="164">
        <f>[6]Hist!V136</f>
        <v>66</v>
      </c>
      <c r="M23" s="133">
        <f t="shared" si="10"/>
        <v>4511.0798976863152</v>
      </c>
      <c r="N23" s="164">
        <f>[6]Hist!AA136</f>
        <v>174</v>
      </c>
      <c r="O23" s="1377">
        <f t="shared" si="11"/>
        <v>4167.0798976863152</v>
      </c>
      <c r="P23" s="374">
        <f>[4]Data!$I385</f>
        <v>1155657</v>
      </c>
      <c r="U23" s="374">
        <f t="shared" si="1"/>
        <v>1155657</v>
      </c>
      <c r="V23" s="132"/>
      <c r="X23" s="1061">
        <f>[5]Dec!J18</f>
        <v>43.8</v>
      </c>
      <c r="Y23" s="1061">
        <f>[5]Dec!K18</f>
        <v>53.7</v>
      </c>
      <c r="Z23" s="1066">
        <f>[5]Dec!L18</f>
        <v>47</v>
      </c>
      <c r="AD23" s="1527">
        <f t="shared" si="20"/>
        <v>1991</v>
      </c>
      <c r="AE23" s="1446">
        <f t="shared" si="21"/>
        <v>4673.367910708057</v>
      </c>
      <c r="AF23" s="1447">
        <f t="shared" si="22"/>
        <v>1177144</v>
      </c>
      <c r="AG23" s="1520">
        <f t="shared" si="23"/>
        <v>40.6</v>
      </c>
      <c r="AH23" s="1520">
        <f t="shared" si="23"/>
        <v>47.8</v>
      </c>
      <c r="AI23" s="1449">
        <v>0</v>
      </c>
      <c r="AJ23" s="1449">
        <v>0</v>
      </c>
      <c r="AK23" s="1449">
        <f t="shared" si="15"/>
        <v>4567</v>
      </c>
      <c r="AL23" s="1449">
        <f t="shared" si="16"/>
        <v>106.36791070805702</v>
      </c>
      <c r="AM23" s="1449"/>
      <c r="AN23" s="1449"/>
      <c r="AO23" s="1040"/>
      <c r="AP23" s="1451"/>
      <c r="AQ23" s="1456">
        <f t="shared" si="12"/>
        <v>506.28801302174179</v>
      </c>
      <c r="AR23" s="1040"/>
      <c r="AS23" s="1040"/>
      <c r="AT23" s="1040"/>
      <c r="AU23" s="1040"/>
      <c r="AV23" s="1040"/>
      <c r="AW23" s="1040"/>
      <c r="AX23" s="872"/>
      <c r="AY23" s="872"/>
      <c r="AZ23" s="1040"/>
      <c r="BA23" s="1040"/>
      <c r="BB23" s="1445"/>
      <c r="BC23" s="1445">
        <f t="shared" si="17"/>
        <v>1991</v>
      </c>
      <c r="BD23" s="1449">
        <f t="shared" si="7"/>
        <v>4940</v>
      </c>
      <c r="BE23" s="1446">
        <f t="shared" si="8"/>
        <v>4673.367910708057</v>
      </c>
      <c r="BF23" s="1553">
        <f t="shared" si="13"/>
        <v>266.63208929194298</v>
      </c>
      <c r="BG23" s="1446">
        <f t="shared" si="9"/>
        <v>4567</v>
      </c>
      <c r="BH23" s="1553">
        <f t="shared" si="14"/>
        <v>373</v>
      </c>
    </row>
    <row r="24" spans="1:60">
      <c r="A24" s="123">
        <v>1991</v>
      </c>
      <c r="B24" s="139">
        <v>33577</v>
      </c>
      <c r="C24" s="131">
        <v>8</v>
      </c>
      <c r="D24" s="346" t="str">
        <f t="shared" si="18"/>
        <v>Thu</v>
      </c>
      <c r="E24" s="133">
        <f>[7]MoCoinMW!F28</f>
        <v>5351</v>
      </c>
      <c r="F24" s="133">
        <f>[7]MoCoinMW!G28</f>
        <v>4619.867910708057</v>
      </c>
      <c r="G24" s="164">
        <f>SUM([6]Hist!M148:O148)</f>
        <v>312</v>
      </c>
      <c r="H24" s="164">
        <f>[6]Hist!L148</f>
        <v>0</v>
      </c>
      <c r="I24" s="164">
        <f>[6]Hist!P148</f>
        <v>0</v>
      </c>
      <c r="J24" s="133">
        <f t="shared" si="2"/>
        <v>4931.867910708057</v>
      </c>
      <c r="K24" s="164">
        <f>[6]Hist!U148</f>
        <v>111</v>
      </c>
      <c r="L24" s="164">
        <f>[6]Hist!V148</f>
        <v>65.5</v>
      </c>
      <c r="M24" s="133">
        <f t="shared" si="10"/>
        <v>5042.867910708057</v>
      </c>
      <c r="N24" s="164">
        <f>[6]Hist!AA148</f>
        <v>193</v>
      </c>
      <c r="O24" s="1377">
        <f t="shared" si="11"/>
        <v>4673.367910708057</v>
      </c>
      <c r="P24" s="374">
        <f>[4]Data!$I386</f>
        <v>1177144</v>
      </c>
      <c r="U24" s="374">
        <f t="shared" si="1"/>
        <v>1177144</v>
      </c>
      <c r="V24" s="132"/>
      <c r="X24" s="971">
        <f>[5]Dec!J19</f>
        <v>40.6</v>
      </c>
      <c r="Y24" s="971">
        <f>[5]Dec!K19</f>
        <v>47.8</v>
      </c>
      <c r="Z24" s="1065">
        <f>[5]Dec!L19</f>
        <v>43</v>
      </c>
      <c r="AA24" s="499">
        <f t="shared" ref="AA24:AA40" si="24">U24-U23</f>
        <v>21487</v>
      </c>
      <c r="AB24" s="499"/>
      <c r="AD24" s="1527">
        <f t="shared" si="20"/>
        <v>1992</v>
      </c>
      <c r="AE24" s="1446">
        <f t="shared" si="21"/>
        <v>4235.5025648988585</v>
      </c>
      <c r="AF24" s="1447">
        <f t="shared" si="22"/>
        <v>1202120</v>
      </c>
      <c r="AG24" s="1520">
        <f t="shared" si="23"/>
        <v>44.6</v>
      </c>
      <c r="AH24" s="1520">
        <f t="shared" si="23"/>
        <v>55.8</v>
      </c>
      <c r="AI24" s="1449">
        <v>0</v>
      </c>
      <c r="AJ24" s="1449">
        <v>0</v>
      </c>
      <c r="AK24" s="1449">
        <f t="shared" si="15"/>
        <v>3955</v>
      </c>
      <c r="AL24" s="1449">
        <f t="shared" si="16"/>
        <v>280.50256489885851</v>
      </c>
      <c r="AM24" s="1449"/>
      <c r="AN24" s="1449"/>
      <c r="AO24" s="1040"/>
      <c r="AP24" s="1454"/>
      <c r="AQ24" s="1456">
        <f t="shared" si="12"/>
        <v>-437.86534580919852</v>
      </c>
      <c r="AR24" s="1040"/>
      <c r="AS24" s="1040"/>
      <c r="AT24" s="1040"/>
      <c r="AU24" s="1040"/>
      <c r="AV24" s="1040"/>
      <c r="AW24" s="1040"/>
      <c r="AX24" s="1055"/>
      <c r="AY24" s="1055"/>
      <c r="AZ24" s="1040"/>
      <c r="BA24" s="1040"/>
      <c r="BB24" s="1445"/>
      <c r="BC24" s="1445">
        <f t="shared" si="17"/>
        <v>1992</v>
      </c>
      <c r="BD24" s="1449">
        <f t="shared" si="7"/>
        <v>5055</v>
      </c>
      <c r="BE24" s="1446">
        <f t="shared" si="8"/>
        <v>4235.5025648988585</v>
      </c>
      <c r="BF24" s="1553">
        <f t="shared" si="13"/>
        <v>819.49743510114149</v>
      </c>
      <c r="BG24" s="1446">
        <f t="shared" si="9"/>
        <v>3955</v>
      </c>
      <c r="BH24" s="1553">
        <f t="shared" si="14"/>
        <v>1100</v>
      </c>
    </row>
    <row r="25" spans="1:60">
      <c r="A25" s="123">
        <v>1992</v>
      </c>
      <c r="B25" s="139">
        <v>33941</v>
      </c>
      <c r="C25" s="131">
        <v>8</v>
      </c>
      <c r="D25" s="346" t="str">
        <f t="shared" si="18"/>
        <v>Thu</v>
      </c>
      <c r="E25" s="133">
        <f>[7]MoCoinMW!F40</f>
        <v>5160</v>
      </c>
      <c r="F25" s="133">
        <f>[7]MoCoinMW!G40</f>
        <v>4483.0025648988585</v>
      </c>
      <c r="G25" s="164">
        <f>SUM([6]Hist!M160:O160)</f>
        <v>0</v>
      </c>
      <c r="H25" s="164">
        <f>[6]Hist!L160</f>
        <v>0</v>
      </c>
      <c r="I25" s="164">
        <f>[6]Hist!P160</f>
        <v>0</v>
      </c>
      <c r="J25" s="133">
        <f t="shared" si="2"/>
        <v>4483.0025648988585</v>
      </c>
      <c r="K25" s="164">
        <f>[6]Hist!U160</f>
        <v>122</v>
      </c>
      <c r="L25" s="164">
        <f>[6]Hist!V160</f>
        <v>65.5</v>
      </c>
      <c r="M25" s="133">
        <f t="shared" si="10"/>
        <v>4605.0025648988585</v>
      </c>
      <c r="N25" s="164">
        <f>[6]Hist!AA160</f>
        <v>182</v>
      </c>
      <c r="O25" s="1377">
        <f t="shared" si="11"/>
        <v>4235.5025648988585</v>
      </c>
      <c r="P25" s="374">
        <f>[4]Data!$I387</f>
        <v>1202120</v>
      </c>
      <c r="U25" s="374">
        <f t="shared" si="1"/>
        <v>1202120</v>
      </c>
      <c r="V25" s="132"/>
      <c r="X25" s="1061">
        <f>[5]Dec!J20</f>
        <v>44.6</v>
      </c>
      <c r="Y25" s="1061">
        <f>[5]Dec!K20</f>
        <v>55.8</v>
      </c>
      <c r="Z25" s="1066">
        <f>[5]Dec!L20</f>
        <v>48.3</v>
      </c>
      <c r="AA25" s="499">
        <f t="shared" si="24"/>
        <v>24976</v>
      </c>
      <c r="AB25" s="499"/>
      <c r="AD25" s="1527">
        <f t="shared" si="20"/>
        <v>1993</v>
      </c>
      <c r="AE25" s="1446">
        <f t="shared" si="21"/>
        <v>5394.4664188774441</v>
      </c>
      <c r="AF25" s="1447">
        <f t="shared" si="22"/>
        <v>1240116</v>
      </c>
      <c r="AG25" s="1520">
        <f t="shared" si="23"/>
        <v>37.6</v>
      </c>
      <c r="AH25" s="1520">
        <f t="shared" si="23"/>
        <v>45.2</v>
      </c>
      <c r="AI25" s="1449">
        <v>0</v>
      </c>
      <c r="AJ25" s="1449">
        <v>1</v>
      </c>
      <c r="AK25" s="1449">
        <f t="shared" si="15"/>
        <v>5325</v>
      </c>
      <c r="AL25" s="1449">
        <f t="shared" si="16"/>
        <v>69.466418877444085</v>
      </c>
      <c r="AM25" s="1449"/>
      <c r="AN25" s="1449"/>
      <c r="AO25" s="1040"/>
      <c r="AP25" s="1453"/>
      <c r="AQ25" s="1456">
        <f t="shared" si="12"/>
        <v>1158.9638539785856</v>
      </c>
      <c r="AR25" s="1035"/>
      <c r="AS25" s="1035"/>
      <c r="AT25" s="1035"/>
      <c r="AU25" s="1035"/>
      <c r="AV25" s="1035"/>
      <c r="AW25" s="1055"/>
      <c r="AX25" s="1055"/>
      <c r="AY25" s="1055"/>
      <c r="AZ25" s="1040"/>
      <c r="BA25" s="1040"/>
      <c r="BB25" s="1445"/>
      <c r="BC25" s="1445">
        <f t="shared" si="17"/>
        <v>1993</v>
      </c>
      <c r="BD25" s="1449">
        <f t="shared" si="7"/>
        <v>5323</v>
      </c>
      <c r="BE25" s="1446">
        <f t="shared" si="8"/>
        <v>5394.4664188774441</v>
      </c>
      <c r="BF25" s="1553">
        <f t="shared" si="13"/>
        <v>-71.466418877444085</v>
      </c>
      <c r="BG25" s="1446">
        <f t="shared" si="9"/>
        <v>5325</v>
      </c>
      <c r="BH25" s="1553">
        <f t="shared" si="14"/>
        <v>-2</v>
      </c>
    </row>
    <row r="26" spans="1:60">
      <c r="A26" s="123">
        <v>1993</v>
      </c>
      <c r="B26" s="139">
        <v>34330</v>
      </c>
      <c r="C26" s="131">
        <v>8</v>
      </c>
      <c r="D26" s="346" t="str">
        <f t="shared" si="18"/>
        <v>Mon</v>
      </c>
      <c r="E26" s="133">
        <f>[7]MoCoinMW!F52</f>
        <v>6653</v>
      </c>
      <c r="F26" s="133">
        <f>[7]MoCoinMW!G52</f>
        <v>5648.9664188774441</v>
      </c>
      <c r="G26" s="164">
        <f>SUM([6]Hist!M172:O172)</f>
        <v>0</v>
      </c>
      <c r="H26" s="164">
        <f>[6]Hist!L172</f>
        <v>0</v>
      </c>
      <c r="I26" s="164">
        <f>[6]Hist!P172</f>
        <v>0</v>
      </c>
      <c r="J26" s="133">
        <f t="shared" si="2"/>
        <v>5648.9664188774441</v>
      </c>
      <c r="K26" s="164">
        <f>[6]Hist!U172</f>
        <v>146</v>
      </c>
      <c r="L26" s="164">
        <f>[6]Hist!V172</f>
        <v>65.5</v>
      </c>
      <c r="M26" s="133">
        <f t="shared" si="10"/>
        <v>5794.9664188774441</v>
      </c>
      <c r="N26" s="164">
        <f>[6]Hist!AA172</f>
        <v>189</v>
      </c>
      <c r="O26" s="1377">
        <f t="shared" si="11"/>
        <v>5394.4664188774441</v>
      </c>
      <c r="P26" s="374">
        <f>[4]Data!$I388</f>
        <v>1240116</v>
      </c>
      <c r="U26" s="374">
        <f t="shared" si="1"/>
        <v>1240116</v>
      </c>
      <c r="V26" s="132"/>
      <c r="X26" s="971">
        <f>[5]Dec!J21</f>
        <v>37.6</v>
      </c>
      <c r="Y26" s="971">
        <f>[5]Dec!K21</f>
        <v>45.2</v>
      </c>
      <c r="Z26" s="1065">
        <f>[5]Dec!L21</f>
        <v>40.1</v>
      </c>
      <c r="AA26" s="499">
        <f t="shared" si="24"/>
        <v>37996</v>
      </c>
      <c r="AB26" s="499"/>
      <c r="AD26" s="1527">
        <f>A28</f>
        <v>1995</v>
      </c>
      <c r="AE26" s="1446">
        <f>O28</f>
        <v>5635.634411888911</v>
      </c>
      <c r="AF26" s="1447">
        <f>U28</f>
        <v>1284916</v>
      </c>
      <c r="AG26" s="1520">
        <f t="shared" ref="AG26:AG38" si="25">X28</f>
        <v>37</v>
      </c>
      <c r="AH26" s="1520">
        <f t="shared" ref="AH26:AH38" si="26">Y28</f>
        <v>40.1</v>
      </c>
      <c r="AI26" s="1449">
        <v>0</v>
      </c>
      <c r="AJ26" s="1449">
        <v>0</v>
      </c>
      <c r="AK26" s="1449">
        <f t="shared" si="15"/>
        <v>5741</v>
      </c>
      <c r="AL26" s="1449">
        <f t="shared" si="16"/>
        <v>-105.36558811108898</v>
      </c>
      <c r="AM26" s="1449"/>
      <c r="AN26" s="1449"/>
      <c r="AO26" s="1040"/>
      <c r="AP26" s="1453"/>
      <c r="AQ26" s="1456">
        <f t="shared" si="12"/>
        <v>241.16799301146693</v>
      </c>
      <c r="AR26" s="1533"/>
      <c r="AS26" s="1533"/>
      <c r="AT26" s="1544"/>
      <c r="AU26" s="1544"/>
      <c r="AV26" s="1544"/>
      <c r="AW26" s="1055"/>
      <c r="AX26" s="1055"/>
      <c r="AY26" s="1055"/>
      <c r="AZ26" s="1040"/>
      <c r="BA26" s="1040"/>
      <c r="BB26" s="1445"/>
      <c r="BC26" s="1445">
        <f t="shared" si="17"/>
        <v>1995</v>
      </c>
      <c r="BD26" s="1449">
        <f t="shared" si="7"/>
        <v>5436</v>
      </c>
      <c r="BE26" s="1446">
        <f t="shared" si="8"/>
        <v>5635.634411888911</v>
      </c>
      <c r="BF26" s="1553">
        <f t="shared" si="13"/>
        <v>-199.63441188891102</v>
      </c>
      <c r="BG26" s="1446">
        <f t="shared" si="9"/>
        <v>5741</v>
      </c>
      <c r="BH26" s="1553">
        <f t="shared" si="14"/>
        <v>-305</v>
      </c>
    </row>
    <row r="27" spans="1:60">
      <c r="A27" s="123">
        <v>1994</v>
      </c>
      <c r="B27" s="139">
        <v>34673</v>
      </c>
      <c r="C27" s="894">
        <v>19</v>
      </c>
      <c r="D27" s="346" t="str">
        <f t="shared" si="18"/>
        <v>Mon</v>
      </c>
      <c r="E27" s="133">
        <f>[7]MoCoinMW!F64</f>
        <v>4487</v>
      </c>
      <c r="F27" s="133">
        <f>[7]MoCoinMW!G64</f>
        <v>4109.4172325583022</v>
      </c>
      <c r="G27" s="164">
        <f>SUM([6]Hist!M184:O184)</f>
        <v>0</v>
      </c>
      <c r="H27" s="164">
        <f>[6]Hist!L184</f>
        <v>0</v>
      </c>
      <c r="I27" s="164">
        <f>[6]Hist!P184</f>
        <v>0</v>
      </c>
      <c r="J27" s="133">
        <f t="shared" si="2"/>
        <v>4109.4172325583022</v>
      </c>
      <c r="K27" s="164">
        <f>[6]Hist!U184</f>
        <v>164</v>
      </c>
      <c r="L27" s="164">
        <f>[6]Hist!V184</f>
        <v>65.5</v>
      </c>
      <c r="M27" s="133">
        <f t="shared" si="10"/>
        <v>4273.4172325583022</v>
      </c>
      <c r="N27" s="164">
        <f>[6]Hist!AA184</f>
        <v>277</v>
      </c>
      <c r="O27" s="1377">
        <f t="shared" si="11"/>
        <v>3766.9172325583022</v>
      </c>
      <c r="P27" s="374">
        <f>[4]Data!$I389</f>
        <v>1264866</v>
      </c>
      <c r="U27" s="374">
        <f t="shared" si="1"/>
        <v>1264866</v>
      </c>
      <c r="W27" s="132">
        <f t="shared" ref="W27:W58" si="27">U27-U26</f>
        <v>24750</v>
      </c>
      <c r="X27" s="339">
        <f>[5]Dec!J22</f>
        <v>72.900000000000006</v>
      </c>
      <c r="Y27" s="895">
        <f>[5]Dec!K22</f>
        <v>73</v>
      </c>
      <c r="Z27" s="284">
        <f>[5]Dec!L22</f>
        <v>72.900000000000006</v>
      </c>
      <c r="AA27" s="499">
        <f t="shared" si="24"/>
        <v>24750</v>
      </c>
      <c r="AB27" s="499"/>
      <c r="AD27" s="1527">
        <f t="shared" ref="AD27:AD35" si="28">A29</f>
        <v>1996</v>
      </c>
      <c r="AE27" s="1446">
        <f t="shared" ref="AE27:AE35" si="29">O29</f>
        <v>5924.5996586953634</v>
      </c>
      <c r="AF27" s="1447">
        <f t="shared" ref="AF27:AF35" si="30">U29</f>
        <v>1320771</v>
      </c>
      <c r="AG27" s="1520">
        <f t="shared" si="25"/>
        <v>41.5</v>
      </c>
      <c r="AH27" s="1520">
        <f t="shared" si="26"/>
        <v>38.1</v>
      </c>
      <c r="AI27" s="1449">
        <v>1</v>
      </c>
      <c r="AJ27" s="1449">
        <v>0</v>
      </c>
      <c r="AK27" s="1449">
        <f t="shared" si="15"/>
        <v>5958</v>
      </c>
      <c r="AL27" s="1449">
        <f t="shared" si="16"/>
        <v>-33.40034130463664</v>
      </c>
      <c r="AM27" s="1449"/>
      <c r="AN27" s="1449"/>
      <c r="AO27" s="1040"/>
      <c r="AP27" s="1453"/>
      <c r="AQ27" s="1456">
        <f t="shared" si="12"/>
        <v>288.96524680645234</v>
      </c>
      <c r="AR27" s="1534"/>
      <c r="AS27" s="1534"/>
      <c r="AT27" s="1545"/>
      <c r="AU27" s="1534"/>
      <c r="AV27" s="1546"/>
      <c r="AW27" s="1055"/>
      <c r="AX27" s="1055"/>
      <c r="AY27" s="1055"/>
      <c r="AZ27" s="1040"/>
      <c r="BA27" s="1040"/>
      <c r="BB27" s="1445"/>
      <c r="BC27" s="1445">
        <f t="shared" si="17"/>
        <v>1996</v>
      </c>
      <c r="BD27" s="1449">
        <f t="shared" si="7"/>
        <v>5919</v>
      </c>
      <c r="BE27" s="1446">
        <f t="shared" si="8"/>
        <v>5924.5996586953634</v>
      </c>
      <c r="BF27" s="1553">
        <f t="shared" si="13"/>
        <v>-5.5996586953633596</v>
      </c>
      <c r="BG27" s="1446">
        <f t="shared" si="9"/>
        <v>5958</v>
      </c>
      <c r="BH27" s="1553">
        <f t="shared" si="14"/>
        <v>-39</v>
      </c>
    </row>
    <row r="28" spans="1:60">
      <c r="A28" s="123">
        <v>1995</v>
      </c>
      <c r="B28" s="139">
        <v>35058</v>
      </c>
      <c r="C28" s="131">
        <v>9</v>
      </c>
      <c r="D28" s="346" t="str">
        <f t="shared" si="18"/>
        <v>Mon</v>
      </c>
      <c r="E28" s="133">
        <f>[7]MoCoinMW!F76</f>
        <v>6977</v>
      </c>
      <c r="F28" s="133">
        <f>[7]MoCoinMW!G76</f>
        <v>5910.134411888911</v>
      </c>
      <c r="G28" s="164">
        <f>SUM([6]Hist!M196:O196)</f>
        <v>0</v>
      </c>
      <c r="H28" s="164">
        <f>[6]Hist!L196</f>
        <v>0</v>
      </c>
      <c r="I28" s="164">
        <f>[6]Hist!P196</f>
        <v>0</v>
      </c>
      <c r="J28" s="133">
        <f t="shared" si="2"/>
        <v>5910.134411888911</v>
      </c>
      <c r="K28" s="164">
        <f>[6]Hist!U196</f>
        <v>187</v>
      </c>
      <c r="L28" s="164">
        <f>[6]Hist!V196</f>
        <v>65.5</v>
      </c>
      <c r="M28" s="133">
        <f t="shared" si="10"/>
        <v>6097.134411888911</v>
      </c>
      <c r="N28" s="164">
        <f>[6]Hist!AA196</f>
        <v>209</v>
      </c>
      <c r="O28" s="1377">
        <f t="shared" si="11"/>
        <v>5635.634411888911</v>
      </c>
      <c r="P28" s="814">
        <f>'[12]1996'!$K$115-[4]Data!$G$390</f>
        <v>1284916</v>
      </c>
      <c r="U28" s="374">
        <f t="shared" si="1"/>
        <v>1284916</v>
      </c>
      <c r="W28" s="132">
        <f t="shared" si="27"/>
        <v>20050</v>
      </c>
      <c r="X28" s="971">
        <f>[5]Dec!J23</f>
        <v>37</v>
      </c>
      <c r="Y28" s="971">
        <f>[5]Dec!K23</f>
        <v>40.1</v>
      </c>
      <c r="Z28" s="1067">
        <f>[5]Dec!L23</f>
        <v>38</v>
      </c>
      <c r="AA28" s="499">
        <f t="shared" si="24"/>
        <v>20050</v>
      </c>
      <c r="AB28" s="499"/>
      <c r="AD28" s="1527">
        <f t="shared" si="28"/>
        <v>1997</v>
      </c>
      <c r="AE28" s="1446">
        <f t="shared" si="29"/>
        <v>5494.7459326250137</v>
      </c>
      <c r="AF28" s="1447">
        <f t="shared" si="30"/>
        <v>1338723</v>
      </c>
      <c r="AG28" s="1520">
        <f t="shared" si="25"/>
        <v>49.3</v>
      </c>
      <c r="AH28" s="1520">
        <f t="shared" si="26"/>
        <v>49.6</v>
      </c>
      <c r="AI28" s="1449">
        <v>1</v>
      </c>
      <c r="AJ28" s="1449">
        <v>0</v>
      </c>
      <c r="AK28" s="1449">
        <f t="shared" si="15"/>
        <v>4829</v>
      </c>
      <c r="AL28" s="1449">
        <f t="shared" si="16"/>
        <v>665.74593262501367</v>
      </c>
      <c r="AM28" s="1449"/>
      <c r="AN28" s="1449"/>
      <c r="AO28" s="1040"/>
      <c r="AP28" s="1451"/>
      <c r="AQ28" s="1456">
        <f t="shared" si="12"/>
        <v>-429.85372607034969</v>
      </c>
      <c r="AR28" s="1535"/>
      <c r="AS28" s="1535"/>
      <c r="AT28" s="1547"/>
      <c r="AU28" s="1535"/>
      <c r="AV28" s="1535"/>
      <c r="AW28" s="1055"/>
      <c r="AX28" s="1055"/>
      <c r="AY28" s="1055"/>
      <c r="AZ28" s="1040"/>
      <c r="BA28" s="1040"/>
      <c r="BB28" s="1445"/>
      <c r="BC28" s="1445">
        <f t="shared" si="17"/>
        <v>1997</v>
      </c>
      <c r="BD28" s="1449">
        <f t="shared" si="7"/>
        <v>6002</v>
      </c>
      <c r="BE28" s="1446">
        <f t="shared" si="8"/>
        <v>5494.7459326250137</v>
      </c>
      <c r="BF28" s="1553">
        <f t="shared" si="13"/>
        <v>507.25406737498633</v>
      </c>
      <c r="BG28" s="1446">
        <f t="shared" si="9"/>
        <v>4829</v>
      </c>
      <c r="BH28" s="1553">
        <f t="shared" si="14"/>
        <v>1173</v>
      </c>
    </row>
    <row r="29" spans="1:60">
      <c r="A29" s="123">
        <v>1996</v>
      </c>
      <c r="B29" s="139">
        <v>35419</v>
      </c>
      <c r="C29" s="894">
        <v>19</v>
      </c>
      <c r="D29" s="346" t="str">
        <f t="shared" si="18"/>
        <v>Fri</v>
      </c>
      <c r="E29" s="133">
        <f>[7]MoCoinMW!F88</f>
        <v>7286</v>
      </c>
      <c r="F29" s="133">
        <f>[7]MoCoinMW!G88</f>
        <v>6295.0996586953634</v>
      </c>
      <c r="G29" s="164">
        <f>SUM([6]Hist!M208:O208)</f>
        <v>0</v>
      </c>
      <c r="H29" s="164">
        <f>[6]Hist!L208</f>
        <v>0</v>
      </c>
      <c r="I29" s="164">
        <f>[6]Hist!P208</f>
        <v>0</v>
      </c>
      <c r="J29" s="133">
        <f t="shared" si="2"/>
        <v>6295.0996586953634</v>
      </c>
      <c r="K29" s="164">
        <f>[6]Hist!U208</f>
        <v>215</v>
      </c>
      <c r="L29" s="164">
        <f>[6]Hist!V208</f>
        <v>71.5</v>
      </c>
      <c r="M29" s="133">
        <f t="shared" si="10"/>
        <v>6510.0996586953634</v>
      </c>
      <c r="N29" s="164">
        <f>[6]Hist!AA208</f>
        <v>299</v>
      </c>
      <c r="O29" s="1377">
        <f t="shared" si="11"/>
        <v>5924.5996586953634</v>
      </c>
      <c r="P29" s="814">
        <f>[8]FCST!$BN3</f>
        <v>1320771</v>
      </c>
      <c r="R29" s="677" t="s">
        <v>336</v>
      </c>
      <c r="U29" s="374">
        <f t="shared" si="1"/>
        <v>1320771</v>
      </c>
      <c r="W29" s="132">
        <f t="shared" si="27"/>
        <v>35855</v>
      </c>
      <c r="X29" s="971">
        <f>[5]Dec!J24</f>
        <v>41.5</v>
      </c>
      <c r="Y29" s="971">
        <f>[5]Dec!K24</f>
        <v>38.1</v>
      </c>
      <c r="Z29" s="970">
        <f>[5]Dec!L24</f>
        <v>40.4</v>
      </c>
      <c r="AA29" s="499">
        <f t="shared" si="24"/>
        <v>35855</v>
      </c>
      <c r="AB29" s="499"/>
      <c r="AD29" s="1527">
        <f t="shared" si="28"/>
        <v>1998</v>
      </c>
      <c r="AE29" s="1446">
        <f t="shared" si="29"/>
        <v>4769.6460802379625</v>
      </c>
      <c r="AF29" s="1447">
        <f t="shared" si="30"/>
        <v>1356836</v>
      </c>
      <c r="AG29" s="1520">
        <f t="shared" si="25"/>
        <v>43.4</v>
      </c>
      <c r="AH29" s="1520">
        <f t="shared" si="26"/>
        <v>55.4</v>
      </c>
      <c r="AI29" s="1449">
        <v>0</v>
      </c>
      <c r="AJ29" s="1449">
        <v>0</v>
      </c>
      <c r="AK29" s="1449">
        <f t="shared" si="15"/>
        <v>4784</v>
      </c>
      <c r="AL29" s="1449">
        <f t="shared" si="16"/>
        <v>-14.353919762037549</v>
      </c>
      <c r="AM29" s="1449"/>
      <c r="AN29" s="1449"/>
      <c r="AO29" s="1040"/>
      <c r="AP29" s="1454"/>
      <c r="AQ29" s="1456">
        <f t="shared" si="12"/>
        <v>-725.09985238705121</v>
      </c>
      <c r="AR29" s="1536"/>
      <c r="AS29" s="1536"/>
      <c r="AT29" s="1548"/>
      <c r="AU29" s="1548"/>
      <c r="AV29" s="1548"/>
      <c r="AW29" s="1549"/>
      <c r="AX29" s="1549"/>
      <c r="AY29" s="1549"/>
      <c r="AZ29" s="1040"/>
      <c r="BA29" s="1040"/>
      <c r="BB29" s="1445"/>
      <c r="BC29" s="1445">
        <f t="shared" si="17"/>
        <v>1998</v>
      </c>
      <c r="BD29" s="1449">
        <f t="shared" si="7"/>
        <v>5766</v>
      </c>
      <c r="BE29" s="1446">
        <f t="shared" si="8"/>
        <v>4769.6460802379625</v>
      </c>
      <c r="BF29" s="1553">
        <f t="shared" si="13"/>
        <v>996.35391976203755</v>
      </c>
      <c r="BG29" s="1446">
        <f t="shared" si="9"/>
        <v>4784</v>
      </c>
      <c r="BH29" s="1553">
        <f t="shared" si="14"/>
        <v>982</v>
      </c>
    </row>
    <row r="30" spans="1:60">
      <c r="A30" s="123">
        <v>1997</v>
      </c>
      <c r="B30" s="139">
        <v>35779</v>
      </c>
      <c r="C30" s="894">
        <v>19</v>
      </c>
      <c r="D30" s="346" t="str">
        <f t="shared" si="18"/>
        <v>Mon</v>
      </c>
      <c r="E30" s="133">
        <f>[7]MoCoinMW!F100</f>
        <v>6608</v>
      </c>
      <c r="F30" s="133">
        <f>[7]MoCoinMW!G100</f>
        <v>5814.845932625014</v>
      </c>
      <c r="G30" s="164">
        <f>SUM([6]Hist!M220:O220)</f>
        <v>0</v>
      </c>
      <c r="H30" s="164">
        <f>[6]Hist!L220</f>
        <v>0</v>
      </c>
      <c r="I30" s="164">
        <f>[6]Hist!P220</f>
        <v>0</v>
      </c>
      <c r="J30" s="133">
        <f t="shared" si="2"/>
        <v>5814.845932625014</v>
      </c>
      <c r="K30" s="164">
        <f>[6]Hist!U220</f>
        <v>233.5</v>
      </c>
      <c r="L30" s="164">
        <f>[6]Hist!V220</f>
        <v>71.5</v>
      </c>
      <c r="M30" s="133">
        <f t="shared" si="10"/>
        <v>6048.345932625014</v>
      </c>
      <c r="N30" s="164">
        <f>[6]Hist!AA220</f>
        <v>248.6</v>
      </c>
      <c r="O30" s="1377">
        <f t="shared" si="11"/>
        <v>5494.7459326250137</v>
      </c>
      <c r="P30" s="132">
        <f>[8]FCST!$BN4</f>
        <v>1332215</v>
      </c>
      <c r="R30" s="123">
        <f>[9]Sheet1!$R$18</f>
        <v>6508</v>
      </c>
      <c r="U30" s="374">
        <f>P30-Q30+R30</f>
        <v>1338723</v>
      </c>
      <c r="W30" s="132">
        <f t="shared" si="27"/>
        <v>17952</v>
      </c>
      <c r="X30" s="971">
        <f>[5]Dec!J25</f>
        <v>49.3</v>
      </c>
      <c r="Y30" s="971">
        <f>[5]Dec!K25</f>
        <v>49.6</v>
      </c>
      <c r="Z30" s="970">
        <f>[5]Dec!L25</f>
        <v>49.4</v>
      </c>
      <c r="AA30" s="499">
        <f t="shared" si="24"/>
        <v>17952</v>
      </c>
      <c r="AB30" s="499"/>
      <c r="AD30" s="1527">
        <f t="shared" si="28"/>
        <v>1999</v>
      </c>
      <c r="AE30" s="1446">
        <f t="shared" si="29"/>
        <v>5706.8</v>
      </c>
      <c r="AF30" s="1447">
        <f t="shared" si="30"/>
        <v>1385613</v>
      </c>
      <c r="AG30" s="1520">
        <f t="shared" si="25"/>
        <v>40.4</v>
      </c>
      <c r="AH30" s="1520">
        <f t="shared" si="26"/>
        <v>49.5</v>
      </c>
      <c r="AI30" s="1449">
        <v>0</v>
      </c>
      <c r="AJ30" s="1449">
        <v>0</v>
      </c>
      <c r="AK30" s="1449">
        <f t="shared" si="15"/>
        <v>5456</v>
      </c>
      <c r="AL30" s="1449">
        <f t="shared" si="16"/>
        <v>250.80000000000018</v>
      </c>
      <c r="AM30" s="1449"/>
      <c r="AN30" s="1449"/>
      <c r="AO30" s="1040"/>
      <c r="AP30" s="1453"/>
      <c r="AQ30" s="1456">
        <f t="shared" si="12"/>
        <v>937.15391976203773</v>
      </c>
      <c r="AR30" s="1535"/>
      <c r="AS30" s="1537"/>
      <c r="AT30" s="1548"/>
      <c r="AU30" s="1548"/>
      <c r="AV30" s="1548"/>
      <c r="AW30" s="1035"/>
      <c r="AX30" s="1035"/>
      <c r="AY30" s="1035"/>
      <c r="AZ30" s="1040"/>
      <c r="BA30" s="1040"/>
      <c r="BB30" s="1445"/>
      <c r="BC30" s="1445">
        <f t="shared" si="17"/>
        <v>1999</v>
      </c>
      <c r="BD30" s="1449">
        <f t="shared" si="7"/>
        <v>5898</v>
      </c>
      <c r="BE30" s="1446">
        <f t="shared" si="8"/>
        <v>5706.8</v>
      </c>
      <c r="BF30" s="1553">
        <f t="shared" si="13"/>
        <v>191.19999999999982</v>
      </c>
      <c r="BG30" s="1446">
        <f t="shared" si="9"/>
        <v>5456</v>
      </c>
      <c r="BH30" s="1553">
        <f t="shared" si="14"/>
        <v>442</v>
      </c>
    </row>
    <row r="31" spans="1:60">
      <c r="A31" s="123">
        <v>1998</v>
      </c>
      <c r="B31" s="139">
        <v>36147</v>
      </c>
      <c r="C31" s="131">
        <v>8</v>
      </c>
      <c r="D31" s="346" t="str">
        <f t="shared" si="18"/>
        <v>Fri</v>
      </c>
      <c r="E31" s="133">
        <f>[7]MoCoinMW!F112</f>
        <v>5948</v>
      </c>
      <c r="F31" s="133">
        <f>[7]MoCoinMW!G112</f>
        <v>5188.6460802379625</v>
      </c>
      <c r="G31" s="164">
        <f>SUM([6]Hist!M232:O232)</f>
        <v>0</v>
      </c>
      <c r="H31" s="164">
        <f>[6]Hist!L232</f>
        <v>0</v>
      </c>
      <c r="I31" s="164">
        <f>[6]Hist!P232</f>
        <v>0</v>
      </c>
      <c r="J31" s="133">
        <f t="shared" si="2"/>
        <v>5188.6460802379625</v>
      </c>
      <c r="K31" s="164">
        <f>[6]Hist!U232</f>
        <v>291</v>
      </c>
      <c r="L31" s="164">
        <f>[6]Hist!V232</f>
        <v>75</v>
      </c>
      <c r="M31" s="133">
        <f t="shared" si="10"/>
        <v>5479.6460802379625</v>
      </c>
      <c r="N31" s="164">
        <f>'Interruptible Forecast'!AS9</f>
        <v>344</v>
      </c>
      <c r="O31" s="1377">
        <f t="shared" si="11"/>
        <v>4769.6460802379625</v>
      </c>
      <c r="P31" s="132">
        <f>[8]FCST!$BN5</f>
        <v>1356713</v>
      </c>
      <c r="Q31" s="463">
        <f>[8]FCST!$DP5</f>
        <v>6511</v>
      </c>
      <c r="R31" s="123">
        <f>[9]Sheet1!$R$30</f>
        <v>6634</v>
      </c>
      <c r="U31" s="374">
        <f>P31-Q31+R$31</f>
        <v>1356836</v>
      </c>
      <c r="W31" s="132">
        <f t="shared" si="27"/>
        <v>18113</v>
      </c>
      <c r="X31" s="1061">
        <f>[5]Dec!J26</f>
        <v>43.4</v>
      </c>
      <c r="Y31" s="1061">
        <f>[5]Dec!K26</f>
        <v>55.4</v>
      </c>
      <c r="Z31" s="696">
        <f>[5]Dec!L26</f>
        <v>47.3</v>
      </c>
      <c r="AA31" s="499">
        <f t="shared" si="24"/>
        <v>18113</v>
      </c>
      <c r="AB31" s="499"/>
      <c r="AD31" s="1527">
        <f t="shared" si="28"/>
        <v>2000</v>
      </c>
      <c r="AE31" s="1446">
        <f t="shared" si="29"/>
        <v>7158.3</v>
      </c>
      <c r="AF31" s="1447">
        <f t="shared" si="30"/>
        <v>1421916</v>
      </c>
      <c r="AG31" s="1520">
        <f t="shared" si="25"/>
        <v>29.4</v>
      </c>
      <c r="AH31" s="1520">
        <f t="shared" si="26"/>
        <v>39.799999999999997</v>
      </c>
      <c r="AI31" s="1449">
        <v>1</v>
      </c>
      <c r="AJ31" s="1449">
        <v>1</v>
      </c>
      <c r="AK31" s="1449">
        <f t="shared" si="15"/>
        <v>7418</v>
      </c>
      <c r="AL31" s="1449">
        <f t="shared" si="16"/>
        <v>-259.69999999999982</v>
      </c>
      <c r="AM31" s="1449"/>
      <c r="AN31" s="1449"/>
      <c r="AO31" s="1040"/>
      <c r="AP31" s="1453"/>
      <c r="AQ31" s="1456">
        <f t="shared" si="12"/>
        <v>1451.5</v>
      </c>
      <c r="AR31" s="1537"/>
      <c r="AS31" s="1537"/>
      <c r="AT31" s="1548"/>
      <c r="AU31" s="1548"/>
      <c r="AV31" s="1548"/>
      <c r="AW31" s="1035"/>
      <c r="AX31" s="1035"/>
      <c r="AY31" s="1035"/>
      <c r="AZ31" s="1040"/>
      <c r="BA31" s="1040"/>
      <c r="BB31" s="1445"/>
      <c r="BC31" s="1445">
        <f t="shared" si="17"/>
        <v>2000</v>
      </c>
      <c r="BD31" s="1449">
        <f t="shared" si="7"/>
        <v>6478</v>
      </c>
      <c r="BE31" s="1446">
        <f t="shared" si="8"/>
        <v>7158.3</v>
      </c>
      <c r="BF31" s="1553">
        <f t="shared" si="13"/>
        <v>-680.30000000000018</v>
      </c>
      <c r="BG31" s="1446">
        <f t="shared" si="9"/>
        <v>7418</v>
      </c>
      <c r="BH31" s="1553">
        <f t="shared" si="14"/>
        <v>-940</v>
      </c>
    </row>
    <row r="32" spans="1:60">
      <c r="A32" s="123">
        <v>1999</v>
      </c>
      <c r="B32" s="139">
        <v>36496</v>
      </c>
      <c r="C32" s="123">
        <v>8</v>
      </c>
      <c r="D32" s="346" t="str">
        <f t="shared" si="18"/>
        <v>Thu</v>
      </c>
      <c r="E32" s="133">
        <f>[7]MoCoinMW!F124</f>
        <v>7414</v>
      </c>
      <c r="F32" s="133">
        <f>[7]MoCoinMW!G124</f>
        <v>6034.8</v>
      </c>
      <c r="G32" s="164">
        <f>SUM([6]Hist!M244:O244)</f>
        <v>0</v>
      </c>
      <c r="H32" s="164">
        <f>[6]Hist!L244</f>
        <v>0</v>
      </c>
      <c r="I32" s="164">
        <f>[6]Hist!P244</f>
        <v>0</v>
      </c>
      <c r="J32" s="133">
        <f t="shared" si="2"/>
        <v>6034.8</v>
      </c>
      <c r="K32" s="164">
        <f>[6]Hist!U244</f>
        <v>325</v>
      </c>
      <c r="L32" s="164">
        <f>[6]Hist!V244</f>
        <v>75</v>
      </c>
      <c r="M32" s="133">
        <f t="shared" si="10"/>
        <v>6359.8</v>
      </c>
      <c r="N32" s="164">
        <f>'Interruptible Forecast'!AS10</f>
        <v>253</v>
      </c>
      <c r="O32" s="1377">
        <f t="shared" si="11"/>
        <v>5706.8</v>
      </c>
      <c r="P32" s="132">
        <f>[8]FCST!$BN6</f>
        <v>1389466</v>
      </c>
      <c r="Q32" s="463">
        <f>[8]FCST!$DP6</f>
        <v>10487</v>
      </c>
      <c r="U32" s="374">
        <f t="shared" ref="U32:U58" si="31">P32-Q32+R$31</f>
        <v>1385613</v>
      </c>
      <c r="W32" s="132">
        <f t="shared" si="27"/>
        <v>28777</v>
      </c>
      <c r="X32" s="971">
        <f>[5]Dec!J27</f>
        <v>40.4</v>
      </c>
      <c r="Y32" s="971">
        <f>[5]Dec!K27</f>
        <v>49.5</v>
      </c>
      <c r="Z32" s="970">
        <f>[5]Dec!L27</f>
        <v>43.4</v>
      </c>
      <c r="AA32" s="499">
        <f t="shared" si="24"/>
        <v>28777</v>
      </c>
      <c r="AB32" s="499"/>
      <c r="AD32" s="1527">
        <f t="shared" si="28"/>
        <v>2001</v>
      </c>
      <c r="AE32" s="1446">
        <f t="shared" si="29"/>
        <v>5554.6</v>
      </c>
      <c r="AF32" s="1447">
        <f t="shared" si="30"/>
        <v>1450810</v>
      </c>
      <c r="AG32" s="1520">
        <f t="shared" si="25"/>
        <v>44.2</v>
      </c>
      <c r="AH32" s="1520">
        <f t="shared" si="26"/>
        <v>47.4</v>
      </c>
      <c r="AI32" s="1449">
        <v>0</v>
      </c>
      <c r="AJ32" s="1449">
        <v>0</v>
      </c>
      <c r="AK32" s="1449">
        <f t="shared" si="15"/>
        <v>5551</v>
      </c>
      <c r="AL32" s="1449">
        <f t="shared" si="16"/>
        <v>3.6000000000003638</v>
      </c>
      <c r="AM32" s="1449"/>
      <c r="AN32" s="1449"/>
      <c r="AO32" s="1449"/>
      <c r="AP32" s="1453"/>
      <c r="AQ32" s="1456">
        <f t="shared" si="12"/>
        <v>-1603.6999999999998</v>
      </c>
      <c r="AR32" s="1538"/>
      <c r="AS32" s="1538"/>
      <c r="AT32" s="1538"/>
      <c r="AU32" s="1538"/>
      <c r="AV32" s="1538"/>
      <c r="AW32" s="1035"/>
      <c r="AX32" s="1035"/>
      <c r="AY32" s="1035"/>
      <c r="AZ32" s="1040"/>
      <c r="BA32" s="1040"/>
      <c r="BB32" s="1445"/>
      <c r="BC32" s="1445">
        <f t="shared" si="17"/>
        <v>2001</v>
      </c>
      <c r="BD32" s="1449">
        <f t="shared" si="7"/>
        <v>6198</v>
      </c>
      <c r="BE32" s="1446">
        <f t="shared" si="8"/>
        <v>5554.6</v>
      </c>
      <c r="BF32" s="1553">
        <f t="shared" si="13"/>
        <v>643.39999999999964</v>
      </c>
      <c r="BG32" s="1446">
        <f t="shared" si="9"/>
        <v>5551</v>
      </c>
      <c r="BH32" s="1553">
        <f t="shared" si="14"/>
        <v>647</v>
      </c>
    </row>
    <row r="33" spans="1:60">
      <c r="A33" s="123">
        <v>2000</v>
      </c>
      <c r="B33" s="139">
        <v>36891</v>
      </c>
      <c r="C33" s="123">
        <v>8</v>
      </c>
      <c r="D33" s="915" t="str">
        <f t="shared" si="18"/>
        <v>Sun</v>
      </c>
      <c r="E33" s="133">
        <f>[7]MoCoinMW!F136</f>
        <v>9187</v>
      </c>
      <c r="F33" s="133">
        <f>[7]MoCoinMW!G136</f>
        <v>7393.3</v>
      </c>
      <c r="G33" s="164">
        <f>SUM([6]Hist!M256:O256)</f>
        <v>71</v>
      </c>
      <c r="H33" s="164">
        <f>[6]Hist!L256</f>
        <v>0</v>
      </c>
      <c r="I33" s="164">
        <f>[6]Hist!P256</f>
        <v>0</v>
      </c>
      <c r="J33" s="133">
        <f t="shared" si="2"/>
        <v>7464.3</v>
      </c>
      <c r="K33" s="164">
        <f>[6]Hist!U256</f>
        <v>351</v>
      </c>
      <c r="L33" s="164">
        <f>[6]Hist!V256</f>
        <v>75</v>
      </c>
      <c r="M33" s="133">
        <f t="shared" si="10"/>
        <v>7815.3</v>
      </c>
      <c r="N33" s="164">
        <f>'Interruptible Forecast'!AS11</f>
        <v>231</v>
      </c>
      <c r="O33" s="1377">
        <f t="shared" si="11"/>
        <v>7158.3</v>
      </c>
      <c r="P33" s="132">
        <f>[8]FCST!$BN7</f>
        <v>1427527</v>
      </c>
      <c r="Q33" s="463">
        <f>[8]FCST!$DP7</f>
        <v>12245</v>
      </c>
      <c r="U33" s="374">
        <f t="shared" si="31"/>
        <v>1421916</v>
      </c>
      <c r="W33" s="132">
        <f t="shared" si="27"/>
        <v>36303</v>
      </c>
      <c r="X33" s="971">
        <f>[5]Dec!J28</f>
        <v>29.4</v>
      </c>
      <c r="Y33" s="971">
        <f>[5]Dec!K28</f>
        <v>39.799999999999997</v>
      </c>
      <c r="Z33" s="972">
        <f>[5]Dec!L28</f>
        <v>32.9</v>
      </c>
      <c r="AA33" s="499">
        <f t="shared" si="24"/>
        <v>36303</v>
      </c>
      <c r="AB33" s="499"/>
      <c r="AD33" s="1527">
        <f t="shared" si="28"/>
        <v>2002</v>
      </c>
      <c r="AE33" s="1446">
        <f t="shared" si="29"/>
        <v>6421.3</v>
      </c>
      <c r="AF33" s="1447">
        <f t="shared" si="30"/>
        <v>1482281</v>
      </c>
      <c r="AG33" s="1520">
        <f t="shared" si="25"/>
        <v>43</v>
      </c>
      <c r="AH33" s="1520">
        <f t="shared" si="26"/>
        <v>46.5</v>
      </c>
      <c r="AI33" s="1449">
        <v>0</v>
      </c>
      <c r="AJ33" s="1445">
        <v>1</v>
      </c>
      <c r="AK33" s="1449">
        <f t="shared" si="15"/>
        <v>5932</v>
      </c>
      <c r="AL33" s="1449">
        <f t="shared" si="16"/>
        <v>489.30000000000018</v>
      </c>
      <c r="AM33" s="1449"/>
      <c r="AN33" s="1449"/>
      <c r="AO33" s="1449"/>
      <c r="AP33" s="1455"/>
      <c r="AQ33" s="1456">
        <f t="shared" si="12"/>
        <v>866.69999999999982</v>
      </c>
      <c r="AR33" s="1035"/>
      <c r="AS33" s="1035"/>
      <c r="AT33" s="1035"/>
      <c r="AU33" s="1035"/>
      <c r="AV33" s="1035"/>
      <c r="AW33" s="1035"/>
      <c r="AX33" s="1035"/>
      <c r="AY33" s="1035"/>
      <c r="AZ33" s="1040"/>
      <c r="BA33" s="1040"/>
      <c r="BB33" s="1445"/>
      <c r="BC33" s="1445">
        <f t="shared" si="17"/>
        <v>2002</v>
      </c>
      <c r="BD33" s="1449">
        <f t="shared" si="7"/>
        <v>6436</v>
      </c>
      <c r="BE33" s="1446">
        <f t="shared" si="8"/>
        <v>6421.3</v>
      </c>
      <c r="BF33" s="1553">
        <f t="shared" si="13"/>
        <v>14.699999999999818</v>
      </c>
      <c r="BG33" s="1446">
        <f t="shared" si="9"/>
        <v>5932</v>
      </c>
      <c r="BH33" s="1553">
        <f t="shared" si="14"/>
        <v>504</v>
      </c>
    </row>
    <row r="34" spans="1:60">
      <c r="A34" s="123">
        <v>2001</v>
      </c>
      <c r="B34" s="139">
        <v>37252</v>
      </c>
      <c r="C34" s="123">
        <v>9</v>
      </c>
      <c r="D34" s="346" t="str">
        <f t="shared" ref="D34:D39" si="32">TEXT(WEEKDAY(B34),"ddd")</f>
        <v>Thu</v>
      </c>
      <c r="E34" s="133">
        <f>[7]MoCoinMW!F148</f>
        <v>6465</v>
      </c>
      <c r="F34" s="133">
        <f>[7]MoCoinMW!G148</f>
        <v>5883.6</v>
      </c>
      <c r="G34" s="164">
        <f>SUM([6]Hist!M268:O268)</f>
        <v>0</v>
      </c>
      <c r="H34" s="164">
        <f>[6]Hist!L268</f>
        <v>0</v>
      </c>
      <c r="I34" s="164">
        <f>[6]Hist!P268</f>
        <v>0</v>
      </c>
      <c r="J34" s="133">
        <f t="shared" si="2"/>
        <v>5883.6</v>
      </c>
      <c r="K34" s="164">
        <f>[6]Hist!U268</f>
        <v>376</v>
      </c>
      <c r="L34" s="164">
        <f>[6]Hist!V268</f>
        <v>75</v>
      </c>
      <c r="M34" s="133">
        <f t="shared" si="10"/>
        <v>6259.6</v>
      </c>
      <c r="N34" s="164">
        <f>'Interruptible Forecast'!AS12</f>
        <v>254</v>
      </c>
      <c r="O34" s="1377">
        <f t="shared" si="11"/>
        <v>5554.6</v>
      </c>
      <c r="P34" s="132">
        <f>[8]FCST!$BN8</f>
        <v>1459199</v>
      </c>
      <c r="Q34" s="463">
        <f>[8]FCST!$DP8</f>
        <v>15023</v>
      </c>
      <c r="U34" s="374">
        <f t="shared" si="31"/>
        <v>1450810</v>
      </c>
      <c r="W34" s="132">
        <f t="shared" si="27"/>
        <v>28894</v>
      </c>
      <c r="X34" s="971">
        <f>[5]Dec!J29</f>
        <v>44.2</v>
      </c>
      <c r="Y34" s="971">
        <f>[5]Dec!K29</f>
        <v>47.4</v>
      </c>
      <c r="Z34" s="972">
        <f>[5]Dec!L29</f>
        <v>45.2</v>
      </c>
      <c r="AA34" s="499">
        <f t="shared" si="24"/>
        <v>28894</v>
      </c>
      <c r="AB34" s="499"/>
      <c r="AD34" s="1527">
        <f t="shared" si="28"/>
        <v>2003</v>
      </c>
      <c r="AE34" s="1446">
        <f t="shared" si="29"/>
        <v>6662.6</v>
      </c>
      <c r="AF34" s="1447">
        <f t="shared" si="30"/>
        <v>1520377</v>
      </c>
      <c r="AG34" s="1520">
        <f t="shared" si="25"/>
        <v>42.4</v>
      </c>
      <c r="AH34" s="1520">
        <f t="shared" si="26"/>
        <v>44.4</v>
      </c>
      <c r="AI34" s="1449">
        <v>1</v>
      </c>
      <c r="AJ34" s="1445">
        <v>1</v>
      </c>
      <c r="AK34" s="1449">
        <f t="shared" si="15"/>
        <v>6580</v>
      </c>
      <c r="AL34" s="1449">
        <f t="shared" si="16"/>
        <v>82.600000000000364</v>
      </c>
      <c r="AM34" s="1449"/>
      <c r="AN34" s="1449"/>
      <c r="AO34" s="1449"/>
      <c r="AP34" s="1455"/>
      <c r="AQ34" s="1456">
        <f t="shared" si="12"/>
        <v>241.30000000000018</v>
      </c>
      <c r="AR34" s="1035"/>
      <c r="AS34" s="1035"/>
      <c r="AT34" s="1035"/>
      <c r="AU34" s="1035"/>
      <c r="AV34" s="1035"/>
      <c r="AW34" s="1035"/>
      <c r="AX34" s="1035"/>
      <c r="AY34" s="1035"/>
      <c r="AZ34" s="1040"/>
      <c r="BA34" s="1040"/>
      <c r="BB34" s="1445"/>
      <c r="BC34" s="1445">
        <f t="shared" si="17"/>
        <v>2003</v>
      </c>
      <c r="BD34" s="1449">
        <f t="shared" si="7"/>
        <v>6930</v>
      </c>
      <c r="BE34" s="1446">
        <f t="shared" si="8"/>
        <v>6662.6</v>
      </c>
      <c r="BF34" s="1553">
        <f t="shared" si="13"/>
        <v>267.39999999999964</v>
      </c>
      <c r="BG34" s="1446">
        <f t="shared" si="9"/>
        <v>6580</v>
      </c>
      <c r="BH34" s="1553">
        <f t="shared" si="14"/>
        <v>350</v>
      </c>
    </row>
    <row r="35" spans="1:60">
      <c r="A35" s="123">
        <v>2002</v>
      </c>
      <c r="B35" s="139">
        <v>37606</v>
      </c>
      <c r="C35" s="123">
        <v>8</v>
      </c>
      <c r="D35" s="915" t="str">
        <f t="shared" si="32"/>
        <v>Mon</v>
      </c>
      <c r="E35" s="133">
        <f>[7]MoCoinMW!F160</f>
        <v>7828</v>
      </c>
      <c r="F35" s="133">
        <f>[7]MoCoinMW!G160</f>
        <v>6775.3</v>
      </c>
      <c r="G35" s="164">
        <f>SUM([6]Hist!M280:O280)</f>
        <v>0</v>
      </c>
      <c r="H35" s="164">
        <f>[6]Hist!L280</f>
        <v>0</v>
      </c>
      <c r="I35" s="164">
        <f>[6]Hist!P280</f>
        <v>0</v>
      </c>
      <c r="J35" s="133">
        <f t="shared" ref="J35:J40" si="33">SUM(F35:I35)</f>
        <v>6775.3</v>
      </c>
      <c r="K35" s="164">
        <f>[6]Hist!U280</f>
        <v>403</v>
      </c>
      <c r="L35" s="164">
        <f>[6]Hist!V280</f>
        <v>75</v>
      </c>
      <c r="M35" s="133">
        <f t="shared" si="10"/>
        <v>7178.3</v>
      </c>
      <c r="N35" s="164">
        <f>'Interruptible Forecast'!AS13</f>
        <v>279</v>
      </c>
      <c r="O35" s="1377">
        <f t="shared" si="11"/>
        <v>6421.3</v>
      </c>
      <c r="P35" s="132">
        <f>[8]FCST!$BN9</f>
        <v>1490372</v>
      </c>
      <c r="Q35" s="463">
        <f>[8]FCST!$DP9</f>
        <v>14725</v>
      </c>
      <c r="R35" s="385"/>
      <c r="S35" s="386"/>
      <c r="T35" s="387"/>
      <c r="U35" s="374">
        <f t="shared" si="31"/>
        <v>1482281</v>
      </c>
      <c r="W35" s="132">
        <f t="shared" si="27"/>
        <v>31471</v>
      </c>
      <c r="X35" s="971">
        <f>[5]Dec!J30</f>
        <v>43</v>
      </c>
      <c r="Y35" s="971">
        <f>[5]Dec!K30</f>
        <v>46.5</v>
      </c>
      <c r="Z35" s="972">
        <f>[5]Dec!L30</f>
        <v>44.2</v>
      </c>
      <c r="AA35" s="499">
        <f t="shared" si="24"/>
        <v>31471</v>
      </c>
      <c r="AB35" s="499"/>
      <c r="AD35" s="1527">
        <f t="shared" si="28"/>
        <v>2004</v>
      </c>
      <c r="AE35" s="1446">
        <f t="shared" si="29"/>
        <v>6833.7999999999993</v>
      </c>
      <c r="AF35" s="1447">
        <f t="shared" si="30"/>
        <v>1554381</v>
      </c>
      <c r="AG35" s="1520">
        <f t="shared" si="25"/>
        <v>36</v>
      </c>
      <c r="AH35" s="1520">
        <f t="shared" si="26"/>
        <v>46.4</v>
      </c>
      <c r="AI35" s="1449">
        <v>0</v>
      </c>
      <c r="AJ35" s="1445">
        <v>0</v>
      </c>
      <c r="AK35" s="1449">
        <f t="shared" si="15"/>
        <v>6746</v>
      </c>
      <c r="AL35" s="1449">
        <f t="shared" si="16"/>
        <v>87.799999999999272</v>
      </c>
      <c r="AM35" s="1449"/>
      <c r="AN35" s="1449"/>
      <c r="AO35" s="1449"/>
      <c r="AP35" s="1455"/>
      <c r="AQ35" s="1456">
        <f t="shared" si="12"/>
        <v>171.19999999999891</v>
      </c>
      <c r="AR35" s="872"/>
      <c r="AS35" s="872"/>
      <c r="AT35" s="872"/>
      <c r="AU35" s="872"/>
      <c r="AV35" s="872"/>
      <c r="AW35" s="872"/>
      <c r="AX35" s="872"/>
      <c r="AY35" s="872"/>
      <c r="AZ35" s="1040"/>
      <c r="BA35" s="1040"/>
      <c r="BB35" s="1445"/>
      <c r="BC35" s="1445">
        <f t="shared" si="17"/>
        <v>2004</v>
      </c>
      <c r="BD35" s="1449">
        <f t="shared" si="7"/>
        <v>6674</v>
      </c>
      <c r="BE35" s="1446">
        <f t="shared" si="8"/>
        <v>6833.7999999999993</v>
      </c>
      <c r="BF35" s="1553">
        <f t="shared" ref="BF35:BF41" si="34">BD35-BE35</f>
        <v>-159.79999999999927</v>
      </c>
      <c r="BG35" s="1446">
        <f t="shared" si="9"/>
        <v>6746</v>
      </c>
      <c r="BH35" s="1553">
        <f t="shared" ref="BH35:BH41" si="35">BD35-BG35</f>
        <v>-72</v>
      </c>
    </row>
    <row r="36" spans="1:60">
      <c r="A36" s="123">
        <v>2003</v>
      </c>
      <c r="B36" s="139">
        <v>37976</v>
      </c>
      <c r="C36" s="123">
        <v>9</v>
      </c>
      <c r="D36" s="915" t="str">
        <f t="shared" si="32"/>
        <v>Sun</v>
      </c>
      <c r="E36" s="133">
        <f>[7]MoCoinMW!F$172</f>
        <v>8172</v>
      </c>
      <c r="F36" s="133">
        <f>[7]MoCoinMW!G$172</f>
        <v>6976.6</v>
      </c>
      <c r="G36" s="164">
        <f>SUM([6]Hist!M$292:O$292)</f>
        <v>0</v>
      </c>
      <c r="H36" s="164">
        <f>[6]Hist!L$292</f>
        <v>0</v>
      </c>
      <c r="I36" s="164">
        <f>[6]Hist!P$292</f>
        <v>0</v>
      </c>
      <c r="J36" s="133">
        <f t="shared" si="33"/>
        <v>6976.6</v>
      </c>
      <c r="K36" s="164">
        <f>[6]Hist!U$292</f>
        <v>432</v>
      </c>
      <c r="L36" s="164">
        <f>[6]Hist!V$292</f>
        <v>75</v>
      </c>
      <c r="M36" s="133">
        <f t="shared" si="10"/>
        <v>7408.6</v>
      </c>
      <c r="N36" s="164">
        <f>'Interruptible Forecast'!AS14</f>
        <v>239</v>
      </c>
      <c r="O36" s="1377">
        <f t="shared" si="11"/>
        <v>6662.6</v>
      </c>
      <c r="P36" s="132">
        <f>[8]FCST!$BN10</f>
        <v>1526222</v>
      </c>
      <c r="Q36" s="463">
        <f>[8]FCST!$DP10</f>
        <v>12479</v>
      </c>
      <c r="R36" s="858"/>
      <c r="S36" s="463">
        <f>[8]FCST!$CX10</f>
        <v>48771</v>
      </c>
      <c r="T36" s="387"/>
      <c r="U36" s="374">
        <f t="shared" si="31"/>
        <v>1520377</v>
      </c>
      <c r="W36" s="132">
        <f t="shared" si="27"/>
        <v>38096</v>
      </c>
      <c r="X36" s="972">
        <f>[5]Dec!J31</f>
        <v>42.4</v>
      </c>
      <c r="Y36" s="972">
        <f>[5]Dec!K31</f>
        <v>44.4</v>
      </c>
      <c r="Z36" s="972">
        <f>[5]Dec!L31</f>
        <v>43.1</v>
      </c>
      <c r="AA36" s="499">
        <f t="shared" si="24"/>
        <v>38096</v>
      </c>
      <c r="AB36" s="499"/>
      <c r="AD36" s="1527">
        <f>A38</f>
        <v>2005</v>
      </c>
      <c r="AE36" s="1446">
        <f t="shared" ref="AE36:AE41" si="36">O38</f>
        <v>6226.8</v>
      </c>
      <c r="AF36" s="1447">
        <f>U38</f>
        <v>1580051</v>
      </c>
      <c r="AG36" s="1520">
        <f t="shared" si="25"/>
        <v>40.700000000000003</v>
      </c>
      <c r="AH36" s="1520">
        <f t="shared" si="26"/>
        <v>48.9</v>
      </c>
      <c r="AI36" s="1449">
        <v>0</v>
      </c>
      <c r="AJ36" s="1445">
        <v>0</v>
      </c>
      <c r="AK36" s="1449">
        <f t="shared" si="15"/>
        <v>6355</v>
      </c>
      <c r="AL36" s="1449">
        <f t="shared" ref="AL36:AL41" si="37">AE36-AK36</f>
        <v>-128.19999999999982</v>
      </c>
      <c r="AM36" s="1449"/>
      <c r="AN36" s="1449"/>
      <c r="AO36" s="1449"/>
      <c r="AP36" s="1455"/>
      <c r="AQ36" s="1456">
        <f t="shared" si="12"/>
        <v>-606.99999999999909</v>
      </c>
      <c r="AR36" s="1449"/>
      <c r="AS36" s="872"/>
      <c r="AT36" s="872"/>
      <c r="AU36" s="872"/>
      <c r="AV36" s="872"/>
      <c r="AW36" s="872"/>
      <c r="AX36" s="872"/>
      <c r="AY36" s="872"/>
      <c r="AZ36" s="1040"/>
      <c r="BA36" s="1040"/>
      <c r="BB36" s="1445"/>
      <c r="BC36" s="1445">
        <f t="shared" si="17"/>
        <v>2005</v>
      </c>
      <c r="BD36" s="1449">
        <f t="shared" si="7"/>
        <v>6792</v>
      </c>
      <c r="BE36" s="1446">
        <f t="shared" si="8"/>
        <v>6226.8</v>
      </c>
      <c r="BF36" s="1553">
        <f t="shared" si="34"/>
        <v>565.19999999999982</v>
      </c>
      <c r="BG36" s="1446">
        <f t="shared" si="9"/>
        <v>6355</v>
      </c>
      <c r="BH36" s="1553">
        <f t="shared" si="35"/>
        <v>437</v>
      </c>
    </row>
    <row r="37" spans="1:60">
      <c r="A37" s="123">
        <v>2004</v>
      </c>
      <c r="B37" s="139">
        <v>38336</v>
      </c>
      <c r="C37" s="123">
        <v>8</v>
      </c>
      <c r="D37" s="346" t="str">
        <f t="shared" si="32"/>
        <v>Wed</v>
      </c>
      <c r="E37" s="133">
        <f>[7]MoCoinMW!F$184</f>
        <v>8303.2999999999993</v>
      </c>
      <c r="F37" s="133">
        <f>[7]MoCoinMW!G$184</f>
        <v>7236.7999999999993</v>
      </c>
      <c r="G37" s="164">
        <f>SUM([6]Hist!M$304:O$304)</f>
        <v>0</v>
      </c>
      <c r="H37" s="164">
        <f>[6]Hist!L$304</f>
        <v>0</v>
      </c>
      <c r="I37" s="164">
        <f>[6]Hist!P$304</f>
        <v>0</v>
      </c>
      <c r="J37" s="133">
        <f t="shared" si="33"/>
        <v>7236.7999999999993</v>
      </c>
      <c r="K37" s="164">
        <f>[6]Hist!U$304</f>
        <v>460</v>
      </c>
      <c r="L37" s="164">
        <f>[6]Hist!V$304</f>
        <v>110</v>
      </c>
      <c r="M37" s="133">
        <f t="shared" si="10"/>
        <v>7696.7999999999993</v>
      </c>
      <c r="N37" s="164">
        <f>'Interruptible Forecast'!AS15</f>
        <v>293</v>
      </c>
      <c r="O37" s="1377">
        <f t="shared" si="11"/>
        <v>6833.7999999999993</v>
      </c>
      <c r="P37" s="132">
        <f>[8]FCST!$BN11</f>
        <v>1564897</v>
      </c>
      <c r="Q37" s="463">
        <f>[8]FCST!$DP11</f>
        <v>17150</v>
      </c>
      <c r="R37" s="858"/>
      <c r="S37" s="463">
        <f>[8]FCST!$CX11</f>
        <v>53843</v>
      </c>
      <c r="T37" s="387"/>
      <c r="U37" s="374">
        <f t="shared" si="31"/>
        <v>1554381</v>
      </c>
      <c r="W37" s="132">
        <f t="shared" si="27"/>
        <v>34004</v>
      </c>
      <c r="X37" s="972">
        <f>[5]Dec!J32</f>
        <v>36</v>
      </c>
      <c r="Y37" s="972">
        <f>[5]Dec!K32</f>
        <v>46.4</v>
      </c>
      <c r="Z37" s="972">
        <f>[5]Dec!L32</f>
        <v>39.4</v>
      </c>
      <c r="AA37" s="499">
        <f t="shared" si="24"/>
        <v>34004</v>
      </c>
      <c r="AB37" s="499"/>
      <c r="AD37" s="1527">
        <f>A39</f>
        <v>2006</v>
      </c>
      <c r="AE37" s="1446">
        <f t="shared" si="36"/>
        <v>5375.8</v>
      </c>
      <c r="AF37" s="1447">
        <f>U39</f>
        <v>1613360</v>
      </c>
      <c r="AG37" s="1520">
        <f t="shared" si="25"/>
        <v>49.6</v>
      </c>
      <c r="AH37" s="1520">
        <f t="shared" si="26"/>
        <v>54.3</v>
      </c>
      <c r="AI37" s="1449">
        <v>1</v>
      </c>
      <c r="AJ37" s="1445">
        <v>0</v>
      </c>
      <c r="AK37" s="1449">
        <f t="shared" si="15"/>
        <v>5831</v>
      </c>
      <c r="AL37" s="1449">
        <f t="shared" si="37"/>
        <v>-455.19999999999982</v>
      </c>
      <c r="AM37" s="1449"/>
      <c r="AN37" s="1449"/>
      <c r="AO37" s="1449"/>
      <c r="AP37" s="1455"/>
      <c r="AQ37" s="1456">
        <f t="shared" si="12"/>
        <v>-851</v>
      </c>
      <c r="AR37" s="1449"/>
      <c r="AS37" s="872"/>
      <c r="AT37" s="872"/>
      <c r="AU37" s="872"/>
      <c r="AV37" s="872"/>
      <c r="AW37" s="872"/>
      <c r="AX37" s="872"/>
      <c r="AY37" s="872"/>
      <c r="AZ37" s="1040"/>
      <c r="BA37" s="1040"/>
      <c r="BB37" s="1445"/>
      <c r="BC37" s="1445">
        <f t="shared" si="17"/>
        <v>2006</v>
      </c>
      <c r="BD37" s="1449">
        <f t="shared" si="7"/>
        <v>7264</v>
      </c>
      <c r="BE37" s="1446">
        <f t="shared" si="8"/>
        <v>5375.8</v>
      </c>
      <c r="BF37" s="1553">
        <f t="shared" si="34"/>
        <v>1888.1999999999998</v>
      </c>
      <c r="BG37" s="1446">
        <f t="shared" si="9"/>
        <v>5831</v>
      </c>
      <c r="BH37" s="1553">
        <f t="shared" si="35"/>
        <v>1433</v>
      </c>
    </row>
    <row r="38" spans="1:60">
      <c r="A38" s="123">
        <v>2005</v>
      </c>
      <c r="B38" s="139">
        <v>38708</v>
      </c>
      <c r="C38" s="123">
        <v>8</v>
      </c>
      <c r="D38" s="346" t="str">
        <f t="shared" si="32"/>
        <v>Thu</v>
      </c>
      <c r="E38" s="133">
        <f>[7]MoCoinMW!F$196</f>
        <v>7772.3</v>
      </c>
      <c r="F38" s="133">
        <f>[7]MoCoinMW!G$196</f>
        <v>6606.8</v>
      </c>
      <c r="G38" s="164">
        <f>SUM([6]Hist!M$316:O$316)</f>
        <v>0</v>
      </c>
      <c r="H38" s="164">
        <f>[6]Hist!L$316</f>
        <v>0</v>
      </c>
      <c r="I38" s="164">
        <f>[6]Hist!P$316</f>
        <v>0</v>
      </c>
      <c r="J38" s="133">
        <f t="shared" si="33"/>
        <v>6606.8</v>
      </c>
      <c r="K38" s="164">
        <f>[6]Hist!U$316</f>
        <v>500</v>
      </c>
      <c r="L38" s="164">
        <f>[6]Hist!V$316</f>
        <v>66</v>
      </c>
      <c r="M38" s="133">
        <f t="shared" si="10"/>
        <v>7106.8</v>
      </c>
      <c r="N38" s="164">
        <f>'Interruptible Forecast'!AS16</f>
        <v>314</v>
      </c>
      <c r="O38" s="1377">
        <f t="shared" si="11"/>
        <v>6226.8</v>
      </c>
      <c r="P38" s="132">
        <f>[8]FCST!$BN12</f>
        <v>1593270</v>
      </c>
      <c r="Q38" s="463">
        <f>[8]FCST!$DP12</f>
        <v>19853</v>
      </c>
      <c r="R38" s="858"/>
      <c r="S38" s="463">
        <f>[8]FCST!$CX12</f>
        <v>56109</v>
      </c>
      <c r="T38" s="387"/>
      <c r="U38" s="374">
        <f t="shared" si="31"/>
        <v>1580051</v>
      </c>
      <c r="V38" s="374">
        <f>[10]WP2004!$D$75</f>
        <v>14186</v>
      </c>
      <c r="W38" s="132">
        <f t="shared" si="27"/>
        <v>25670</v>
      </c>
      <c r="X38" s="972">
        <f>[5]Dec!J33</f>
        <v>40.700000000000003</v>
      </c>
      <c r="Y38" s="972">
        <f>[5]Dec!K33</f>
        <v>48.9</v>
      </c>
      <c r="Z38" s="972">
        <f>[5]Dec!L33</f>
        <v>43.4</v>
      </c>
      <c r="AA38" s="499">
        <f t="shared" si="24"/>
        <v>25670</v>
      </c>
      <c r="AD38" s="1527">
        <f>A40</f>
        <v>2007</v>
      </c>
      <c r="AE38" s="1446">
        <f t="shared" si="36"/>
        <v>5698</v>
      </c>
      <c r="AF38" s="1447">
        <f>U40</f>
        <v>1619978</v>
      </c>
      <c r="AG38" s="1520">
        <f t="shared" si="25"/>
        <v>43.4</v>
      </c>
      <c r="AH38" s="1520">
        <f t="shared" si="26"/>
        <v>46.9</v>
      </c>
      <c r="AI38" s="1449">
        <v>0</v>
      </c>
      <c r="AJ38" s="1445">
        <v>0</v>
      </c>
      <c r="AK38" s="1449">
        <f t="shared" si="15"/>
        <v>6418</v>
      </c>
      <c r="AL38" s="1449">
        <f t="shared" si="37"/>
        <v>-720</v>
      </c>
      <c r="AM38" s="1449"/>
      <c r="AN38" s="1449"/>
      <c r="AO38" s="1449"/>
      <c r="AP38" s="1455"/>
      <c r="AQ38" s="1456">
        <f t="shared" si="12"/>
        <v>322.19999999999982</v>
      </c>
      <c r="AR38" s="1449"/>
      <c r="AS38" s="1040"/>
      <c r="AT38" s="1040"/>
      <c r="AU38" s="1040"/>
      <c r="AV38" s="1040"/>
      <c r="AW38" s="1040"/>
      <c r="AX38" s="1040"/>
      <c r="AY38" s="1040"/>
      <c r="AZ38" s="1040"/>
      <c r="BA38" s="1040"/>
      <c r="BB38" s="1445"/>
      <c r="BC38" s="1445">
        <f t="shared" si="17"/>
        <v>2007</v>
      </c>
      <c r="BD38" s="1449">
        <f t="shared" si="7"/>
        <v>6975</v>
      </c>
      <c r="BE38" s="1446">
        <f t="shared" si="8"/>
        <v>5698</v>
      </c>
      <c r="BF38" s="1553">
        <f t="shared" si="34"/>
        <v>1277</v>
      </c>
      <c r="BG38" s="1446">
        <f t="shared" si="9"/>
        <v>6418</v>
      </c>
      <c r="BH38" s="1553">
        <f t="shared" si="35"/>
        <v>557</v>
      </c>
    </row>
    <row r="39" spans="1:60">
      <c r="A39" s="123">
        <v>2006</v>
      </c>
      <c r="B39" s="139">
        <v>39059</v>
      </c>
      <c r="C39" s="831">
        <v>21</v>
      </c>
      <c r="D39" s="346" t="str">
        <f t="shared" si="32"/>
        <v>Fri</v>
      </c>
      <c r="E39" s="133">
        <f>[7]MoCoinMW!F$208</f>
        <v>6792</v>
      </c>
      <c r="F39" s="133">
        <f>[7]MoCoinMW!G$208</f>
        <v>5792.8</v>
      </c>
      <c r="G39" s="164">
        <f>SUM([6]Hist!M$328:O$328)</f>
        <v>0</v>
      </c>
      <c r="H39" s="164">
        <f>[6]Hist!L$328</f>
        <v>0</v>
      </c>
      <c r="I39" s="164">
        <f>[6]Hist!P$328</f>
        <v>0</v>
      </c>
      <c r="J39" s="133">
        <f t="shared" si="33"/>
        <v>5792.8</v>
      </c>
      <c r="K39" s="164">
        <f>[6]Hist!U$328</f>
        <v>540</v>
      </c>
      <c r="L39" s="164">
        <f>[6]Hist!V$328</f>
        <v>110</v>
      </c>
      <c r="M39" s="133">
        <f t="shared" si="10"/>
        <v>6332.8</v>
      </c>
      <c r="N39" s="164">
        <f>'Interruptible Forecast'!AS17</f>
        <v>307</v>
      </c>
      <c r="O39" s="1377">
        <f t="shared" si="11"/>
        <v>5375.8</v>
      </c>
      <c r="P39" s="132">
        <f>[8]FCST!$BN13</f>
        <v>1626430</v>
      </c>
      <c r="Q39" s="463">
        <f>[8]FCST!$DP13</f>
        <v>19704</v>
      </c>
      <c r="R39" s="858"/>
      <c r="S39" s="463">
        <f>[8]FCST!$CX13</f>
        <v>58980</v>
      </c>
      <c r="T39" s="387"/>
      <c r="U39" s="374">
        <f t="shared" si="31"/>
        <v>1613360</v>
      </c>
      <c r="V39" s="374">
        <f>ROUND(V38*1.01,0)</f>
        <v>14328</v>
      </c>
      <c r="W39" s="132">
        <f t="shared" si="27"/>
        <v>33309</v>
      </c>
      <c r="X39" s="893">
        <f>[5]Dec!J34</f>
        <v>49.6</v>
      </c>
      <c r="Y39" s="893">
        <f>[5]Dec!K34</f>
        <v>54.3</v>
      </c>
      <c r="Z39" s="893">
        <f>[5]Dec!L34</f>
        <v>51.1</v>
      </c>
      <c r="AA39" s="499">
        <f t="shared" si="24"/>
        <v>33309</v>
      </c>
      <c r="AD39" s="1527">
        <f>A41</f>
        <v>2008</v>
      </c>
      <c r="AE39" s="1446">
        <f t="shared" si="36"/>
        <v>6363</v>
      </c>
      <c r="AF39" s="1447">
        <f>U41</f>
        <v>1616494</v>
      </c>
      <c r="AG39" s="1520">
        <f t="shared" ref="AG39:AH41" si="38">X41</f>
        <v>40.5</v>
      </c>
      <c r="AH39" s="1520">
        <f t="shared" si="38"/>
        <v>49.1</v>
      </c>
      <c r="AI39" s="1449">
        <v>0</v>
      </c>
      <c r="AJ39" s="1445">
        <v>0</v>
      </c>
      <c r="AK39" s="1449">
        <f t="shared" si="15"/>
        <v>6529</v>
      </c>
      <c r="AL39" s="1449">
        <f t="shared" si="37"/>
        <v>-166</v>
      </c>
      <c r="AM39" s="1449"/>
      <c r="AN39" s="1449"/>
      <c r="AO39" s="1449"/>
      <c r="AP39" s="1455"/>
      <c r="AQ39" s="1456">
        <f t="shared" si="12"/>
        <v>665</v>
      </c>
      <c r="AR39" s="1449"/>
      <c r="AS39" s="1040"/>
      <c r="AT39" s="1040"/>
      <c r="AU39" s="1040"/>
      <c r="AV39" s="1040"/>
      <c r="AW39" s="1040"/>
      <c r="AX39" s="1040"/>
      <c r="AY39" s="1040"/>
      <c r="AZ39" s="1040"/>
      <c r="BA39" s="1040"/>
      <c r="BB39" s="1445"/>
      <c r="BC39" s="1445">
        <f t="shared" si="17"/>
        <v>2008</v>
      </c>
      <c r="BD39" s="1449">
        <f t="shared" si="7"/>
        <v>6959</v>
      </c>
      <c r="BE39" s="1446">
        <f t="shared" si="8"/>
        <v>6363</v>
      </c>
      <c r="BF39" s="1553">
        <f t="shared" si="34"/>
        <v>596</v>
      </c>
      <c r="BG39" s="1446">
        <f>AK39</f>
        <v>6529</v>
      </c>
      <c r="BH39" s="1553">
        <f t="shared" si="35"/>
        <v>430</v>
      </c>
    </row>
    <row r="40" spans="1:60">
      <c r="A40" s="123">
        <v>2007</v>
      </c>
      <c r="B40" s="139">
        <v>39434</v>
      </c>
      <c r="C40" s="284">
        <v>8</v>
      </c>
      <c r="D40" s="346" t="str">
        <f t="shared" ref="D40:D45" si="39">TEXT(WEEKDAY(B40),"ddd")</f>
        <v>Tue</v>
      </c>
      <c r="E40" s="133">
        <f>[7]MoCoinMW!F$220</f>
        <v>7162</v>
      </c>
      <c r="F40" s="133">
        <f>[7]MoCoinMW!G$220</f>
        <v>6151</v>
      </c>
      <c r="G40" s="164">
        <f>SUM([6]Hist!M$340:O$340)</f>
        <v>0</v>
      </c>
      <c r="H40" s="164">
        <f>[6]Hist!L$340</f>
        <v>0</v>
      </c>
      <c r="I40" s="164">
        <f>[6]Hist!P$340</f>
        <v>0</v>
      </c>
      <c r="J40" s="133">
        <f t="shared" si="33"/>
        <v>6151</v>
      </c>
      <c r="K40" s="164">
        <f>[6]Hist!U$340</f>
        <v>579</v>
      </c>
      <c r="L40" s="164">
        <f>[6]Hist!V$340</f>
        <v>110</v>
      </c>
      <c r="M40" s="133">
        <f t="shared" ref="M40:M45" si="40">SUM(J40:K40)</f>
        <v>6730</v>
      </c>
      <c r="N40" s="164">
        <f>'Interruptible Forecast'!AS18</f>
        <v>343</v>
      </c>
      <c r="O40" s="1377">
        <f t="shared" si="11"/>
        <v>5698</v>
      </c>
      <c r="P40" s="132">
        <f>[8]FCST!$BN14</f>
        <v>1634520</v>
      </c>
      <c r="Q40" s="463">
        <f>[8]FCST!$DP14</f>
        <v>21176</v>
      </c>
      <c r="R40" s="858"/>
      <c r="S40" s="463">
        <f>[8]FCST!$CX14</f>
        <v>56109</v>
      </c>
      <c r="T40" s="387"/>
      <c r="U40" s="374">
        <f t="shared" si="31"/>
        <v>1619978</v>
      </c>
      <c r="V40" s="374">
        <f>ROUND(V39*1.01,0)</f>
        <v>14471</v>
      </c>
      <c r="W40" s="132">
        <f t="shared" si="27"/>
        <v>6618</v>
      </c>
      <c r="X40" s="1067">
        <f>[5]Dec!J35</f>
        <v>43.4</v>
      </c>
      <c r="Y40" s="1067">
        <f>[5]Dec!K35</f>
        <v>46.9</v>
      </c>
      <c r="Z40" s="1067">
        <f>[5]Dec!L35</f>
        <v>44.5</v>
      </c>
      <c r="AA40" s="499">
        <f t="shared" si="24"/>
        <v>6618</v>
      </c>
      <c r="AD40" s="1527">
        <f t="shared" ref="AD40:AD63" si="41">A42</f>
        <v>2009</v>
      </c>
      <c r="AE40" s="1446">
        <f t="shared" si="36"/>
        <v>5951</v>
      </c>
      <c r="AF40" s="1447">
        <f t="shared" ref="AF40:AF61" si="42">U42</f>
        <v>1611062</v>
      </c>
      <c r="AG40" s="1520">
        <f t="shared" si="38"/>
        <v>38.9</v>
      </c>
      <c r="AH40" s="1520">
        <f t="shared" si="38"/>
        <v>50.8</v>
      </c>
      <c r="AI40" s="1449">
        <v>0</v>
      </c>
      <c r="AJ40" s="1445">
        <v>0</v>
      </c>
      <c r="AK40" s="1449">
        <f t="shared" si="15"/>
        <v>6549</v>
      </c>
      <c r="AL40" s="1449">
        <f t="shared" si="37"/>
        <v>-598</v>
      </c>
      <c r="AM40" s="1449"/>
      <c r="AN40" s="1528"/>
      <c r="AO40" s="1449"/>
      <c r="AP40" s="1455"/>
      <c r="AQ40" s="1456">
        <f t="shared" si="12"/>
        <v>-412</v>
      </c>
      <c r="AR40" s="1449"/>
      <c r="AS40" s="1040"/>
      <c r="AT40" s="1040"/>
      <c r="AU40" s="1040"/>
      <c r="AV40" s="1040"/>
      <c r="AW40" s="1040"/>
      <c r="AX40" s="1040"/>
      <c r="AY40" s="1040"/>
      <c r="AZ40" s="1040"/>
      <c r="BA40" s="1040"/>
      <c r="BB40" s="1445"/>
      <c r="BC40" s="1445">
        <f>AD40</f>
        <v>2009</v>
      </c>
      <c r="BD40" s="1449">
        <f t="shared" si="7"/>
        <v>6934</v>
      </c>
      <c r="BE40" s="1446">
        <f>AE40</f>
        <v>5951</v>
      </c>
      <c r="BF40" s="1553">
        <f t="shared" si="34"/>
        <v>983</v>
      </c>
      <c r="BG40" s="1446">
        <f>AK40</f>
        <v>6549</v>
      </c>
      <c r="BH40" s="1553">
        <f t="shared" si="35"/>
        <v>385</v>
      </c>
    </row>
    <row r="41" spans="1:60">
      <c r="A41" s="123">
        <v>2008</v>
      </c>
      <c r="B41" s="139">
        <v>39785</v>
      </c>
      <c r="C41" s="123">
        <v>8</v>
      </c>
      <c r="D41" s="346" t="str">
        <f t="shared" si="39"/>
        <v>Wed</v>
      </c>
      <c r="E41" s="133">
        <f>[7]MoCoinMW!F$232</f>
        <v>8133</v>
      </c>
      <c r="F41" s="133">
        <f>[7]MoCoinMW!G$232</f>
        <v>6725</v>
      </c>
      <c r="G41" s="164">
        <f>SUM([6]Hist!M$352:O$352)</f>
        <v>0</v>
      </c>
      <c r="H41" s="164">
        <f>[6]Hist!L$352</f>
        <v>0</v>
      </c>
      <c r="I41" s="164">
        <f>[6]Hist!P$352</f>
        <v>0</v>
      </c>
      <c r="J41" s="133">
        <f>SUM(F41:I41)</f>
        <v>6725</v>
      </c>
      <c r="K41" s="164">
        <f>[6]Hist!U$352</f>
        <v>625</v>
      </c>
      <c r="L41" s="164">
        <f>[6]Hist!V$352</f>
        <v>110</v>
      </c>
      <c r="M41" s="133">
        <f t="shared" si="40"/>
        <v>7350</v>
      </c>
      <c r="N41" s="164">
        <f>'Interruptible Forecast'!AS19</f>
        <v>252</v>
      </c>
      <c r="O41" s="1377">
        <f t="shared" si="11"/>
        <v>6363</v>
      </c>
      <c r="P41" s="132">
        <f>[8]FCST!$BN15</f>
        <v>1630148</v>
      </c>
      <c r="Q41" s="463">
        <f>[8]FCST!$DP15</f>
        <v>20288</v>
      </c>
      <c r="R41" s="858"/>
      <c r="S41" s="463">
        <f>[8]FCST!$CX15</f>
        <v>60851</v>
      </c>
      <c r="T41" s="387"/>
      <c r="U41" s="374">
        <f>P41-Q41+R$31</f>
        <v>1616494</v>
      </c>
      <c r="V41" s="374">
        <f>ROUND(V40*1.005,0)</f>
        <v>14543</v>
      </c>
      <c r="W41" s="132">
        <f t="shared" si="27"/>
        <v>-3484</v>
      </c>
      <c r="X41" s="972">
        <f>[5]Dec!J36</f>
        <v>40.5</v>
      </c>
      <c r="Y41" s="972">
        <f>[5]Dec!K36</f>
        <v>49.1</v>
      </c>
      <c r="Z41" s="972">
        <f>[5]Dec!L36</f>
        <v>43.4</v>
      </c>
      <c r="AA41" s="499">
        <f>U41-U40</f>
        <v>-3484</v>
      </c>
      <c r="AD41" s="1527">
        <f t="shared" si="41"/>
        <v>2010</v>
      </c>
      <c r="AE41" s="1446">
        <f t="shared" si="36"/>
        <v>8555</v>
      </c>
      <c r="AF41" s="1447">
        <f t="shared" si="42"/>
        <v>1612294</v>
      </c>
      <c r="AG41" s="1520">
        <f t="shared" si="38"/>
        <v>31</v>
      </c>
      <c r="AH41" s="1520">
        <f t="shared" si="38"/>
        <v>40.799999999999997</v>
      </c>
      <c r="AI41" s="1449">
        <v>0</v>
      </c>
      <c r="AJ41" s="1445">
        <v>0</v>
      </c>
      <c r="AK41" s="1449">
        <f t="shared" si="15"/>
        <v>7700</v>
      </c>
      <c r="AL41" s="1449">
        <f t="shared" si="37"/>
        <v>855</v>
      </c>
      <c r="AM41" s="1449"/>
      <c r="AN41" s="1528"/>
      <c r="AO41" s="1449"/>
      <c r="AP41" s="1455"/>
      <c r="AQ41" s="1456">
        <f t="shared" si="12"/>
        <v>2604</v>
      </c>
      <c r="AR41" s="1449"/>
      <c r="AS41" s="1040"/>
      <c r="AT41" s="1040"/>
      <c r="AU41" s="1040"/>
      <c r="AV41" s="1040"/>
      <c r="AW41" s="1040"/>
      <c r="AX41" s="1040"/>
      <c r="AY41" s="1040"/>
      <c r="AZ41" s="1040"/>
      <c r="BA41" s="1040"/>
      <c r="BB41" s="1445"/>
      <c r="BC41" s="1445">
        <f>AD41</f>
        <v>2010</v>
      </c>
      <c r="BD41" s="1449">
        <f t="shared" si="7"/>
        <v>6940</v>
      </c>
      <c r="BE41" s="1446">
        <f>AE41</f>
        <v>8555</v>
      </c>
      <c r="BF41" s="1553">
        <f t="shared" si="34"/>
        <v>-1615</v>
      </c>
      <c r="BG41" s="1446">
        <f>AK41</f>
        <v>7700</v>
      </c>
      <c r="BH41" s="1553">
        <f t="shared" si="35"/>
        <v>-760</v>
      </c>
    </row>
    <row r="42" spans="1:60">
      <c r="A42" s="123">
        <v>2009</v>
      </c>
      <c r="B42" s="139">
        <v>40176</v>
      </c>
      <c r="C42" s="123">
        <v>9</v>
      </c>
      <c r="D42" s="346" t="str">
        <f t="shared" si="39"/>
        <v>Tue</v>
      </c>
      <c r="E42" s="133">
        <f>[7]MoCoinMW!F$244</f>
        <v>7154</v>
      </c>
      <c r="F42" s="133">
        <f>[7]MoCoinMW!G$244</f>
        <v>6196</v>
      </c>
      <c r="G42" s="164">
        <f>SUM([6]Hist!M$364:O$364)</f>
        <v>0</v>
      </c>
      <c r="H42" s="164">
        <f>[6]Hist!L$364</f>
        <v>0</v>
      </c>
      <c r="I42" s="164">
        <f>[6]Hist!P$364</f>
        <v>0</v>
      </c>
      <c r="J42" s="133">
        <f>SUM(F42:I42)</f>
        <v>6196</v>
      </c>
      <c r="K42" s="164">
        <f>[6]Hist!U$364</f>
        <v>682</v>
      </c>
      <c r="L42" s="164">
        <f>[6]Hist!V$364</f>
        <v>110</v>
      </c>
      <c r="M42" s="133">
        <f t="shared" si="40"/>
        <v>6878</v>
      </c>
      <c r="N42" s="164">
        <f>'Interruptible Forecast'!AS20</f>
        <v>135</v>
      </c>
      <c r="O42" s="1377">
        <f t="shared" si="11"/>
        <v>5951</v>
      </c>
      <c r="P42" s="132">
        <f>[8]FCST!$BN16</f>
        <v>1626076</v>
      </c>
      <c r="Q42" s="463">
        <f>[8]FCST!$DP16</f>
        <v>21648</v>
      </c>
      <c r="R42" s="558"/>
      <c r="S42" s="463">
        <f>[8]FCST!$CX16</f>
        <v>60105</v>
      </c>
      <c r="T42" s="387"/>
      <c r="U42" s="374">
        <f>P42-Q42+R$31</f>
        <v>1611062</v>
      </c>
      <c r="V42" s="374">
        <f t="shared" ref="V42:V62" si="43">ROUND(V41*1.005,0)</f>
        <v>14616</v>
      </c>
      <c r="W42" s="132">
        <f t="shared" si="27"/>
        <v>-5432</v>
      </c>
      <c r="X42" s="680">
        <f>[5]Dec!J37</f>
        <v>38.9</v>
      </c>
      <c r="Y42" s="680">
        <f>[5]Dec!K37</f>
        <v>50.8</v>
      </c>
      <c r="Z42" s="680">
        <f>[5]Dec!L37</f>
        <v>42.8</v>
      </c>
      <c r="AA42" s="499">
        <f>U42-U41</f>
        <v>-5432</v>
      </c>
      <c r="AD42" s="1527">
        <f t="shared" ref="AD42" si="44">A44</f>
        <v>2011</v>
      </c>
      <c r="AE42" s="1446">
        <f t="shared" ref="AE42" si="45">O44</f>
        <v>4585</v>
      </c>
      <c r="AF42" s="1447">
        <f t="shared" ref="AF42" si="46">U44</f>
        <v>1627436</v>
      </c>
      <c r="AG42" s="1520">
        <f t="shared" ref="AG42" si="47">X44</f>
        <v>75.3</v>
      </c>
      <c r="AH42" s="1520">
        <f t="shared" ref="AH42" si="48">Y44</f>
        <v>71.2</v>
      </c>
      <c r="AI42" s="1449">
        <v>0</v>
      </c>
      <c r="AJ42" s="1445">
        <v>0</v>
      </c>
      <c r="AK42" s="1449">
        <f t="shared" si="15"/>
        <v>2634</v>
      </c>
      <c r="AL42" s="1449">
        <f t="shared" ref="AL42" si="49">AE42-AK42</f>
        <v>1951</v>
      </c>
      <c r="AM42" s="1449"/>
      <c r="AN42" s="1539"/>
      <c r="AO42" s="1449"/>
      <c r="AP42" s="1455"/>
      <c r="AQ42" s="1456">
        <f t="shared" si="12"/>
        <v>-3970</v>
      </c>
      <c r="AR42" s="1449"/>
      <c r="AS42" s="1040"/>
      <c r="AT42" s="1040"/>
      <c r="AU42" s="1040"/>
      <c r="AV42" s="1040"/>
      <c r="AW42" s="1040"/>
      <c r="AX42" s="1040"/>
      <c r="AY42" s="1040"/>
      <c r="AZ42" s="1040"/>
      <c r="BA42" s="1040"/>
      <c r="BB42" s="1445"/>
      <c r="BC42" s="1445">
        <f>AD42</f>
        <v>2011</v>
      </c>
      <c r="BD42" s="1449">
        <f t="shared" si="7"/>
        <v>7009</v>
      </c>
      <c r="BE42" s="1446">
        <f>AE42</f>
        <v>4585</v>
      </c>
      <c r="BF42" s="1553">
        <f t="shared" ref="BF42" si="50">BD42-BE42</f>
        <v>2424</v>
      </c>
      <c r="BG42" s="1446">
        <f>AK42</f>
        <v>2634</v>
      </c>
      <c r="BH42" s="1553">
        <f t="shared" ref="BH42" si="51">BD42-BG42</f>
        <v>4375</v>
      </c>
    </row>
    <row r="43" spans="1:60">
      <c r="A43" s="123">
        <v>2010</v>
      </c>
      <c r="B43" s="139">
        <v>40541</v>
      </c>
      <c r="C43" s="123">
        <v>8</v>
      </c>
      <c r="D43" s="346" t="str">
        <f t="shared" si="39"/>
        <v>Wed</v>
      </c>
      <c r="E43" s="133">
        <f>[7]MoCoinMW!F$256</f>
        <v>10381</v>
      </c>
      <c r="F43" s="133">
        <f>[7]MoCoinMW!G$256</f>
        <v>8756</v>
      </c>
      <c r="G43" s="164">
        <f>SUM([6]Hist!M$376:O$376)</f>
        <v>109</v>
      </c>
      <c r="H43" s="164">
        <f>[6]Hist!L$376</f>
        <v>44</v>
      </c>
      <c r="I43" s="164">
        <f>[6]Hist!P$376</f>
        <v>0</v>
      </c>
      <c r="J43" s="133">
        <f>SUM(F43:I43)</f>
        <v>8909</v>
      </c>
      <c r="K43" s="164">
        <f>[6]Hist!U$376</f>
        <v>755</v>
      </c>
      <c r="L43" s="164">
        <f>[6]Hist!V$376</f>
        <v>110</v>
      </c>
      <c r="M43" s="133">
        <f t="shared" si="40"/>
        <v>9664</v>
      </c>
      <c r="N43" s="164">
        <f>'Interruptible Forecast'!AS21</f>
        <v>244</v>
      </c>
      <c r="O43" s="1377">
        <f t="shared" si="11"/>
        <v>8555</v>
      </c>
      <c r="P43" s="132">
        <f>[8]FCST!$BN17</f>
        <v>1635080</v>
      </c>
      <c r="Q43" s="463">
        <f>[8]FCST!$DP17</f>
        <v>29420</v>
      </c>
      <c r="R43" s="558"/>
      <c r="S43" s="463">
        <f>[8]FCST!$CX17</f>
        <v>64199</v>
      </c>
      <c r="T43" s="387"/>
      <c r="U43" s="374">
        <f>P43-Q43+R$31</f>
        <v>1612294</v>
      </c>
      <c r="V43" s="374">
        <f t="shared" si="43"/>
        <v>14689</v>
      </c>
      <c r="W43" s="132">
        <f t="shared" si="27"/>
        <v>1232</v>
      </c>
      <c r="X43" s="972">
        <f>[5]Dec!J38</f>
        <v>31</v>
      </c>
      <c r="Y43" s="972">
        <f>[5]Dec!K38</f>
        <v>40.799999999999997</v>
      </c>
      <c r="Z43" s="972">
        <f>[5]Dec!L38</f>
        <v>34.200000000000003</v>
      </c>
      <c r="AA43" s="499">
        <f>U43-U42</f>
        <v>1232</v>
      </c>
      <c r="AD43" s="1445">
        <f t="shared" si="41"/>
        <v>2012</v>
      </c>
      <c r="AE43" s="1446"/>
      <c r="AF43" s="1447">
        <f t="shared" si="42"/>
        <v>1642354</v>
      </c>
      <c r="AG43" s="1458">
        <f t="shared" ref="AG43:AG63" si="52">$X$74</f>
        <v>38.6</v>
      </c>
      <c r="AH43" s="1458">
        <f t="shared" ref="AH43:AH63" si="53">$Y$74</f>
        <v>43.6</v>
      </c>
      <c r="AI43" s="1449">
        <v>0</v>
      </c>
      <c r="AJ43" s="1445">
        <v>0</v>
      </c>
      <c r="AK43" s="1449"/>
      <c r="AL43" s="1449"/>
      <c r="AM43" s="1449">
        <v>25</v>
      </c>
      <c r="AN43" s="1539">
        <f t="shared" ref="AN43:AN58" si="54">ROUND($AX$13+$AW$13*$AF43+$AV$13*$AG43+$AU$13*$AH43+$AT$13*$AI43+$AS$13*$AJ43,0)-AM43</f>
        <v>7053</v>
      </c>
      <c r="AO43" s="1449">
        <f>[11]Dec!$AN43</f>
        <v>7780</v>
      </c>
      <c r="AP43" s="1455">
        <f t="shared" ref="AP43:AP58" si="55">AN43-AO43</f>
        <v>-727</v>
      </c>
      <c r="AQ43" s="1457">
        <f>AN43-AE42</f>
        <v>2468</v>
      </c>
      <c r="AR43" s="1449"/>
      <c r="AS43" s="1040"/>
      <c r="AT43" s="1040"/>
      <c r="AU43" s="1040"/>
      <c r="AV43" s="1040"/>
      <c r="AW43" s="1040"/>
      <c r="AX43" s="1040"/>
      <c r="AY43" s="1040"/>
      <c r="AZ43" s="1040"/>
      <c r="BA43" s="1040"/>
      <c r="BB43" s="1445"/>
      <c r="BC43" s="1040"/>
      <c r="BD43" s="1040"/>
      <c r="BE43" s="1040"/>
      <c r="BF43" s="1040"/>
      <c r="BG43" s="1040"/>
      <c r="BH43" s="1040"/>
    </row>
    <row r="44" spans="1:60">
      <c r="A44" s="123">
        <v>2011</v>
      </c>
      <c r="B44" s="139">
        <v>40900</v>
      </c>
      <c r="C44" s="831">
        <v>19</v>
      </c>
      <c r="D44" s="346" t="str">
        <f t="shared" si="39"/>
        <v>Fri</v>
      </c>
      <c r="E44" s="133">
        <f>[7]MoCoinMW!F$268</f>
        <v>5043</v>
      </c>
      <c r="F44" s="133">
        <f>[7]MoCoinMW!G$268</f>
        <v>4893</v>
      </c>
      <c r="G44" s="164">
        <f>SUM([6]Hist!M$388:O$388)</f>
        <v>0</v>
      </c>
      <c r="H44" s="164">
        <f>[6]Hist!L$388</f>
        <v>0</v>
      </c>
      <c r="I44" s="164">
        <f>[6]Hist!P$388</f>
        <v>0</v>
      </c>
      <c r="J44" s="133">
        <f>SUM(F44:I44)</f>
        <v>4893</v>
      </c>
      <c r="K44" s="164">
        <f>[6]Hist!U$388</f>
        <v>833</v>
      </c>
      <c r="L44" s="164">
        <f>[6]Hist!V$388</f>
        <v>110</v>
      </c>
      <c r="M44" s="133">
        <f t="shared" si="40"/>
        <v>5726</v>
      </c>
      <c r="N44" s="164">
        <f>'Interruptible Forecast'!AS22</f>
        <v>198</v>
      </c>
      <c r="O44" s="1377">
        <f t="shared" si="11"/>
        <v>4585</v>
      </c>
      <c r="P44" s="132">
        <f>[8]FCST!$BN18</f>
        <v>1644408</v>
      </c>
      <c r="Q44" s="463">
        <f>[8]FCST!$DP18</f>
        <v>23606</v>
      </c>
      <c r="R44" s="558"/>
      <c r="S44" s="463">
        <f>[8]FCST!$CX18</f>
        <v>62100</v>
      </c>
      <c r="T44" s="387"/>
      <c r="U44" s="374">
        <f>P44-Q44+R$31</f>
        <v>1627436</v>
      </c>
      <c r="V44" s="374">
        <f t="shared" si="43"/>
        <v>14762</v>
      </c>
      <c r="W44" s="132">
        <f t="shared" si="27"/>
        <v>15142</v>
      </c>
      <c r="X44" s="680">
        <f>[5]Dec!J39</f>
        <v>75.3</v>
      </c>
      <c r="Y44" s="680">
        <f>[5]Dec!K39</f>
        <v>71.2</v>
      </c>
      <c r="Z44" s="680">
        <f>[5]Dec!L39</f>
        <v>73.900000000000006</v>
      </c>
      <c r="AA44" s="499">
        <f>U44-U43</f>
        <v>15142</v>
      </c>
      <c r="AD44" s="1445">
        <f t="shared" si="41"/>
        <v>2013</v>
      </c>
      <c r="AE44" s="1446"/>
      <c r="AF44" s="1447">
        <f t="shared" si="42"/>
        <v>1663434.0901582683</v>
      </c>
      <c r="AG44" s="1458">
        <f t="shared" si="52"/>
        <v>38.6</v>
      </c>
      <c r="AH44" s="1458">
        <f t="shared" si="53"/>
        <v>43.6</v>
      </c>
      <c r="AI44" s="1449">
        <v>0</v>
      </c>
      <c r="AJ44" s="1445">
        <v>0</v>
      </c>
      <c r="AK44" s="1449"/>
      <c r="AL44" s="1449"/>
      <c r="AM44" s="1449">
        <v>25</v>
      </c>
      <c r="AN44" s="1539">
        <f t="shared" si="54"/>
        <v>7150</v>
      </c>
      <c r="AO44" s="1449">
        <f>[11]Dec!$AN44</f>
        <v>7890</v>
      </c>
      <c r="AP44" s="1455">
        <f t="shared" si="55"/>
        <v>-740</v>
      </c>
      <c r="AQ44" s="1457">
        <f t="shared" ref="AQ44:AQ54" si="56">AN44-AN43</f>
        <v>97</v>
      </c>
      <c r="AR44" s="1449"/>
      <c r="AS44" s="1040"/>
      <c r="AT44" s="1040"/>
      <c r="AU44" s="1040"/>
      <c r="AV44" s="1040"/>
      <c r="AW44" s="1040"/>
      <c r="AX44" s="1040"/>
      <c r="AY44" s="1040"/>
      <c r="AZ44" s="1040"/>
      <c r="BA44" s="1040"/>
      <c r="BB44" s="1445"/>
      <c r="BC44" s="1040"/>
      <c r="BD44" s="1040"/>
      <c r="BE44" s="1040"/>
      <c r="BF44" s="1040"/>
      <c r="BG44" s="1040"/>
      <c r="BH44" s="1040"/>
    </row>
    <row r="45" spans="1:60">
      <c r="A45" s="123">
        <v>2012</v>
      </c>
      <c r="B45" s="139">
        <v>41266</v>
      </c>
      <c r="C45" s="284">
        <v>9</v>
      </c>
      <c r="D45" s="915" t="str">
        <f t="shared" si="39"/>
        <v>Sun</v>
      </c>
      <c r="E45" s="133">
        <f>[7]MoCoinMW!F$280</f>
        <v>6555</v>
      </c>
      <c r="F45" s="133">
        <f>[7]MoCoinMW!G$280</f>
        <v>5882</v>
      </c>
      <c r="G45" s="164">
        <f>SUM([6]Hist!M$400:O$400)</f>
        <v>0</v>
      </c>
      <c r="H45" s="164">
        <f>[6]Hist!L$400</f>
        <v>0</v>
      </c>
      <c r="I45" s="164">
        <f>[6]Hist!P$400</f>
        <v>0</v>
      </c>
      <c r="J45" s="133">
        <f>SUM(F45:I45)</f>
        <v>5882</v>
      </c>
      <c r="K45" s="164">
        <f>[6]Hist!U$400</f>
        <v>900</v>
      </c>
      <c r="L45" s="164">
        <f>[6]Hist!V$400</f>
        <v>124</v>
      </c>
      <c r="M45" s="133">
        <f t="shared" si="40"/>
        <v>6782</v>
      </c>
      <c r="N45" s="164">
        <f>'Interruptible Forecast'!AS23</f>
        <v>182</v>
      </c>
      <c r="O45" s="1377">
        <f t="shared" si="11"/>
        <v>5576</v>
      </c>
      <c r="P45" s="132">
        <f>[8]FCST!$BN19</f>
        <v>1659840</v>
      </c>
      <c r="Q45" s="463">
        <f>[8]FCST!$DP19</f>
        <v>24120</v>
      </c>
      <c r="R45" s="558"/>
      <c r="S45" s="463">
        <f>[8]FCST!$CX19</f>
        <v>62132</v>
      </c>
      <c r="T45" s="387"/>
      <c r="U45" s="374">
        <f>P45-Q45+R$31</f>
        <v>1642354</v>
      </c>
      <c r="V45" s="374">
        <f t="shared" si="43"/>
        <v>14836</v>
      </c>
      <c r="W45" s="132">
        <f t="shared" si="27"/>
        <v>14918</v>
      </c>
      <c r="X45" s="972">
        <f>[5]Dec!J40</f>
        <v>39.700000000000003</v>
      </c>
      <c r="Y45" s="972">
        <f>[5]Dec!K40</f>
        <v>48.1</v>
      </c>
      <c r="Z45" s="972">
        <f>[5]Dec!L40</f>
        <v>42.5</v>
      </c>
      <c r="AA45" s="499">
        <f>U45-U44</f>
        <v>14918</v>
      </c>
      <c r="AD45" s="1445">
        <f t="shared" si="41"/>
        <v>2014</v>
      </c>
      <c r="AE45" s="1446"/>
      <c r="AF45" s="1447">
        <f t="shared" si="42"/>
        <v>1686785.9471695223</v>
      </c>
      <c r="AG45" s="1458">
        <f t="shared" si="52"/>
        <v>38.6</v>
      </c>
      <c r="AH45" s="1458">
        <f t="shared" si="53"/>
        <v>43.6</v>
      </c>
      <c r="AI45" s="1449">
        <v>0</v>
      </c>
      <c r="AJ45" s="1445">
        <v>0</v>
      </c>
      <c r="AK45" s="1449"/>
      <c r="AL45" s="1449"/>
      <c r="AM45" s="1449">
        <v>25</v>
      </c>
      <c r="AN45" s="1539">
        <f t="shared" si="54"/>
        <v>7257</v>
      </c>
      <c r="AO45" s="1449">
        <f>[11]Dec!$AN45</f>
        <v>8033</v>
      </c>
      <c r="AP45" s="1455">
        <f t="shared" si="55"/>
        <v>-776</v>
      </c>
      <c r="AQ45" s="1457">
        <f t="shared" si="56"/>
        <v>107</v>
      </c>
      <c r="AR45" s="1449"/>
      <c r="AS45" s="1040"/>
      <c r="AT45" s="1040"/>
      <c r="AU45" s="1040"/>
      <c r="AV45" s="1040"/>
      <c r="AW45" s="1040"/>
      <c r="AX45" s="1040"/>
      <c r="AY45" s="1040"/>
      <c r="AZ45" s="1040"/>
      <c r="BA45" s="1040"/>
      <c r="BB45" s="1445"/>
      <c r="BC45" s="1040"/>
      <c r="BD45" s="1040"/>
      <c r="BE45" s="1040"/>
      <c r="BF45" s="1040"/>
      <c r="BG45" s="1040"/>
      <c r="BH45" s="1040"/>
    </row>
    <row r="46" spans="1:60">
      <c r="A46" s="123">
        <v>2013</v>
      </c>
      <c r="P46" s="132">
        <f>[8]FCST!$BN20</f>
        <v>1679025.89265728</v>
      </c>
      <c r="Q46" s="371">
        <f t="shared" ref="Q46:Q53" si="57">R46*S46</f>
        <v>22225.80249901165</v>
      </c>
      <c r="R46" s="558">
        <f t="shared" ref="R46:R73" si="58">$R$4</f>
        <v>0.35599999999999998</v>
      </c>
      <c r="S46" s="371">
        <f>[8]FCST!$CX20</f>
        <v>62432.029491605761</v>
      </c>
      <c r="T46" s="387">
        <f>[8]FCST!$CF20</f>
        <v>1486476.89265728</v>
      </c>
      <c r="U46" s="679">
        <f t="shared" si="31"/>
        <v>1663434.0901582683</v>
      </c>
      <c r="V46" s="374">
        <f t="shared" si="43"/>
        <v>14910</v>
      </c>
      <c r="W46" s="132">
        <f t="shared" si="27"/>
        <v>21080.090158268344</v>
      </c>
      <c r="X46" s="123"/>
      <c r="Z46" s="123"/>
      <c r="AD46" s="1445">
        <f t="shared" si="41"/>
        <v>2015</v>
      </c>
      <c r="AE46" s="1446"/>
      <c r="AF46" s="1447">
        <f t="shared" si="42"/>
        <v>1713264.9484621112</v>
      </c>
      <c r="AG46" s="1458">
        <f t="shared" si="52"/>
        <v>38.6</v>
      </c>
      <c r="AH46" s="1458">
        <f t="shared" si="53"/>
        <v>43.6</v>
      </c>
      <c r="AI46" s="1449">
        <v>0</v>
      </c>
      <c r="AJ46" s="1445">
        <v>0</v>
      </c>
      <c r="AK46" s="1449"/>
      <c r="AL46" s="1449"/>
      <c r="AM46" s="1449">
        <v>25</v>
      </c>
      <c r="AN46" s="1539">
        <f t="shared" si="54"/>
        <v>7379</v>
      </c>
      <c r="AO46" s="1449">
        <f>[11]Dec!$AN46</f>
        <v>8181</v>
      </c>
      <c r="AP46" s="1455">
        <f t="shared" si="55"/>
        <v>-802</v>
      </c>
      <c r="AQ46" s="1457">
        <f t="shared" si="56"/>
        <v>122</v>
      </c>
      <c r="AR46" s="1449"/>
      <c r="AS46" s="1040"/>
      <c r="AT46" s="1040"/>
      <c r="AU46" s="1040"/>
      <c r="AV46" s="1040"/>
      <c r="AW46" s="1040"/>
      <c r="AX46" s="1040"/>
      <c r="AY46" s="1040"/>
      <c r="AZ46" s="1040"/>
      <c r="BA46" s="1040"/>
      <c r="BB46" s="1445"/>
      <c r="BC46" s="1040"/>
      <c r="BD46" s="1040"/>
      <c r="BE46" s="1040"/>
      <c r="BF46" s="1040"/>
      <c r="BG46" s="1040"/>
      <c r="BH46" s="1040"/>
    </row>
    <row r="47" spans="1:60">
      <c r="A47" s="123">
        <v>2014</v>
      </c>
      <c r="P47" s="132">
        <f>[8]FCST!$BN21</f>
        <v>1702695.95912638</v>
      </c>
      <c r="Q47" s="371">
        <f t="shared" si="57"/>
        <v>22544.011956857634</v>
      </c>
      <c r="R47" s="558">
        <f t="shared" si="58"/>
        <v>0.35599999999999998</v>
      </c>
      <c r="S47" s="371">
        <f>[8]FCST!$CX21</f>
        <v>63325.876283307967</v>
      </c>
      <c r="T47" s="387">
        <f>[8]FCST!$CF21</f>
        <v>1507758.95912638</v>
      </c>
      <c r="U47" s="679">
        <f t="shared" si="31"/>
        <v>1686785.9471695223</v>
      </c>
      <c r="V47" s="374">
        <f t="shared" si="43"/>
        <v>14985</v>
      </c>
      <c r="W47" s="132">
        <f t="shared" si="27"/>
        <v>23351.857011253946</v>
      </c>
      <c r="X47" s="123"/>
      <c r="Z47" s="123"/>
      <c r="AD47" s="1445">
        <f t="shared" si="41"/>
        <v>2016</v>
      </c>
      <c r="AE47" s="1446"/>
      <c r="AF47" s="1447">
        <f t="shared" si="42"/>
        <v>1739325.635962199</v>
      </c>
      <c r="AG47" s="1458">
        <f t="shared" si="52"/>
        <v>38.6</v>
      </c>
      <c r="AH47" s="1458">
        <f t="shared" si="53"/>
        <v>43.6</v>
      </c>
      <c r="AI47" s="1449">
        <v>0</v>
      </c>
      <c r="AJ47" s="1445">
        <v>0</v>
      </c>
      <c r="AK47" s="1449"/>
      <c r="AL47" s="1449"/>
      <c r="AM47" s="1449">
        <v>25</v>
      </c>
      <c r="AN47" s="1539">
        <f t="shared" si="54"/>
        <v>7499</v>
      </c>
      <c r="AO47" s="1449">
        <f>[11]Dec!$AN47</f>
        <v>8327</v>
      </c>
      <c r="AP47" s="1455">
        <f t="shared" si="55"/>
        <v>-828</v>
      </c>
      <c r="AQ47" s="1457">
        <f t="shared" si="56"/>
        <v>120</v>
      </c>
      <c r="AR47" s="134"/>
    </row>
    <row r="48" spans="1:60">
      <c r="A48" s="123">
        <v>2015</v>
      </c>
      <c r="P48" s="132">
        <f>[8]FCST!$BN22</f>
        <v>1729534.86865829</v>
      </c>
      <c r="Q48" s="371">
        <f t="shared" si="57"/>
        <v>22903.920196178751</v>
      </c>
      <c r="R48" s="558">
        <f t="shared" si="58"/>
        <v>0.35599999999999998</v>
      </c>
      <c r="S48" s="371">
        <f>[8]FCST!$CX22</f>
        <v>64336.854483648181</v>
      </c>
      <c r="T48" s="387">
        <f>[8]FCST!$CF22</f>
        <v>1531829.86865829</v>
      </c>
      <c r="U48" s="679">
        <f t="shared" si="31"/>
        <v>1713264.9484621112</v>
      </c>
      <c r="V48" s="374">
        <f t="shared" si="43"/>
        <v>15060</v>
      </c>
      <c r="W48" s="132">
        <f t="shared" si="27"/>
        <v>26479.001292588888</v>
      </c>
      <c r="X48" s="123"/>
      <c r="Z48" s="123"/>
      <c r="AD48" s="1445">
        <f t="shared" si="41"/>
        <v>2017</v>
      </c>
      <c r="AE48" s="1446"/>
      <c r="AF48" s="1447">
        <f t="shared" si="42"/>
        <v>1765168.3801860285</v>
      </c>
      <c r="AG48" s="1458">
        <f t="shared" si="52"/>
        <v>38.6</v>
      </c>
      <c r="AH48" s="1458">
        <f t="shared" si="53"/>
        <v>43.6</v>
      </c>
      <c r="AI48" s="1449">
        <v>0</v>
      </c>
      <c r="AJ48" s="1445">
        <v>0</v>
      </c>
      <c r="AK48" s="1449"/>
      <c r="AL48" s="1449"/>
      <c r="AM48" s="1449">
        <v>25</v>
      </c>
      <c r="AN48" s="1539">
        <f t="shared" si="54"/>
        <v>7617</v>
      </c>
      <c r="AO48" s="1449">
        <f>[11]Dec!$AN48</f>
        <v>8479</v>
      </c>
      <c r="AP48" s="1455">
        <f t="shared" si="55"/>
        <v>-862</v>
      </c>
      <c r="AQ48" s="1457">
        <f t="shared" si="56"/>
        <v>118</v>
      </c>
      <c r="AR48" s="134"/>
    </row>
    <row r="49" spans="1:44">
      <c r="A49" s="123">
        <v>2016</v>
      </c>
      <c r="P49" s="132">
        <f>[8]FCST!$BN23</f>
        <v>1755950.3443265699</v>
      </c>
      <c r="Q49" s="371">
        <f t="shared" si="57"/>
        <v>23258.708364370872</v>
      </c>
      <c r="R49" s="558">
        <f t="shared" si="58"/>
        <v>0.35599999999999998</v>
      </c>
      <c r="S49" s="371">
        <f>[8]FCST!$CX23</f>
        <v>65333.45046171594</v>
      </c>
      <c r="T49" s="387">
        <f>[8]FCST!$CF23</f>
        <v>1555558.3443265699</v>
      </c>
      <c r="U49" s="679">
        <f t="shared" si="31"/>
        <v>1739325.635962199</v>
      </c>
      <c r="V49" s="374">
        <f t="shared" si="43"/>
        <v>15135</v>
      </c>
      <c r="W49" s="132">
        <f t="shared" si="27"/>
        <v>26060.687500087777</v>
      </c>
      <c r="X49" s="123"/>
      <c r="Z49" s="123"/>
      <c r="AD49" s="1445">
        <f t="shared" si="41"/>
        <v>2018</v>
      </c>
      <c r="AE49" s="1446"/>
      <c r="AF49" s="1447">
        <f t="shared" si="42"/>
        <v>1789565.1090331643</v>
      </c>
      <c r="AG49" s="1458">
        <f t="shared" si="52"/>
        <v>38.6</v>
      </c>
      <c r="AH49" s="1458">
        <f t="shared" si="53"/>
        <v>43.6</v>
      </c>
      <c r="AI49" s="1449">
        <v>0</v>
      </c>
      <c r="AJ49" s="1445">
        <v>0</v>
      </c>
      <c r="AK49" s="1449"/>
      <c r="AL49" s="1449"/>
      <c r="AM49" s="1449">
        <v>25</v>
      </c>
      <c r="AN49" s="1539">
        <f t="shared" si="54"/>
        <v>7729</v>
      </c>
      <c r="AO49" s="1449">
        <f>[11]Dec!$AN49</f>
        <v>8632</v>
      </c>
      <c r="AP49" s="1455">
        <f t="shared" si="55"/>
        <v>-903</v>
      </c>
      <c r="AQ49" s="1457">
        <f t="shared" si="56"/>
        <v>112</v>
      </c>
      <c r="AR49" s="134"/>
    </row>
    <row r="50" spans="1:44">
      <c r="A50" s="123">
        <v>2017</v>
      </c>
      <c r="P50" s="132">
        <f>[8]FCST!$BN24</f>
        <v>1782145.0542938299</v>
      </c>
      <c r="Q50" s="371">
        <f t="shared" si="57"/>
        <v>23610.674107801344</v>
      </c>
      <c r="R50" s="558">
        <f t="shared" si="58"/>
        <v>0.35599999999999998</v>
      </c>
      <c r="S50" s="371">
        <f>[8]FCST!$CX24</f>
        <v>66322.118280340859</v>
      </c>
      <c r="T50" s="387">
        <f>[8]FCST!$CF24</f>
        <v>1579098.0542938299</v>
      </c>
      <c r="U50" s="679">
        <f t="shared" si="31"/>
        <v>1765168.3801860285</v>
      </c>
      <c r="V50" s="374">
        <f t="shared" si="43"/>
        <v>15211</v>
      </c>
      <c r="W50" s="132">
        <f t="shared" si="27"/>
        <v>25842.744223829592</v>
      </c>
      <c r="X50" s="123"/>
      <c r="Z50" s="123"/>
      <c r="AD50" s="1445">
        <f t="shared" si="41"/>
        <v>2019</v>
      </c>
      <c r="AE50" s="1446"/>
      <c r="AF50" s="1447">
        <f t="shared" si="42"/>
        <v>1812910.6968501252</v>
      </c>
      <c r="AG50" s="1458">
        <f t="shared" si="52"/>
        <v>38.6</v>
      </c>
      <c r="AH50" s="1458">
        <f t="shared" si="53"/>
        <v>43.6</v>
      </c>
      <c r="AI50" s="1449">
        <v>0</v>
      </c>
      <c r="AJ50" s="1445">
        <v>0</v>
      </c>
      <c r="AK50" s="1449"/>
      <c r="AL50" s="1449"/>
      <c r="AM50" s="1449">
        <v>25</v>
      </c>
      <c r="AN50" s="1539">
        <f t="shared" si="54"/>
        <v>7837</v>
      </c>
      <c r="AO50" s="1449">
        <f>[11]Dec!$AN50</f>
        <v>8787</v>
      </c>
      <c r="AP50" s="1455">
        <f t="shared" si="55"/>
        <v>-950</v>
      </c>
      <c r="AQ50" s="1457">
        <f t="shared" si="56"/>
        <v>108</v>
      </c>
      <c r="AR50" s="134"/>
    </row>
    <row r="51" spans="1:44">
      <c r="A51" s="123">
        <v>2018</v>
      </c>
      <c r="P51" s="132">
        <f>[8]FCST!$BN25</f>
        <v>1806874.3499455501</v>
      </c>
      <c r="Q51" s="371">
        <f t="shared" si="57"/>
        <v>23943.240912385863</v>
      </c>
      <c r="R51" s="558">
        <f t="shared" si="58"/>
        <v>0.35599999999999998</v>
      </c>
      <c r="S51" s="371">
        <f>[8]FCST!$CX25</f>
        <v>67256.294697713107</v>
      </c>
      <c r="T51" s="387">
        <f>[8]FCST!$CF25</f>
        <v>1601340.3499455501</v>
      </c>
      <c r="U51" s="679">
        <f t="shared" si="31"/>
        <v>1789565.1090331643</v>
      </c>
      <c r="V51" s="374">
        <f t="shared" si="43"/>
        <v>15287</v>
      </c>
      <c r="W51" s="132">
        <f t="shared" si="27"/>
        <v>24396.72884713579</v>
      </c>
      <c r="X51" s="123"/>
      <c r="Z51" s="123"/>
      <c r="AD51" s="1445">
        <f t="shared" si="41"/>
        <v>2020</v>
      </c>
      <c r="AE51" s="1446"/>
      <c r="AF51" s="1447">
        <f t="shared" si="42"/>
        <v>1835742.7918430464</v>
      </c>
      <c r="AG51" s="1458">
        <f t="shared" si="52"/>
        <v>38.6</v>
      </c>
      <c r="AH51" s="1458">
        <f t="shared" si="53"/>
        <v>43.6</v>
      </c>
      <c r="AI51" s="1449">
        <v>0</v>
      </c>
      <c r="AJ51" s="1445">
        <v>0</v>
      </c>
      <c r="AK51" s="1449"/>
      <c r="AL51" s="1449"/>
      <c r="AM51" s="1449">
        <v>25</v>
      </c>
      <c r="AN51" s="1539">
        <f t="shared" si="54"/>
        <v>7942</v>
      </c>
      <c r="AO51" s="1449">
        <f>[11]Dec!$AN51</f>
        <v>8939</v>
      </c>
      <c r="AP51" s="1455">
        <f t="shared" si="55"/>
        <v>-997</v>
      </c>
      <c r="AQ51" s="1457">
        <f t="shared" si="56"/>
        <v>105</v>
      </c>
      <c r="AR51" s="134"/>
    </row>
    <row r="52" spans="1:44">
      <c r="A52" s="123">
        <v>2019</v>
      </c>
      <c r="P52" s="132">
        <f>[8]FCST!$BN26</f>
        <v>1830538.67439772</v>
      </c>
      <c r="Q52" s="371">
        <f t="shared" si="57"/>
        <v>24261.977547594714</v>
      </c>
      <c r="R52" s="558">
        <f t="shared" si="58"/>
        <v>0.35599999999999998</v>
      </c>
      <c r="S52" s="371">
        <f>[8]FCST!$CX26</f>
        <v>68151.622324704251</v>
      </c>
      <c r="T52" s="387">
        <f>[8]FCST!$CF26</f>
        <v>1622657.67439772</v>
      </c>
      <c r="U52" s="679">
        <f t="shared" si="31"/>
        <v>1812910.6968501252</v>
      </c>
      <c r="V52" s="374">
        <f t="shared" si="43"/>
        <v>15363</v>
      </c>
      <c r="W52" s="132">
        <f t="shared" si="27"/>
        <v>23345.587816960877</v>
      </c>
      <c r="X52" s="123"/>
      <c r="Z52" s="123"/>
      <c r="AD52" s="1445">
        <f t="shared" si="41"/>
        <v>2021</v>
      </c>
      <c r="AE52" s="1446"/>
      <c r="AF52" s="1447">
        <f t="shared" si="42"/>
        <v>1857840.526471914</v>
      </c>
      <c r="AG52" s="1458">
        <f t="shared" si="52"/>
        <v>38.6</v>
      </c>
      <c r="AH52" s="1458">
        <f t="shared" si="53"/>
        <v>43.6</v>
      </c>
      <c r="AI52" s="1449">
        <v>0</v>
      </c>
      <c r="AJ52" s="1445">
        <v>0</v>
      </c>
      <c r="AK52" s="1449"/>
      <c r="AL52" s="1449"/>
      <c r="AM52" s="1449">
        <v>25</v>
      </c>
      <c r="AN52" s="1539">
        <f t="shared" si="54"/>
        <v>8043</v>
      </c>
      <c r="AO52" s="1449">
        <f>[11]Dec!$AN52</f>
        <v>9089</v>
      </c>
      <c r="AP52" s="1455">
        <f t="shared" si="55"/>
        <v>-1046</v>
      </c>
      <c r="AQ52" s="1457">
        <f t="shared" si="56"/>
        <v>101</v>
      </c>
      <c r="AR52" s="134"/>
    </row>
    <row r="53" spans="1:44">
      <c r="A53" s="123">
        <v>2020</v>
      </c>
      <c r="P53" s="132">
        <f>[8]FCST!$BN27</f>
        <v>1853682.66801521</v>
      </c>
      <c r="Q53" s="371">
        <f t="shared" si="57"/>
        <v>24573.876172163418</v>
      </c>
      <c r="R53" s="558">
        <f t="shared" si="58"/>
        <v>0.35599999999999998</v>
      </c>
      <c r="S53" s="371">
        <f>[8]FCST!$CX27</f>
        <v>69027.742056638817</v>
      </c>
      <c r="T53" s="387">
        <f>[8]FCST!$CF27</f>
        <v>1643517.66801521</v>
      </c>
      <c r="U53" s="679">
        <f t="shared" si="31"/>
        <v>1835742.7918430464</v>
      </c>
      <c r="V53" s="374">
        <f t="shared" si="43"/>
        <v>15440</v>
      </c>
      <c r="W53" s="132">
        <f t="shared" si="27"/>
        <v>22832.094992921222</v>
      </c>
      <c r="X53" s="123"/>
      <c r="Z53" s="123"/>
      <c r="AD53" s="1445">
        <f t="shared" si="41"/>
        <v>2022</v>
      </c>
      <c r="AE53" s="1446"/>
      <c r="AF53" s="1447">
        <f t="shared" si="42"/>
        <v>1879052.7641496547</v>
      </c>
      <c r="AG53" s="1458">
        <f t="shared" si="52"/>
        <v>38.6</v>
      </c>
      <c r="AH53" s="1458">
        <f t="shared" si="53"/>
        <v>43.6</v>
      </c>
      <c r="AI53" s="1449">
        <v>0</v>
      </c>
      <c r="AJ53" s="1445">
        <v>0</v>
      </c>
      <c r="AK53" s="1449"/>
      <c r="AL53" s="1449"/>
      <c r="AM53" s="1449">
        <v>25</v>
      </c>
      <c r="AN53" s="1539">
        <f t="shared" si="54"/>
        <v>8141</v>
      </c>
      <c r="AO53" s="1449">
        <f>[11]Dec!$AN53</f>
        <v>9237</v>
      </c>
      <c r="AP53" s="1455">
        <f t="shared" si="55"/>
        <v>-1096</v>
      </c>
      <c r="AQ53" s="1457">
        <f t="shared" si="56"/>
        <v>98</v>
      </c>
      <c r="AR53" s="134"/>
    </row>
    <row r="54" spans="1:44">
      <c r="A54" s="123">
        <v>2021</v>
      </c>
      <c r="P54" s="132">
        <f>[8]FCST!$BN28</f>
        <v>1876082.6116249301</v>
      </c>
      <c r="Q54" s="371">
        <f t="shared" ref="Q54:Q63" si="59">R54*S54</f>
        <v>24876.085153015956</v>
      </c>
      <c r="R54" s="558">
        <f t="shared" si="58"/>
        <v>0.35599999999999998</v>
      </c>
      <c r="S54" s="371">
        <f>[8]FCST!$CX28</f>
        <v>69876.643688247073</v>
      </c>
      <c r="T54" s="387">
        <f>[8]FCST!$CF28</f>
        <v>1663729.6116249301</v>
      </c>
      <c r="U54" s="679">
        <f t="shared" si="31"/>
        <v>1857840.526471914</v>
      </c>
      <c r="V54" s="374">
        <f t="shared" si="43"/>
        <v>15517</v>
      </c>
      <c r="W54" s="132">
        <f t="shared" si="27"/>
        <v>22097.734628867591</v>
      </c>
      <c r="AD54" s="1445">
        <f t="shared" si="41"/>
        <v>2023</v>
      </c>
      <c r="AE54" s="1446"/>
      <c r="AF54" s="1447">
        <f t="shared" si="42"/>
        <v>1899168.2992446467</v>
      </c>
      <c r="AG54" s="1458">
        <f t="shared" si="52"/>
        <v>38.6</v>
      </c>
      <c r="AH54" s="1458">
        <f t="shared" si="53"/>
        <v>43.6</v>
      </c>
      <c r="AI54" s="1449">
        <v>0</v>
      </c>
      <c r="AJ54" s="1445">
        <v>0</v>
      </c>
      <c r="AK54" s="1449"/>
      <c r="AL54" s="1449"/>
      <c r="AM54" s="1449">
        <v>25</v>
      </c>
      <c r="AN54" s="1539">
        <f t="shared" si="54"/>
        <v>8233</v>
      </c>
      <c r="AO54" s="1449">
        <f>[11]Dec!$AN54</f>
        <v>9383</v>
      </c>
      <c r="AP54" s="1455">
        <f t="shared" si="55"/>
        <v>-1150</v>
      </c>
      <c r="AQ54" s="1457">
        <f t="shared" si="56"/>
        <v>92</v>
      </c>
    </row>
    <row r="55" spans="1:44">
      <c r="A55" s="123">
        <v>2022</v>
      </c>
      <c r="P55" s="132">
        <f>[8]FCST!$BN29</f>
        <v>1897585.07454424</v>
      </c>
      <c r="Q55" s="371">
        <f t="shared" si="59"/>
        <v>25166.310394585478</v>
      </c>
      <c r="R55" s="558">
        <f t="shared" si="58"/>
        <v>0.35599999999999998</v>
      </c>
      <c r="S55" s="371">
        <f>[8]FCST!$CX29</f>
        <v>70691.883130858085</v>
      </c>
      <c r="T55" s="387">
        <f>[8]FCST!$CF29</f>
        <v>1683140.07454424</v>
      </c>
      <c r="U55" s="679">
        <f t="shared" si="31"/>
        <v>1879052.7641496547</v>
      </c>
      <c r="V55" s="374">
        <f t="shared" si="43"/>
        <v>15595</v>
      </c>
      <c r="W55" s="132">
        <f t="shared" si="27"/>
        <v>21212.237677740632</v>
      </c>
      <c r="AD55" s="1445">
        <f t="shared" si="41"/>
        <v>2024</v>
      </c>
      <c r="AE55" s="1446"/>
      <c r="AF55" s="1447">
        <f t="shared" si="42"/>
        <v>1918661.6279940105</v>
      </c>
      <c r="AG55" s="1458">
        <f t="shared" si="52"/>
        <v>38.6</v>
      </c>
      <c r="AH55" s="1458">
        <f t="shared" si="53"/>
        <v>43.6</v>
      </c>
      <c r="AI55" s="1449">
        <v>0</v>
      </c>
      <c r="AJ55" s="1445">
        <v>0</v>
      </c>
      <c r="AK55" s="1449"/>
      <c r="AL55" s="1449"/>
      <c r="AM55" s="1449">
        <v>25</v>
      </c>
      <c r="AN55" s="1539">
        <f t="shared" si="54"/>
        <v>8323</v>
      </c>
      <c r="AO55" s="1449">
        <f>[11]Dec!$AN55</f>
        <v>9527</v>
      </c>
      <c r="AP55" s="1455">
        <f t="shared" si="55"/>
        <v>-1204</v>
      </c>
      <c r="AQ55" s="1457">
        <f t="shared" ref="AQ55:AQ61" si="60">AN55-AN54</f>
        <v>90</v>
      </c>
    </row>
    <row r="56" spans="1:44">
      <c r="A56" s="123">
        <v>2023</v>
      </c>
      <c r="P56" s="132">
        <f>[8]FCST!$BN30</f>
        <v>1917976.2979556799</v>
      </c>
      <c r="Q56" s="371">
        <f t="shared" si="59"/>
        <v>25441.998711033328</v>
      </c>
      <c r="R56" s="558">
        <f t="shared" si="58"/>
        <v>0.35599999999999998</v>
      </c>
      <c r="S56" s="371">
        <f>[8]FCST!$CX30</f>
        <v>71466.288514138563</v>
      </c>
      <c r="T56" s="387">
        <f>[8]FCST!$CF30</f>
        <v>1701578.2979556799</v>
      </c>
      <c r="U56" s="679">
        <f t="shared" si="31"/>
        <v>1899168.2992446467</v>
      </c>
      <c r="V56" s="374">
        <f t="shared" si="43"/>
        <v>15673</v>
      </c>
      <c r="W56" s="132">
        <f t="shared" si="27"/>
        <v>20115.535094992025</v>
      </c>
      <c r="AD56" s="1445">
        <f t="shared" si="41"/>
        <v>2025</v>
      </c>
      <c r="AE56" s="1446"/>
      <c r="AF56" s="1447">
        <f t="shared" si="42"/>
        <v>1937182.6351892364</v>
      </c>
      <c r="AG56" s="1458">
        <f t="shared" si="52"/>
        <v>38.6</v>
      </c>
      <c r="AH56" s="1458">
        <f t="shared" si="53"/>
        <v>43.6</v>
      </c>
      <c r="AI56" s="1449">
        <v>0</v>
      </c>
      <c r="AJ56" s="1445">
        <v>0</v>
      </c>
      <c r="AK56" s="1449"/>
      <c r="AL56" s="1449"/>
      <c r="AM56" s="1449">
        <v>25</v>
      </c>
      <c r="AN56" s="1539">
        <f t="shared" si="54"/>
        <v>8408</v>
      </c>
      <c r="AO56" s="1449">
        <f>[11]Dec!$AN56</f>
        <v>9671</v>
      </c>
      <c r="AP56" s="1455">
        <f t="shared" si="55"/>
        <v>-1263</v>
      </c>
      <c r="AQ56" s="1457">
        <f t="shared" si="60"/>
        <v>85</v>
      </c>
    </row>
    <row r="57" spans="1:44">
      <c r="A57" s="123">
        <v>2024</v>
      </c>
      <c r="P57" s="132">
        <f>[8]FCST!$BN31</f>
        <v>1937736.9634637199</v>
      </c>
      <c r="Q57" s="371">
        <f t="shared" si="59"/>
        <v>25709.335469709542</v>
      </c>
      <c r="R57" s="558">
        <f t="shared" si="58"/>
        <v>0.35599999999999998</v>
      </c>
      <c r="S57" s="371">
        <f>[8]FCST!$CX31</f>
        <v>72217.234465476242</v>
      </c>
      <c r="T57" s="387">
        <f>[8]FCST!$CF31</f>
        <v>1719457.9634637199</v>
      </c>
      <c r="U57" s="679">
        <f t="shared" si="31"/>
        <v>1918661.6279940105</v>
      </c>
      <c r="V57" s="374">
        <f t="shared" si="43"/>
        <v>15751</v>
      </c>
      <c r="W57" s="132">
        <f t="shared" si="27"/>
        <v>19493.328749363776</v>
      </c>
      <c r="AD57" s="1445">
        <f t="shared" si="41"/>
        <v>2026</v>
      </c>
      <c r="AE57" s="1446"/>
      <c r="AF57" s="1447">
        <f t="shared" si="42"/>
        <v>1954979.520163544</v>
      </c>
      <c r="AG57" s="1458">
        <f t="shared" si="52"/>
        <v>38.6</v>
      </c>
      <c r="AH57" s="1458">
        <f t="shared" si="53"/>
        <v>43.6</v>
      </c>
      <c r="AI57" s="1449">
        <v>0</v>
      </c>
      <c r="AJ57" s="1445">
        <v>0</v>
      </c>
      <c r="AK57" s="1449"/>
      <c r="AL57" s="1449"/>
      <c r="AM57" s="1449">
        <v>25</v>
      </c>
      <c r="AN57" s="1539">
        <f t="shared" si="54"/>
        <v>8490</v>
      </c>
      <c r="AO57" s="1449">
        <f>[11]Dec!$AN57</f>
        <v>9813</v>
      </c>
      <c r="AP57" s="1455">
        <f t="shared" si="55"/>
        <v>-1323</v>
      </c>
      <c r="AQ57" s="1457">
        <f t="shared" si="60"/>
        <v>82</v>
      </c>
    </row>
    <row r="58" spans="1:44">
      <c r="A58" s="123">
        <v>2025</v>
      </c>
      <c r="P58" s="132">
        <f>[8]FCST!$BN32</f>
        <v>1956512.2638137799</v>
      </c>
      <c r="Q58" s="371">
        <f t="shared" si="59"/>
        <v>25963.628624543639</v>
      </c>
      <c r="R58" s="558">
        <f t="shared" si="58"/>
        <v>0.35599999999999998</v>
      </c>
      <c r="S58" s="371">
        <f>[8]FCST!$CX32</f>
        <v>72931.541080178766</v>
      </c>
      <c r="T58" s="387">
        <f>[8]FCST!$CF32</f>
        <v>1736465.2638137799</v>
      </c>
      <c r="U58" s="679">
        <f t="shared" si="31"/>
        <v>1937182.6351892364</v>
      </c>
      <c r="V58" s="374">
        <f t="shared" si="43"/>
        <v>15830</v>
      </c>
      <c r="W58" s="132">
        <f t="shared" si="27"/>
        <v>18521.007195225917</v>
      </c>
      <c r="AD58" s="1445">
        <f t="shared" si="41"/>
        <v>2027</v>
      </c>
      <c r="AE58" s="1446"/>
      <c r="AF58" s="1447">
        <f t="shared" si="42"/>
        <v>1972414.3481761608</v>
      </c>
      <c r="AG58" s="1458">
        <f t="shared" si="52"/>
        <v>38.6</v>
      </c>
      <c r="AH58" s="1458">
        <f t="shared" si="53"/>
        <v>43.6</v>
      </c>
      <c r="AI58" s="1449">
        <v>0</v>
      </c>
      <c r="AJ58" s="1445">
        <v>0</v>
      </c>
      <c r="AK58" s="1449"/>
      <c r="AL58" s="1449"/>
      <c r="AM58" s="1449">
        <v>25</v>
      </c>
      <c r="AN58" s="1539">
        <f t="shared" si="54"/>
        <v>8570</v>
      </c>
      <c r="AO58" s="1449">
        <f>[11]Dec!$AN58</f>
        <v>9954</v>
      </c>
      <c r="AP58" s="1455">
        <f t="shared" si="55"/>
        <v>-1384</v>
      </c>
      <c r="AQ58" s="1457">
        <f t="shared" si="60"/>
        <v>80</v>
      </c>
    </row>
    <row r="59" spans="1:44">
      <c r="A59" s="123">
        <v>2026</v>
      </c>
      <c r="P59" s="132">
        <f>[8]FCST!$BN33</f>
        <v>1974553.8621666599</v>
      </c>
      <c r="Q59" s="371">
        <f t="shared" si="59"/>
        <v>26208.3420031159</v>
      </c>
      <c r="R59" s="558">
        <f t="shared" si="58"/>
        <v>0.35599999999999998</v>
      </c>
      <c r="S59" s="371">
        <f>[8]FCST!$CX33</f>
        <v>73618.938210999724</v>
      </c>
      <c r="T59" s="387">
        <f>[8]FCST!$CF33</f>
        <v>1752831.8621666599</v>
      </c>
      <c r="U59" s="679">
        <f>P59-Q59+R$31</f>
        <v>1954979.520163544</v>
      </c>
      <c r="V59" s="374">
        <f t="shared" si="43"/>
        <v>15909</v>
      </c>
      <c r="W59" s="132">
        <f>U59-U58</f>
        <v>17796.884974307613</v>
      </c>
      <c r="X59" s="680"/>
      <c r="Y59" s="680"/>
      <c r="Z59" s="680"/>
      <c r="AD59" s="1445">
        <f t="shared" si="41"/>
        <v>2028</v>
      </c>
      <c r="AE59" s="1446"/>
      <c r="AF59" s="1447">
        <f t="shared" si="42"/>
        <v>1989476.4129532266</v>
      </c>
      <c r="AG59" s="1458">
        <f t="shared" si="52"/>
        <v>38.6</v>
      </c>
      <c r="AH59" s="1458">
        <f t="shared" si="53"/>
        <v>43.6</v>
      </c>
      <c r="AI59" s="1449">
        <v>0</v>
      </c>
      <c r="AJ59" s="1445">
        <v>0</v>
      </c>
      <c r="AK59" s="1449"/>
      <c r="AL59" s="1449"/>
      <c r="AM59" s="1449">
        <v>25</v>
      </c>
      <c r="AN59" s="1539">
        <f>ROUND($AX$13+$AW$13*$AF59+$AV$13*$AG59+$AU$13*$AH59+$AT$13*$AI59+$AS$13*$AJ59,0)-AM59</f>
        <v>8648</v>
      </c>
      <c r="AO59" s="1449">
        <f>[11]Dec!$AN59</f>
        <v>10094</v>
      </c>
      <c r="AP59" s="1455">
        <f>AN59-AO59</f>
        <v>-1446</v>
      </c>
      <c r="AQ59" s="1457">
        <f t="shared" si="60"/>
        <v>78</v>
      </c>
    </row>
    <row r="60" spans="1:44">
      <c r="A60" s="123">
        <v>2027</v>
      </c>
      <c r="P60" s="132">
        <f>[8]FCST!$BN34</f>
        <v>1992228.6213221699</v>
      </c>
      <c r="Q60" s="371">
        <f t="shared" si="59"/>
        <v>26448.273146009087</v>
      </c>
      <c r="R60" s="558">
        <f t="shared" si="58"/>
        <v>0.35599999999999998</v>
      </c>
      <c r="S60" s="371">
        <f>[8]FCST!$CX34</f>
        <v>74292.902095531143</v>
      </c>
      <c r="T60" s="387">
        <f>[8]FCST!$CF34</f>
        <v>1768878.6213221699</v>
      </c>
      <c r="U60" s="679">
        <f>P60-Q60+R$31</f>
        <v>1972414.3481761608</v>
      </c>
      <c r="V60" s="374">
        <f t="shared" si="43"/>
        <v>15989</v>
      </c>
      <c r="W60" s="132">
        <f>U60-U59</f>
        <v>17434.828012616839</v>
      </c>
      <c r="X60" s="680"/>
      <c r="Y60" s="680"/>
      <c r="Z60" s="680"/>
      <c r="AD60" s="1445">
        <f t="shared" si="41"/>
        <v>2029</v>
      </c>
      <c r="AE60" s="1446"/>
      <c r="AF60" s="1447">
        <f t="shared" si="42"/>
        <v>2005889.4517662593</v>
      </c>
      <c r="AG60" s="1458">
        <f t="shared" si="52"/>
        <v>38.6</v>
      </c>
      <c r="AH60" s="1458">
        <f t="shared" si="53"/>
        <v>43.6</v>
      </c>
      <c r="AI60" s="1449">
        <v>0</v>
      </c>
      <c r="AJ60" s="1445">
        <v>0</v>
      </c>
      <c r="AK60" s="1449"/>
      <c r="AL60" s="1449"/>
      <c r="AM60" s="1449">
        <v>25</v>
      </c>
      <c r="AN60" s="1539">
        <f>ROUND($AX$13+$AW$13*$AF60+$AV$13*$AG60+$AU$13*$AH60+$AT$13*$AI60+$AS$13*$AJ60,0)-AM60</f>
        <v>8723</v>
      </c>
      <c r="AO60" s="1449">
        <f>[11]Dec!$AN60</f>
        <v>10233</v>
      </c>
      <c r="AP60" s="1455">
        <f>AN60-AO60</f>
        <v>-1510</v>
      </c>
      <c r="AQ60" s="1457">
        <f t="shared" si="60"/>
        <v>75</v>
      </c>
    </row>
    <row r="61" spans="1:44">
      <c r="A61" s="123">
        <v>2028</v>
      </c>
      <c r="P61" s="132">
        <f>[8]FCST!$BN35</f>
        <v>2009525.71803326</v>
      </c>
      <c r="Q61" s="371">
        <f t="shared" si="59"/>
        <v>26683.305080033304</v>
      </c>
      <c r="R61" s="558">
        <f t="shared" si="58"/>
        <v>0.35599999999999998</v>
      </c>
      <c r="S61" s="371">
        <f>[8]FCST!$CX35</f>
        <v>74953.104157396927</v>
      </c>
      <c r="T61" s="387">
        <f>[8]FCST!$CF35</f>
        <v>1784597.71803326</v>
      </c>
      <c r="U61" s="679">
        <f>P61-Q61+R$31</f>
        <v>1989476.4129532266</v>
      </c>
      <c r="V61" s="374">
        <f t="shared" si="43"/>
        <v>16069</v>
      </c>
      <c r="W61" s="132">
        <f>U61-U60</f>
        <v>17062.064777065767</v>
      </c>
      <c r="X61" s="680"/>
      <c r="Y61" s="680"/>
      <c r="Z61" s="680"/>
      <c r="AD61" s="1445">
        <f t="shared" si="41"/>
        <v>2030</v>
      </c>
      <c r="AE61" s="1446"/>
      <c r="AF61" s="1447">
        <f t="shared" si="42"/>
        <v>2021521.9923140048</v>
      </c>
      <c r="AG61" s="1458">
        <f t="shared" si="52"/>
        <v>38.6</v>
      </c>
      <c r="AH61" s="1458">
        <f t="shared" si="53"/>
        <v>43.6</v>
      </c>
      <c r="AI61" s="1449">
        <v>0</v>
      </c>
      <c r="AJ61" s="1445">
        <v>0</v>
      </c>
      <c r="AK61" s="1449"/>
      <c r="AL61" s="1449"/>
      <c r="AM61" s="1449">
        <v>25</v>
      </c>
      <c r="AN61" s="1539">
        <f>ROUND($AX$13+$AW$13*$AF61+$AV$13*$AG61+$AU$13*$AH61+$AT$13*$AI61+$AS$13*$AJ61,0)-AM61</f>
        <v>8795</v>
      </c>
      <c r="AO61" s="1449">
        <f>[11]Dec!$AN61</f>
        <v>10370</v>
      </c>
      <c r="AP61" s="1455">
        <f>AN61-AO61</f>
        <v>-1575</v>
      </c>
      <c r="AQ61" s="1457">
        <f t="shared" si="60"/>
        <v>72</v>
      </c>
    </row>
    <row r="62" spans="1:44" ht="13.5" thickBot="1">
      <c r="A62" s="123">
        <v>2029</v>
      </c>
      <c r="P62" s="132">
        <f>[8]FCST!$BN36</f>
        <v>2026165.0453077001</v>
      </c>
      <c r="Q62" s="371">
        <f t="shared" si="59"/>
        <v>26909.593541440729</v>
      </c>
      <c r="R62" s="558">
        <f t="shared" si="58"/>
        <v>0.35599999999999998</v>
      </c>
      <c r="S62" s="371">
        <f>[8]FCST!$CX36</f>
        <v>75588.745902923401</v>
      </c>
      <c r="T62" s="387">
        <f>[8]FCST!$CF36</f>
        <v>1799732.0453077001</v>
      </c>
      <c r="U62" s="679">
        <f>P62-Q62+R$31</f>
        <v>2005889.4517662593</v>
      </c>
      <c r="V62" s="374">
        <f t="shared" si="43"/>
        <v>16149</v>
      </c>
      <c r="W62" s="132">
        <f>U62-U61</f>
        <v>16413.038813032676</v>
      </c>
      <c r="X62" s="680"/>
      <c r="Y62" s="680"/>
      <c r="Z62" s="680"/>
      <c r="AD62" s="1445">
        <f t="shared" si="41"/>
        <v>2031</v>
      </c>
      <c r="AE62" s="1040"/>
      <c r="AF62" s="1447">
        <f t="shared" ref="AF62:AF63" si="61">U64</f>
        <v>2036751.9417102877</v>
      </c>
      <c r="AG62" s="1458">
        <f t="shared" si="52"/>
        <v>38.6</v>
      </c>
      <c r="AH62" s="1458">
        <f t="shared" si="53"/>
        <v>43.6</v>
      </c>
      <c r="AI62" s="1449">
        <v>0</v>
      </c>
      <c r="AJ62" s="1445">
        <v>0</v>
      </c>
      <c r="AK62" s="1449"/>
      <c r="AL62" s="1449"/>
      <c r="AM62" s="1449"/>
      <c r="AN62" s="1528"/>
      <c r="AO62" s="1449"/>
      <c r="AP62" s="1455"/>
      <c r="AQ62" s="1457"/>
    </row>
    <row r="63" spans="1:44" ht="13.5" thickBot="1">
      <c r="A63" s="123">
        <v>2030</v>
      </c>
      <c r="P63" s="132">
        <f>[8]FCST!$BN37</f>
        <v>2042013.46916902</v>
      </c>
      <c r="Q63" s="371">
        <f t="shared" si="59"/>
        <v>27125.476855015189</v>
      </c>
      <c r="R63" s="558">
        <f t="shared" si="58"/>
        <v>0.35599999999999998</v>
      </c>
      <c r="S63" s="371">
        <f>[8]FCST!$CX37</f>
        <v>76195.159705098849</v>
      </c>
      <c r="T63" s="387">
        <f>[8]FCST!$CF37</f>
        <v>1814170.46916902</v>
      </c>
      <c r="U63" s="679">
        <f>P63-Q63+R$31</f>
        <v>2021521.9923140048</v>
      </c>
      <c r="V63" s="374"/>
      <c r="W63" s="132">
        <f>U63-U62</f>
        <v>15632.540547745535</v>
      </c>
      <c r="AD63" s="1445">
        <f t="shared" si="41"/>
        <v>2032</v>
      </c>
      <c r="AE63" s="1040"/>
      <c r="AF63" s="1447">
        <f t="shared" si="61"/>
        <v>2051588.9259101695</v>
      </c>
      <c r="AG63" s="1458">
        <f t="shared" si="52"/>
        <v>38.6</v>
      </c>
      <c r="AH63" s="1458">
        <f t="shared" si="53"/>
        <v>43.6</v>
      </c>
      <c r="AI63" s="1449">
        <v>0</v>
      </c>
      <c r="AJ63" s="1445">
        <v>0</v>
      </c>
      <c r="AK63" s="1449"/>
      <c r="AL63" s="1449"/>
      <c r="AM63" s="1529" t="s">
        <v>317</v>
      </c>
      <c r="AN63" s="1040"/>
      <c r="AO63" s="1530"/>
      <c r="AP63" s="1531"/>
      <c r="AQ63" s="1532">
        <f>(AN43-AN38)/5</f>
        <v>1410.6</v>
      </c>
    </row>
    <row r="64" spans="1:44">
      <c r="A64" s="123">
        <v>2031</v>
      </c>
      <c r="P64" s="132">
        <f>[8]FCST!$BN38</f>
        <v>2057453.9954502599</v>
      </c>
      <c r="Q64" s="371">
        <f t="shared" ref="Q64:Q73" si="62">R64*S64</f>
        <v>27336.053739972285</v>
      </c>
      <c r="R64" s="558">
        <f t="shared" si="58"/>
        <v>0.35599999999999998</v>
      </c>
      <c r="S64" s="371">
        <f>[8]FCST!$CX38</f>
        <v>76786.667808910919</v>
      </c>
      <c r="T64" s="387">
        <f>[8]FCST!$CF38</f>
        <v>1828253.9954502599</v>
      </c>
      <c r="U64" s="679">
        <f t="shared" ref="U64:U73" si="63">P64-Q64+R$31</f>
        <v>2036751.9417102877</v>
      </c>
      <c r="V64" s="374"/>
      <c r="W64" s="132">
        <f t="shared" ref="W64:W73" si="64">U64-U63</f>
        <v>15229.9493962829</v>
      </c>
      <c r="AD64" s="1445"/>
      <c r="AE64" s="1040"/>
      <c r="AF64" s="1447"/>
      <c r="AG64" s="1458"/>
      <c r="AH64" s="1458"/>
      <c r="AI64" s="1449"/>
      <c r="AJ64" s="1445"/>
      <c r="AK64" s="1040"/>
      <c r="AL64" s="1040"/>
      <c r="AM64" s="1040"/>
      <c r="AN64" s="1040"/>
      <c r="AO64" s="1040"/>
      <c r="AP64" s="1040"/>
      <c r="AQ64" s="1040"/>
    </row>
    <row r="65" spans="1:60">
      <c r="A65" s="123">
        <v>2032</v>
      </c>
      <c r="P65" s="132">
        <f>[8]FCST!$BN39</f>
        <v>2072496.3506815601</v>
      </c>
      <c r="Q65" s="371">
        <f t="shared" si="62"/>
        <v>27541.424771390684</v>
      </c>
      <c r="R65" s="558">
        <f t="shared" si="58"/>
        <v>0.35599999999999998</v>
      </c>
      <c r="S65" s="371">
        <f>[8]FCST!$CX39</f>
        <v>77363.552728625524</v>
      </c>
      <c r="T65" s="387">
        <f>[8]FCST!$CF39</f>
        <v>1841989.3506815601</v>
      </c>
      <c r="U65" s="679">
        <f t="shared" si="63"/>
        <v>2051588.9259101695</v>
      </c>
      <c r="V65" s="374"/>
      <c r="W65" s="132">
        <f t="shared" si="64"/>
        <v>14836.984199881786</v>
      </c>
      <c r="AD65" s="1510"/>
      <c r="AE65" s="1503"/>
      <c r="AJ65" s="123"/>
    </row>
    <row r="66" spans="1:60">
      <c r="A66" s="123">
        <v>2033</v>
      </c>
      <c r="P66" s="132">
        <f>[8]FCST!$BN40</f>
        <v>2087150.1258117601</v>
      </c>
      <c r="Q66" s="371">
        <f t="shared" si="62"/>
        <v>27741.718401137437</v>
      </c>
      <c r="R66" s="558">
        <f t="shared" si="58"/>
        <v>0.35599999999999998</v>
      </c>
      <c r="S66" s="371">
        <f>[8]FCST!$CX40</f>
        <v>77926.17528409393</v>
      </c>
      <c r="T66" s="387">
        <f>[8]FCST!$CF40</f>
        <v>1855385.1258117601</v>
      </c>
      <c r="U66" s="679">
        <f t="shared" si="63"/>
        <v>2066042.4074106226</v>
      </c>
      <c r="V66" s="374"/>
      <c r="W66" s="132">
        <f t="shared" si="64"/>
        <v>14453.481500453083</v>
      </c>
      <c r="AD66" s="1510"/>
      <c r="AE66" s="1503"/>
      <c r="AJ66" s="123"/>
    </row>
    <row r="67" spans="1:60">
      <c r="A67" s="123">
        <v>2034</v>
      </c>
      <c r="P67" s="132">
        <f>[8]FCST!$BN41</f>
        <v>2101421.6558891097</v>
      </c>
      <c r="Q67" s="371">
        <f t="shared" si="62"/>
        <v>27937.059254853972</v>
      </c>
      <c r="R67" s="558">
        <f t="shared" si="58"/>
        <v>0.35599999999999998</v>
      </c>
      <c r="S67" s="371">
        <f>[8]FCST!$CX41</f>
        <v>78474.885547342623</v>
      </c>
      <c r="T67" s="387">
        <f>[8]FCST!$CF41</f>
        <v>1868449.6558891099</v>
      </c>
      <c r="U67" s="679">
        <f t="shared" si="63"/>
        <v>2080118.5966342557</v>
      </c>
      <c r="V67" s="374"/>
      <c r="W67" s="132">
        <f t="shared" si="64"/>
        <v>14076.189223633148</v>
      </c>
      <c r="AD67" s="696"/>
      <c r="AJ67" s="123"/>
    </row>
    <row r="68" spans="1:60">
      <c r="A68" s="123">
        <v>2035</v>
      </c>
      <c r="P68" s="132">
        <f>[8]FCST!$BN42</f>
        <v>2115328.11447088</v>
      </c>
      <c r="Q68" s="371">
        <f t="shared" si="62"/>
        <v>28127.629351568597</v>
      </c>
      <c r="R68" s="558">
        <f t="shared" si="58"/>
        <v>0.35599999999999998</v>
      </c>
      <c r="S68" s="371">
        <f>[8]FCST!$CX42</f>
        <v>79010.194807776963</v>
      </c>
      <c r="T68" s="387">
        <f>[8]FCST!$CF42</f>
        <v>1881195.11447088</v>
      </c>
      <c r="U68" s="679">
        <f t="shared" si="63"/>
        <v>2093834.4851193114</v>
      </c>
      <c r="V68" s="374"/>
      <c r="W68" s="132">
        <f t="shared" si="64"/>
        <v>13715.88848505565</v>
      </c>
      <c r="AD68" s="696"/>
      <c r="AJ68" s="123"/>
    </row>
    <row r="69" spans="1:60">
      <c r="A69" s="123">
        <v>2036</v>
      </c>
      <c r="P69" s="132">
        <f>[8]FCST!$BN43</f>
        <v>2129479.10666531</v>
      </c>
      <c r="Q69" s="371">
        <f t="shared" si="62"/>
        <v>28321.810858859713</v>
      </c>
      <c r="R69" s="558">
        <f t="shared" si="58"/>
        <v>0.35599999999999998</v>
      </c>
      <c r="S69" s="371">
        <f>[8]FCST!$CX43</f>
        <v>79555.648479943018</v>
      </c>
      <c r="T69" s="387">
        <f>[8]FCST!$CF43</f>
        <v>1894182.10666531</v>
      </c>
      <c r="U69" s="679">
        <f t="shared" si="63"/>
        <v>2107791.2958064503</v>
      </c>
      <c r="V69" s="374"/>
      <c r="W69" s="132">
        <f t="shared" si="64"/>
        <v>13956.810687138932</v>
      </c>
      <c r="AD69" s="696"/>
      <c r="AJ69" s="123"/>
    </row>
    <row r="70" spans="1:60">
      <c r="A70" s="123">
        <v>2037</v>
      </c>
      <c r="P70" s="132">
        <f>[8]FCST!$BN44</f>
        <v>2144498.9460112499</v>
      </c>
      <c r="Q70" s="371">
        <f t="shared" si="62"/>
        <v>28527.72740076021</v>
      </c>
      <c r="R70" s="558">
        <f t="shared" si="58"/>
        <v>0.35599999999999998</v>
      </c>
      <c r="S70" s="371">
        <f>[8]FCST!$CX44</f>
        <v>80134.065732472503</v>
      </c>
      <c r="T70" s="387">
        <f>[8]FCST!$CF44</f>
        <v>1907953.9460112499</v>
      </c>
      <c r="U70" s="679">
        <f t="shared" si="63"/>
        <v>2122605.2186104897</v>
      </c>
      <c r="V70" s="374"/>
      <c r="W70" s="132">
        <f t="shared" si="64"/>
        <v>14813.922804039437</v>
      </c>
      <c r="AD70" s="696"/>
      <c r="AJ70" s="123"/>
    </row>
    <row r="71" spans="1:60">
      <c r="A71" s="123">
        <v>2038</v>
      </c>
      <c r="P71" s="132">
        <f>[8]FCST!$BN45</f>
        <v>2159476.96157989</v>
      </c>
      <c r="Q71" s="371">
        <f t="shared" si="62"/>
        <v>28733.063449542515</v>
      </c>
      <c r="R71" s="558">
        <f t="shared" si="58"/>
        <v>0.35599999999999998</v>
      </c>
      <c r="S71" s="371">
        <f>[8]FCST!$CX45</f>
        <v>80710.852386355386</v>
      </c>
      <c r="T71" s="387">
        <f>[8]FCST!$CF45</f>
        <v>1921686.96157989</v>
      </c>
      <c r="U71" s="679">
        <f t="shared" si="63"/>
        <v>2137377.8981303475</v>
      </c>
      <c r="V71" s="374"/>
      <c r="W71" s="132">
        <f t="shared" si="64"/>
        <v>14772.679519857746</v>
      </c>
      <c r="AD71" s="696"/>
      <c r="AJ71" s="123"/>
    </row>
    <row r="72" spans="1:60">
      <c r="A72" s="123">
        <v>2039</v>
      </c>
      <c r="P72" s="132">
        <f>[8]FCST!$BN46</f>
        <v>2174223.2169126701</v>
      </c>
      <c r="Q72" s="371">
        <f t="shared" si="62"/>
        <v>28935.636963278241</v>
      </c>
      <c r="R72" s="558">
        <f t="shared" si="58"/>
        <v>0.35599999999999998</v>
      </c>
      <c r="S72" s="371">
        <f>[8]FCST!$CX46</f>
        <v>81279.879110332142</v>
      </c>
      <c r="T72" s="387">
        <f>[8]FCST!$CF46</f>
        <v>1935235.2169126701</v>
      </c>
      <c r="U72" s="679">
        <f t="shared" si="63"/>
        <v>2151921.579949392</v>
      </c>
      <c r="V72" s="374"/>
      <c r="W72" s="132">
        <f t="shared" si="64"/>
        <v>14543.681819044519</v>
      </c>
      <c r="AD72" s="696"/>
    </row>
    <row r="73" spans="1:60">
      <c r="A73" s="123">
        <v>2040</v>
      </c>
      <c r="P73" s="132">
        <f>[8]FCST!$BN47</f>
        <v>2188968.4722454501</v>
      </c>
      <c r="Q73" s="371">
        <f t="shared" si="62"/>
        <v>29138.210477013967</v>
      </c>
      <c r="R73" s="558">
        <f t="shared" si="58"/>
        <v>0.35599999999999998</v>
      </c>
      <c r="S73" s="371">
        <f>[8]FCST!$CX47</f>
        <v>81848.905834308898</v>
      </c>
      <c r="T73" s="387">
        <f>[8]FCST!$CF47</f>
        <v>1948783.4722454501</v>
      </c>
      <c r="U73" s="679">
        <f t="shared" si="63"/>
        <v>2166464.2617684361</v>
      </c>
      <c r="V73" s="374"/>
      <c r="W73" s="132">
        <f t="shared" si="64"/>
        <v>14542.681819044054</v>
      </c>
      <c r="AD73" s="696"/>
    </row>
    <row r="74" spans="1:60">
      <c r="X74" s="1068">
        <f>ROUND(AVERAGE(X43,X40:X41,X32:X38,X28:X30,X26,X24,X20:X22,X12:X18,X9:X10),1)</f>
        <v>38.6</v>
      </c>
      <c r="Y74" s="1068">
        <f>ROUND(AVERAGE(Y43,Y40:Y41,Y32:Y38,Y28:Y30,Y26,Y24,Y20:Y22,Y12:Y18,Y9:Y10),1)</f>
        <v>43.6</v>
      </c>
      <c r="Z74" s="1059">
        <f>ROUND(AVERAGE(Z43,Z40:Z41,Z32:Z38,Z28:Z30,Z26,Z24,Z20:Z22,Z12:Z18,Z9:Z10),1)</f>
        <v>40.200000000000003</v>
      </c>
    </row>
    <row r="75" spans="1:60">
      <c r="Z75" s="989" t="s">
        <v>457</v>
      </c>
      <c r="AJ75" s="123"/>
    </row>
    <row r="76" spans="1:60" ht="14.25">
      <c r="AE76" s="833" t="s">
        <v>456</v>
      </c>
      <c r="AS76" s="852" t="s">
        <v>487</v>
      </c>
    </row>
    <row r="77" spans="1:60">
      <c r="AE77" s="810" t="s">
        <v>286</v>
      </c>
      <c r="AI77" s="309" t="s">
        <v>303</v>
      </c>
      <c r="AJ77" s="284" t="s">
        <v>452</v>
      </c>
      <c r="AS77" s="792" t="s">
        <v>614</v>
      </c>
    </row>
    <row r="78" spans="1:60" ht="13.5" thickBot="1">
      <c r="AA78" s="121" t="s">
        <v>88</v>
      </c>
      <c r="AB78" s="121" t="s">
        <v>89</v>
      </c>
      <c r="AC78" s="121" t="s">
        <v>90</v>
      </c>
      <c r="AD78" s="121" t="s">
        <v>9</v>
      </c>
      <c r="AE78" s="128" t="s">
        <v>179</v>
      </c>
      <c r="AF78" s="121" t="s">
        <v>97</v>
      </c>
      <c r="AG78" s="128" t="s">
        <v>236</v>
      </c>
      <c r="AH78" s="128" t="s">
        <v>237</v>
      </c>
      <c r="AI78" s="128" t="s">
        <v>80</v>
      </c>
      <c r="AJ78" s="128" t="s">
        <v>80</v>
      </c>
      <c r="AK78" s="121" t="s">
        <v>98</v>
      </c>
      <c r="AL78" s="121" t="s">
        <v>99</v>
      </c>
      <c r="AM78" s="121" t="s">
        <v>100</v>
      </c>
      <c r="AN78" s="178" t="str">
        <f>AN6</f>
        <v>Fall'13</v>
      </c>
      <c r="AO78" s="178" t="str">
        <f>AO6</f>
        <v>TYSP'13</v>
      </c>
      <c r="AP78" s="178" t="str">
        <f>AP6</f>
        <v>Diff</v>
      </c>
      <c r="AQ78" s="178" t="str">
        <f>AQ6</f>
        <v>Yr-Yr Growth</v>
      </c>
      <c r="AS78" s="107"/>
      <c r="BC78" s="121" t="s">
        <v>9</v>
      </c>
      <c r="BD78" s="488" t="s">
        <v>232</v>
      </c>
      <c r="BE78" s="482" t="s">
        <v>231</v>
      </c>
      <c r="BF78" s="482" t="s">
        <v>230</v>
      </c>
      <c r="BG78" s="479" t="s">
        <v>233</v>
      </c>
      <c r="BH78" s="483" t="s">
        <v>229</v>
      </c>
    </row>
    <row r="79" spans="1:60">
      <c r="AA79" s="1071">
        <f t="shared" ref="AA79:AC82" si="65">B15</f>
        <v>30303</v>
      </c>
      <c r="AB79" s="123">
        <f t="shared" si="65"/>
        <v>9</v>
      </c>
      <c r="AC79" s="123" t="str">
        <f t="shared" si="65"/>
        <v>Sat</v>
      </c>
      <c r="AD79" s="164">
        <f>A15</f>
        <v>1982</v>
      </c>
      <c r="AE79" s="133">
        <f>O15</f>
        <v>2999</v>
      </c>
      <c r="AF79" s="133">
        <f>P15</f>
        <v>851505</v>
      </c>
      <c r="AG79" s="1069">
        <f t="shared" ref="AG79:AH82" si="66">X15</f>
        <v>41</v>
      </c>
      <c r="AH79" s="1069">
        <f t="shared" si="66"/>
        <v>45.9</v>
      </c>
      <c r="AI79" s="133">
        <v>0</v>
      </c>
      <c r="AJ79" s="124">
        <v>1</v>
      </c>
      <c r="AK79" s="134">
        <f t="shared" ref="AK79:AK102" si="67">ROUND($AX$80+$AW$80*$AF79+$AV$80*$AG79+$AU$80*$AH79+$AT$80*$AI79+$AS$80*AJ79,0)</f>
        <v>3460</v>
      </c>
      <c r="AL79" s="134">
        <f>AE79-BD79</f>
        <v>-881</v>
      </c>
      <c r="AR79" s="245" t="s">
        <v>171</v>
      </c>
      <c r="AS79" s="1176" t="s">
        <v>612</v>
      </c>
      <c r="AT79" s="1391" t="s">
        <v>613</v>
      </c>
      <c r="AU79" s="246" t="s">
        <v>238</v>
      </c>
      <c r="AV79" s="246" t="s">
        <v>239</v>
      </c>
      <c r="AW79" s="247" t="s">
        <v>169</v>
      </c>
      <c r="AX79" s="247" t="s">
        <v>22</v>
      </c>
      <c r="BC79" s="177">
        <f>AA79</f>
        <v>30303</v>
      </c>
      <c r="BD79" s="134">
        <f>ROUND($AX$80+$AW$80*$AF79+$AV$80*$AG$124+$AU$80*$AH$124+$AT$80*$AI79+$AS$80*AJ79,0)</f>
        <v>3880</v>
      </c>
      <c r="BE79" s="374">
        <f t="shared" ref="BE79:BE101" si="68">AE79</f>
        <v>2999</v>
      </c>
      <c r="BF79" s="164" t="e">
        <f>#REF!-BE79</f>
        <v>#REF!</v>
      </c>
      <c r="BG79" s="133">
        <f>BD79</f>
        <v>3880</v>
      </c>
      <c r="BH79" s="495" t="e">
        <f>#REF!-BG79</f>
        <v>#REF!</v>
      </c>
    </row>
    <row r="80" spans="1:60">
      <c r="AA80" s="1071">
        <f t="shared" si="65"/>
        <v>30677</v>
      </c>
      <c r="AB80" s="123">
        <f t="shared" si="65"/>
        <v>9</v>
      </c>
      <c r="AC80" s="123" t="str">
        <f t="shared" si="65"/>
        <v>Tue</v>
      </c>
      <c r="AD80" s="164">
        <f>A16</f>
        <v>1983</v>
      </c>
      <c r="AE80" s="133">
        <f>O16</f>
        <v>4058</v>
      </c>
      <c r="AF80" s="133">
        <f t="shared" ref="AF80:AF82" si="69">P16</f>
        <v>885443</v>
      </c>
      <c r="AG80" s="1069">
        <f t="shared" si="66"/>
        <v>37.1</v>
      </c>
      <c r="AH80" s="1069">
        <f t="shared" si="66"/>
        <v>34.6</v>
      </c>
      <c r="AI80" s="133">
        <v>0</v>
      </c>
      <c r="AJ80" s="124">
        <v>0</v>
      </c>
      <c r="AK80" s="134">
        <f t="shared" si="67"/>
        <v>5139</v>
      </c>
      <c r="AL80" s="134">
        <f t="shared" ref="AL80:AL101" si="70">AE80-AK80</f>
        <v>-1081</v>
      </c>
      <c r="AQ80" s="133">
        <f>AE80-AE79</f>
        <v>1059</v>
      </c>
      <c r="AR80" s="1062" t="s">
        <v>172</v>
      </c>
      <c r="AS80" s="1063">
        <f t="array" ref="AS80:AX84">LINEST(AE87:AE102,AF87:AJ102,TRUE,TRUE)</f>
        <v>-281.11896590927012</v>
      </c>
      <c r="AT80" s="1063">
        <v>-319.32811630761552</v>
      </c>
      <c r="AU80" s="1392">
        <v>-77.606639379137619</v>
      </c>
      <c r="AV80" s="1392">
        <v>-100.42096723097758</v>
      </c>
      <c r="AW80" s="1393">
        <v>3.8066751878785615E-3</v>
      </c>
      <c r="AX80" s="1394">
        <v>8179.2882591921862</v>
      </c>
      <c r="BC80" s="177">
        <f t="shared" ref="BC80:BC102" si="71">AA80</f>
        <v>30677</v>
      </c>
      <c r="BD80" s="134">
        <f t="shared" ref="BD80:BD102" si="72">ROUND($AX$80+$AW$80*$AF80+$AV$80*$AG$124+$AU$80*$AH$124+$AT$80*$AI80+$AS$80*AJ80,0)</f>
        <v>4290</v>
      </c>
      <c r="BE80" s="374">
        <f t="shared" si="68"/>
        <v>4058</v>
      </c>
      <c r="BF80" s="164">
        <f t="shared" ref="BF80:BF100" si="73">BD80-BE80</f>
        <v>232</v>
      </c>
      <c r="BG80" s="133">
        <f t="shared" ref="BG80:BG101" si="74">AK80</f>
        <v>5139</v>
      </c>
      <c r="BH80" s="495">
        <f t="shared" ref="BH80:BH100" si="75">BD80-BG80</f>
        <v>-849</v>
      </c>
    </row>
    <row r="81" spans="27:60">
      <c r="AA81" s="1071">
        <f t="shared" si="65"/>
        <v>31024</v>
      </c>
      <c r="AB81" s="123">
        <f t="shared" si="65"/>
        <v>9</v>
      </c>
      <c r="AC81" s="123" t="str">
        <f t="shared" si="65"/>
        <v>Sat</v>
      </c>
      <c r="AD81" s="164">
        <f>A17</f>
        <v>1984</v>
      </c>
      <c r="AE81" s="133">
        <f>O17</f>
        <v>3486</v>
      </c>
      <c r="AF81" s="133">
        <f t="shared" si="69"/>
        <v>927083</v>
      </c>
      <c r="AG81" s="1069">
        <f t="shared" si="66"/>
        <v>40.9</v>
      </c>
      <c r="AH81" s="1069">
        <f t="shared" si="66"/>
        <v>42.5</v>
      </c>
      <c r="AI81" s="133">
        <v>0</v>
      </c>
      <c r="AJ81" s="124">
        <v>0</v>
      </c>
      <c r="AK81" s="134">
        <f t="shared" si="67"/>
        <v>4303</v>
      </c>
      <c r="AL81" s="134">
        <f t="shared" si="70"/>
        <v>-817</v>
      </c>
      <c r="AQ81" s="133">
        <f t="shared" ref="AQ81:AQ102" si="76">AE81-AE80</f>
        <v>-572</v>
      </c>
      <c r="AR81" s="281" t="s">
        <v>173</v>
      </c>
      <c r="AS81" s="1181">
        <v>405.3969388506523</v>
      </c>
      <c r="AT81" s="1181">
        <v>334.80424599669118</v>
      </c>
      <c r="AU81" s="1181">
        <v>41.794567663117341</v>
      </c>
      <c r="AV81" s="1181">
        <v>43.938298821683823</v>
      </c>
      <c r="AW81" s="1175">
        <v>9.9160292412690354E-4</v>
      </c>
      <c r="AX81" s="1395">
        <v>1981.0721657063655</v>
      </c>
      <c r="BC81" s="177">
        <f t="shared" si="71"/>
        <v>31024</v>
      </c>
      <c r="BD81" s="134">
        <f t="shared" si="72"/>
        <v>4448</v>
      </c>
      <c r="BE81" s="374">
        <f t="shared" si="68"/>
        <v>3486</v>
      </c>
      <c r="BF81" s="164">
        <f t="shared" si="73"/>
        <v>962</v>
      </c>
      <c r="BG81" s="133">
        <f t="shared" si="74"/>
        <v>4303</v>
      </c>
      <c r="BH81" s="495">
        <f t="shared" si="75"/>
        <v>145</v>
      </c>
    </row>
    <row r="82" spans="27:60">
      <c r="AA82" s="1071">
        <f t="shared" si="65"/>
        <v>31407</v>
      </c>
      <c r="AB82" s="123">
        <f t="shared" si="65"/>
        <v>9</v>
      </c>
      <c r="AC82" s="123" t="str">
        <f t="shared" si="65"/>
        <v>Thu</v>
      </c>
      <c r="AD82" s="164">
        <f>A18</f>
        <v>1985</v>
      </c>
      <c r="AE82" s="133">
        <f>O18</f>
        <v>4540</v>
      </c>
      <c r="AF82" s="133">
        <f t="shared" si="69"/>
        <v>966273</v>
      </c>
      <c r="AG82" s="1069">
        <f t="shared" si="66"/>
        <v>28.7</v>
      </c>
      <c r="AH82" s="1069">
        <f t="shared" si="66"/>
        <v>41.2</v>
      </c>
      <c r="AI82" s="133">
        <v>0</v>
      </c>
      <c r="AJ82" s="124">
        <v>0</v>
      </c>
      <c r="AK82" s="134">
        <f t="shared" si="67"/>
        <v>5778</v>
      </c>
      <c r="AL82" s="134">
        <f t="shared" si="70"/>
        <v>-1238</v>
      </c>
      <c r="AQ82" s="133">
        <f t="shared" si="76"/>
        <v>1054</v>
      </c>
      <c r="AR82" s="281" t="s">
        <v>174</v>
      </c>
      <c r="AS82" s="1070">
        <v>0.84544582527988899</v>
      </c>
      <c r="AT82" s="1070">
        <v>481.72249844402307</v>
      </c>
      <c r="AU82" s="1181" t="e">
        <v>#N/A</v>
      </c>
      <c r="AV82" s="1181" t="e">
        <v>#N/A</v>
      </c>
      <c r="AW82" s="1175" t="e">
        <v>#N/A</v>
      </c>
      <c r="AX82" s="1175" t="e">
        <v>#N/A</v>
      </c>
      <c r="BC82" s="177">
        <f t="shared" si="71"/>
        <v>31407</v>
      </c>
      <c r="BD82" s="134">
        <f t="shared" si="72"/>
        <v>4598</v>
      </c>
      <c r="BE82" s="374">
        <f t="shared" si="68"/>
        <v>4540</v>
      </c>
      <c r="BF82" s="164">
        <f t="shared" si="73"/>
        <v>58</v>
      </c>
      <c r="BG82" s="133">
        <f t="shared" si="74"/>
        <v>5778</v>
      </c>
      <c r="BH82" s="495">
        <f t="shared" si="75"/>
        <v>-1180</v>
      </c>
    </row>
    <row r="83" spans="27:60">
      <c r="AA83" s="1334">
        <f t="shared" ref="AA83:AC84" si="77">B20</f>
        <v>32129</v>
      </c>
      <c r="AB83" s="123">
        <f t="shared" si="77"/>
        <v>8</v>
      </c>
      <c r="AC83" s="123" t="str">
        <f t="shared" si="77"/>
        <v>Fri</v>
      </c>
      <c r="AD83" s="164">
        <f>A20</f>
        <v>1987</v>
      </c>
      <c r="AE83" s="133">
        <f>O20</f>
        <v>4172</v>
      </c>
      <c r="AF83" s="133">
        <f>P20</f>
        <v>1046627</v>
      </c>
      <c r="AG83" s="1069">
        <f>X20</f>
        <v>41.4</v>
      </c>
      <c r="AH83" s="1069">
        <f>Y20</f>
        <v>46.2</v>
      </c>
      <c r="AI83" s="133">
        <v>0</v>
      </c>
      <c r="AJ83" s="124">
        <v>0</v>
      </c>
      <c r="AK83" s="134">
        <f t="shared" si="67"/>
        <v>4421</v>
      </c>
      <c r="AL83" s="134">
        <f t="shared" si="70"/>
        <v>-249</v>
      </c>
      <c r="AQ83" s="133">
        <f t="shared" si="76"/>
        <v>-368</v>
      </c>
      <c r="AR83" s="282" t="s">
        <v>175</v>
      </c>
      <c r="AS83" s="1181">
        <v>10.940446310310852</v>
      </c>
      <c r="AT83" s="1181">
        <v>10</v>
      </c>
      <c r="AU83" s="1181" t="e">
        <v>#N/A</v>
      </c>
      <c r="AV83" s="1181" t="e">
        <v>#N/A</v>
      </c>
      <c r="AW83" s="1175" t="e">
        <v>#N/A</v>
      </c>
      <c r="AX83" s="1175" t="e">
        <v>#N/A</v>
      </c>
      <c r="BC83" s="177">
        <f t="shared" si="71"/>
        <v>32129</v>
      </c>
      <c r="BD83" s="134">
        <f t="shared" si="72"/>
        <v>4904</v>
      </c>
      <c r="BE83" s="374">
        <f t="shared" si="68"/>
        <v>4172</v>
      </c>
      <c r="BF83" s="164">
        <f t="shared" si="73"/>
        <v>732</v>
      </c>
      <c r="BG83" s="133">
        <f t="shared" si="74"/>
        <v>4421</v>
      </c>
      <c r="BH83" s="495">
        <f t="shared" si="75"/>
        <v>483</v>
      </c>
    </row>
    <row r="84" spans="27:60">
      <c r="AA84" s="1071">
        <f t="shared" si="77"/>
        <v>32496</v>
      </c>
      <c r="AB84" s="123">
        <f t="shared" si="77"/>
        <v>8</v>
      </c>
      <c r="AC84" s="831" t="str">
        <f t="shared" si="77"/>
        <v>Mon</v>
      </c>
      <c r="AD84" s="164">
        <f>A21</f>
        <v>1988</v>
      </c>
      <c r="AE84" s="133">
        <f>O21</f>
        <v>4617</v>
      </c>
      <c r="AF84" s="133">
        <f t="shared" ref="AF84" si="78">P21</f>
        <v>1086476</v>
      </c>
      <c r="AG84" s="1069">
        <f>X21</f>
        <v>35.200000000000003</v>
      </c>
      <c r="AH84" s="1069">
        <f>Y21</f>
        <v>41.7</v>
      </c>
      <c r="AI84" s="133">
        <v>0</v>
      </c>
      <c r="AJ84" s="124">
        <v>0</v>
      </c>
      <c r="AK84" s="134">
        <f t="shared" si="67"/>
        <v>5544</v>
      </c>
      <c r="AL84" s="134">
        <f t="shared" si="70"/>
        <v>-927</v>
      </c>
      <c r="AQ84" s="133">
        <f t="shared" si="76"/>
        <v>445</v>
      </c>
      <c r="AR84" s="282" t="s">
        <v>176</v>
      </c>
      <c r="AS84" s="1333">
        <v>12694011.979430638</v>
      </c>
      <c r="AT84" s="1182">
        <v>2320565.6550715184</v>
      </c>
      <c r="AU84" s="1181" t="e">
        <v>#N/A</v>
      </c>
      <c r="AV84" s="1181" t="e">
        <v>#N/A</v>
      </c>
      <c r="AW84" s="1175" t="e">
        <v>#N/A</v>
      </c>
      <c r="AX84" s="1175" t="e">
        <v>#N/A</v>
      </c>
      <c r="BC84" s="177">
        <f t="shared" si="71"/>
        <v>32496</v>
      </c>
      <c r="BD84" s="134">
        <f t="shared" si="72"/>
        <v>5055</v>
      </c>
      <c r="BE84" s="374">
        <f t="shared" si="68"/>
        <v>4617</v>
      </c>
      <c r="BF84" s="164">
        <f t="shared" si="73"/>
        <v>438</v>
      </c>
      <c r="BG84" s="133">
        <f t="shared" si="74"/>
        <v>5544</v>
      </c>
      <c r="BH84" s="495">
        <f t="shared" si="75"/>
        <v>-489</v>
      </c>
    </row>
    <row r="85" spans="27:60">
      <c r="AA85" s="1334">
        <f t="shared" ref="AA85:AC88" si="79">B23</f>
        <v>33218</v>
      </c>
      <c r="AB85" s="123">
        <f t="shared" si="79"/>
        <v>8</v>
      </c>
      <c r="AC85" s="123" t="str">
        <f t="shared" si="79"/>
        <v>Tue</v>
      </c>
      <c r="AD85" s="164">
        <f>A23</f>
        <v>1990</v>
      </c>
      <c r="AE85" s="133">
        <f>O23</f>
        <v>4167.0798976863152</v>
      </c>
      <c r="AF85" s="133">
        <f>P23</f>
        <v>1155657</v>
      </c>
      <c r="AG85" s="1069">
        <f t="shared" ref="AG85:AH88" si="80">X23</f>
        <v>43.8</v>
      </c>
      <c r="AH85" s="1069">
        <f t="shared" si="80"/>
        <v>53.7</v>
      </c>
      <c r="AI85" s="133">
        <v>0</v>
      </c>
      <c r="AJ85" s="124">
        <v>0</v>
      </c>
      <c r="AK85" s="134">
        <f t="shared" si="67"/>
        <v>4013</v>
      </c>
      <c r="AL85" s="134">
        <f t="shared" si="70"/>
        <v>154.07989768631523</v>
      </c>
      <c r="AQ85" s="133">
        <f t="shared" si="76"/>
        <v>-449.92010231368477</v>
      </c>
      <c r="AR85" s="1177" t="s">
        <v>177</v>
      </c>
      <c r="AS85" s="1178">
        <f t="shared" ref="AS85:AX85" si="81">AS80/AS81</f>
        <v>-0.69344126452033716</v>
      </c>
      <c r="AT85" s="1178">
        <f t="shared" si="81"/>
        <v>-0.95377558715540123</v>
      </c>
      <c r="AU85" s="1178">
        <f t="shared" si="81"/>
        <v>-1.8568594848182514</v>
      </c>
      <c r="AV85" s="1178">
        <f t="shared" si="81"/>
        <v>-2.2854996648486359</v>
      </c>
      <c r="AW85" s="1179">
        <f t="shared" si="81"/>
        <v>3.838910813247451</v>
      </c>
      <c r="AX85" s="1179">
        <f t="shared" si="81"/>
        <v>4.1287179744286613</v>
      </c>
      <c r="BC85" s="177">
        <f t="shared" si="71"/>
        <v>33218</v>
      </c>
      <c r="BD85" s="134">
        <f t="shared" si="72"/>
        <v>5319</v>
      </c>
      <c r="BE85" s="374">
        <f t="shared" si="68"/>
        <v>4167.0798976863152</v>
      </c>
      <c r="BF85" s="164">
        <f t="shared" si="73"/>
        <v>1151.9201023136848</v>
      </c>
      <c r="BG85" s="133">
        <f t="shared" si="74"/>
        <v>4013</v>
      </c>
      <c r="BH85" s="495">
        <f t="shared" si="75"/>
        <v>1306</v>
      </c>
    </row>
    <row r="86" spans="27:60">
      <c r="AA86" s="1071">
        <f t="shared" si="79"/>
        <v>33577</v>
      </c>
      <c r="AB86" s="123">
        <f t="shared" si="79"/>
        <v>8</v>
      </c>
      <c r="AC86" s="123" t="str">
        <f t="shared" si="79"/>
        <v>Thu</v>
      </c>
      <c r="AD86" s="164">
        <f>A24</f>
        <v>1991</v>
      </c>
      <c r="AE86" s="133">
        <f>O24</f>
        <v>4673.367910708057</v>
      </c>
      <c r="AF86" s="133">
        <f t="shared" ref="AF86:AF88" si="82">P24</f>
        <v>1177144</v>
      </c>
      <c r="AG86" s="1069">
        <f t="shared" si="80"/>
        <v>40.6</v>
      </c>
      <c r="AH86" s="1069">
        <f t="shared" si="80"/>
        <v>47.8</v>
      </c>
      <c r="AI86" s="133">
        <v>0</v>
      </c>
      <c r="AJ86" s="124">
        <v>0</v>
      </c>
      <c r="AK86" s="134">
        <f t="shared" si="67"/>
        <v>4874</v>
      </c>
      <c r="AL86" s="134">
        <f t="shared" si="70"/>
        <v>-200.63208929194298</v>
      </c>
      <c r="AQ86" s="133">
        <f t="shared" si="76"/>
        <v>506.28801302174179</v>
      </c>
      <c r="BC86" s="177">
        <f t="shared" si="71"/>
        <v>33577</v>
      </c>
      <c r="BD86" s="134">
        <f t="shared" si="72"/>
        <v>5400</v>
      </c>
      <c r="BE86" s="374">
        <f t="shared" si="68"/>
        <v>4673.367910708057</v>
      </c>
      <c r="BF86" s="164">
        <f t="shared" si="73"/>
        <v>726.63208929194298</v>
      </c>
      <c r="BG86" s="133">
        <f t="shared" si="74"/>
        <v>4874</v>
      </c>
      <c r="BH86" s="495">
        <f t="shared" si="75"/>
        <v>526</v>
      </c>
    </row>
    <row r="87" spans="27:60">
      <c r="AA87" s="1071">
        <f t="shared" si="79"/>
        <v>33941</v>
      </c>
      <c r="AB87" s="123">
        <f t="shared" si="79"/>
        <v>8</v>
      </c>
      <c r="AC87" s="123" t="str">
        <f t="shared" si="79"/>
        <v>Thu</v>
      </c>
      <c r="AD87" s="164">
        <f>A25</f>
        <v>1992</v>
      </c>
      <c r="AE87" s="133">
        <f>O25</f>
        <v>4235.5025648988585</v>
      </c>
      <c r="AF87" s="133">
        <f t="shared" si="82"/>
        <v>1202120</v>
      </c>
      <c r="AG87" s="1069">
        <f t="shared" si="80"/>
        <v>44.6</v>
      </c>
      <c r="AH87" s="1069">
        <f t="shared" si="80"/>
        <v>55.8</v>
      </c>
      <c r="AI87" s="133">
        <v>0</v>
      </c>
      <c r="AJ87" s="124">
        <v>0</v>
      </c>
      <c r="AK87" s="134">
        <f t="shared" si="67"/>
        <v>3946</v>
      </c>
      <c r="AL87" s="134">
        <f t="shared" si="70"/>
        <v>289.50256489885851</v>
      </c>
      <c r="AQ87" s="133">
        <f t="shared" si="76"/>
        <v>-437.86534580919852</v>
      </c>
      <c r="BC87" s="177">
        <f t="shared" si="71"/>
        <v>33941</v>
      </c>
      <c r="BD87" s="134">
        <f t="shared" si="72"/>
        <v>5495</v>
      </c>
      <c r="BE87" s="374">
        <f t="shared" si="68"/>
        <v>4235.5025648988585</v>
      </c>
      <c r="BF87" s="164">
        <f t="shared" si="73"/>
        <v>1259.4974351011415</v>
      </c>
      <c r="BG87" s="133">
        <f t="shared" si="74"/>
        <v>3946</v>
      </c>
      <c r="BH87" s="495">
        <f t="shared" si="75"/>
        <v>1549</v>
      </c>
    </row>
    <row r="88" spans="27:60">
      <c r="AA88" s="1071">
        <f t="shared" si="79"/>
        <v>34330</v>
      </c>
      <c r="AB88" s="123">
        <f t="shared" si="79"/>
        <v>8</v>
      </c>
      <c r="AC88" s="831" t="str">
        <f t="shared" si="79"/>
        <v>Mon</v>
      </c>
      <c r="AD88" s="164">
        <f>A26</f>
        <v>1993</v>
      </c>
      <c r="AE88" s="133">
        <f>O26</f>
        <v>5394.4664188774441</v>
      </c>
      <c r="AF88" s="133">
        <f t="shared" si="82"/>
        <v>1240116</v>
      </c>
      <c r="AG88" s="1069">
        <f t="shared" si="80"/>
        <v>37.6</v>
      </c>
      <c r="AH88" s="1069">
        <f t="shared" si="80"/>
        <v>45.2</v>
      </c>
      <c r="AI88" s="133">
        <v>0</v>
      </c>
      <c r="AJ88" s="124">
        <v>0</v>
      </c>
      <c r="AK88" s="134">
        <f t="shared" si="67"/>
        <v>5616</v>
      </c>
      <c r="AL88" s="134">
        <f t="shared" si="70"/>
        <v>-221.53358112255592</v>
      </c>
      <c r="AQ88" s="133">
        <f t="shared" si="76"/>
        <v>1158.9638539785856</v>
      </c>
      <c r="BC88" s="177">
        <f t="shared" si="71"/>
        <v>34330</v>
      </c>
      <c r="BD88" s="134">
        <f t="shared" si="72"/>
        <v>5640</v>
      </c>
      <c r="BE88" s="374">
        <f t="shared" si="68"/>
        <v>5394.4664188774441</v>
      </c>
      <c r="BF88" s="164">
        <f t="shared" si="73"/>
        <v>245.53358112255592</v>
      </c>
      <c r="BG88" s="133">
        <f t="shared" si="74"/>
        <v>5616</v>
      </c>
      <c r="BH88" s="495">
        <f t="shared" si="75"/>
        <v>24</v>
      </c>
    </row>
    <row r="89" spans="27:60">
      <c r="AA89" s="1334">
        <f>B28</f>
        <v>35058</v>
      </c>
      <c r="AB89" s="123">
        <f>C28</f>
        <v>9</v>
      </c>
      <c r="AC89" s="831" t="str">
        <f>D28</f>
        <v>Mon</v>
      </c>
      <c r="AD89" s="164">
        <f>A28</f>
        <v>1995</v>
      </c>
      <c r="AE89" s="133">
        <f>O28</f>
        <v>5635.634411888911</v>
      </c>
      <c r="AF89" s="133">
        <f>P28</f>
        <v>1284916</v>
      </c>
      <c r="AG89" s="1069">
        <f>X28</f>
        <v>37</v>
      </c>
      <c r="AH89" s="1069">
        <f>Y28</f>
        <v>40.1</v>
      </c>
      <c r="AI89" s="133">
        <v>0</v>
      </c>
      <c r="AJ89" s="124">
        <v>0</v>
      </c>
      <c r="AK89" s="134">
        <f t="shared" si="67"/>
        <v>6243</v>
      </c>
      <c r="AL89" s="134">
        <f t="shared" si="70"/>
        <v>-607.36558811108898</v>
      </c>
      <c r="AQ89" s="133">
        <f t="shared" si="76"/>
        <v>241.16799301146693</v>
      </c>
      <c r="BC89" s="177">
        <f t="shared" si="71"/>
        <v>35058</v>
      </c>
      <c r="BD89" s="134">
        <f t="shared" si="72"/>
        <v>5811</v>
      </c>
      <c r="BE89" s="374">
        <f t="shared" si="68"/>
        <v>5635.634411888911</v>
      </c>
      <c r="BF89" s="164">
        <f t="shared" si="73"/>
        <v>175.36558811108898</v>
      </c>
      <c r="BG89" s="133">
        <f t="shared" si="74"/>
        <v>6243</v>
      </c>
      <c r="BH89" s="495">
        <f t="shared" si="75"/>
        <v>-432</v>
      </c>
    </row>
    <row r="90" spans="27:60">
      <c r="AA90" s="1334">
        <f t="shared" ref="AA90:AC97" si="83">B31</f>
        <v>36147</v>
      </c>
      <c r="AB90" s="123">
        <f t="shared" si="83"/>
        <v>8</v>
      </c>
      <c r="AC90" s="123" t="str">
        <f t="shared" si="83"/>
        <v>Fri</v>
      </c>
      <c r="AD90" s="164">
        <f t="shared" ref="AD90:AD97" si="84">A31</f>
        <v>1998</v>
      </c>
      <c r="AE90" s="133">
        <f t="shared" ref="AE90:AE97" si="85">O31</f>
        <v>4769.6460802379625</v>
      </c>
      <c r="AF90" s="133">
        <f>P31</f>
        <v>1356713</v>
      </c>
      <c r="AG90" s="1069">
        <f t="shared" ref="AG90:AH93" si="86">X31</f>
        <v>43.4</v>
      </c>
      <c r="AH90" s="1069">
        <f t="shared" si="86"/>
        <v>55.4</v>
      </c>
      <c r="AI90" s="133">
        <v>0</v>
      </c>
      <c r="AJ90" s="124">
        <v>0</v>
      </c>
      <c r="AK90" s="134">
        <f t="shared" si="67"/>
        <v>4686</v>
      </c>
      <c r="AL90" s="134">
        <f t="shared" si="70"/>
        <v>83.646080237962451</v>
      </c>
      <c r="AQ90" s="133">
        <f t="shared" si="76"/>
        <v>-865.98833165094857</v>
      </c>
      <c r="BC90" s="177">
        <f t="shared" si="71"/>
        <v>36147</v>
      </c>
      <c r="BD90" s="134">
        <f t="shared" si="72"/>
        <v>6084</v>
      </c>
      <c r="BE90" s="374">
        <f t="shared" si="68"/>
        <v>4769.6460802379625</v>
      </c>
      <c r="BF90" s="164">
        <f t="shared" si="73"/>
        <v>1314.3539197620375</v>
      </c>
      <c r="BG90" s="133">
        <f t="shared" si="74"/>
        <v>4686</v>
      </c>
      <c r="BH90" s="495">
        <f t="shared" si="75"/>
        <v>1398</v>
      </c>
    </row>
    <row r="91" spans="27:60">
      <c r="AA91" s="1071">
        <f t="shared" si="83"/>
        <v>36496</v>
      </c>
      <c r="AB91" s="123">
        <f t="shared" si="83"/>
        <v>8</v>
      </c>
      <c r="AC91" s="123" t="str">
        <f t="shared" si="83"/>
        <v>Thu</v>
      </c>
      <c r="AD91" s="164">
        <f t="shared" si="84"/>
        <v>1999</v>
      </c>
      <c r="AE91" s="133">
        <f t="shared" si="85"/>
        <v>5706.8</v>
      </c>
      <c r="AF91" s="133">
        <f t="shared" ref="AF91:AF97" si="87">P32</f>
        <v>1389466</v>
      </c>
      <c r="AG91" s="1069">
        <f t="shared" si="86"/>
        <v>40.4</v>
      </c>
      <c r="AH91" s="1069">
        <f t="shared" si="86"/>
        <v>49.5</v>
      </c>
      <c r="AI91" s="133">
        <v>0</v>
      </c>
      <c r="AJ91" s="124">
        <v>0</v>
      </c>
      <c r="AK91" s="134">
        <f t="shared" si="67"/>
        <v>5570</v>
      </c>
      <c r="AL91" s="134">
        <f t="shared" si="70"/>
        <v>136.80000000000018</v>
      </c>
      <c r="AQ91" s="133">
        <f t="shared" si="76"/>
        <v>937.15391976203773</v>
      </c>
      <c r="BC91" s="177">
        <f t="shared" si="71"/>
        <v>36496</v>
      </c>
      <c r="BD91" s="134">
        <f t="shared" si="72"/>
        <v>6209</v>
      </c>
      <c r="BE91" s="374">
        <f t="shared" si="68"/>
        <v>5706.8</v>
      </c>
      <c r="BF91" s="164">
        <f t="shared" si="73"/>
        <v>502.19999999999982</v>
      </c>
      <c r="BG91" s="133">
        <f t="shared" si="74"/>
        <v>5570</v>
      </c>
      <c r="BH91" s="495">
        <f t="shared" si="75"/>
        <v>639</v>
      </c>
    </row>
    <row r="92" spans="27:60">
      <c r="AA92" s="1071">
        <f t="shared" si="83"/>
        <v>36891</v>
      </c>
      <c r="AB92" s="123">
        <f t="shared" si="83"/>
        <v>8</v>
      </c>
      <c r="AC92" s="831" t="str">
        <f t="shared" si="83"/>
        <v>Sun</v>
      </c>
      <c r="AD92" s="164">
        <f t="shared" si="84"/>
        <v>2000</v>
      </c>
      <c r="AE92" s="133">
        <f t="shared" si="85"/>
        <v>7158.3</v>
      </c>
      <c r="AF92" s="133">
        <f t="shared" si="87"/>
        <v>1427527</v>
      </c>
      <c r="AG92" s="1069">
        <f t="shared" si="86"/>
        <v>29.4</v>
      </c>
      <c r="AH92" s="1069">
        <f t="shared" si="86"/>
        <v>39.799999999999997</v>
      </c>
      <c r="AI92" s="133">
        <v>1</v>
      </c>
      <c r="AJ92" s="124">
        <v>0</v>
      </c>
      <c r="AK92" s="134">
        <f t="shared" si="67"/>
        <v>7253</v>
      </c>
      <c r="AL92" s="134">
        <f t="shared" si="70"/>
        <v>-94.699999999999818</v>
      </c>
      <c r="AQ92" s="133">
        <f t="shared" si="76"/>
        <v>1451.5</v>
      </c>
      <c r="BC92" s="177">
        <f t="shared" si="71"/>
        <v>36891</v>
      </c>
      <c r="BD92" s="134">
        <f t="shared" si="72"/>
        <v>6034</v>
      </c>
      <c r="BE92" s="374">
        <f t="shared" si="68"/>
        <v>7158.3</v>
      </c>
      <c r="BF92" s="164">
        <f t="shared" si="73"/>
        <v>-1124.3000000000002</v>
      </c>
      <c r="BG92" s="133">
        <f t="shared" si="74"/>
        <v>7253</v>
      </c>
      <c r="BH92" s="495">
        <f t="shared" si="75"/>
        <v>-1219</v>
      </c>
    </row>
    <row r="93" spans="27:60">
      <c r="AA93" s="1071">
        <f t="shared" si="83"/>
        <v>37252</v>
      </c>
      <c r="AB93" s="123">
        <f t="shared" si="83"/>
        <v>9</v>
      </c>
      <c r="AC93" s="123" t="str">
        <f t="shared" si="83"/>
        <v>Thu</v>
      </c>
      <c r="AD93" s="164">
        <f t="shared" si="84"/>
        <v>2001</v>
      </c>
      <c r="AE93" s="133">
        <f t="shared" si="85"/>
        <v>5554.6</v>
      </c>
      <c r="AF93" s="133">
        <f t="shared" si="87"/>
        <v>1459199</v>
      </c>
      <c r="AG93" s="1069">
        <f t="shared" si="86"/>
        <v>44.2</v>
      </c>
      <c r="AH93" s="1069">
        <f t="shared" si="86"/>
        <v>47.4</v>
      </c>
      <c r="AI93" s="133">
        <v>0</v>
      </c>
      <c r="AJ93" s="124">
        <v>0</v>
      </c>
      <c r="AK93" s="134">
        <f t="shared" si="67"/>
        <v>5617</v>
      </c>
      <c r="AL93" s="134">
        <f t="shared" si="70"/>
        <v>-62.399999999999636</v>
      </c>
      <c r="AQ93" s="133">
        <f t="shared" si="76"/>
        <v>-1603.6999999999998</v>
      </c>
      <c r="BC93" s="177">
        <f t="shared" si="71"/>
        <v>37252</v>
      </c>
      <c r="BD93" s="134">
        <f t="shared" si="72"/>
        <v>6474</v>
      </c>
      <c r="BE93" s="374">
        <f t="shared" si="68"/>
        <v>5554.6</v>
      </c>
      <c r="BF93" s="164">
        <f t="shared" si="73"/>
        <v>919.39999999999964</v>
      </c>
      <c r="BG93" s="133">
        <f t="shared" si="74"/>
        <v>5617</v>
      </c>
      <c r="BH93" s="495">
        <f t="shared" si="75"/>
        <v>857</v>
      </c>
    </row>
    <row r="94" spans="27:60">
      <c r="AA94" s="1071">
        <f t="shared" si="83"/>
        <v>37606</v>
      </c>
      <c r="AB94" s="123">
        <f t="shared" si="83"/>
        <v>8</v>
      </c>
      <c r="AC94" s="123" t="str">
        <f t="shared" si="83"/>
        <v>Mon</v>
      </c>
      <c r="AD94" s="164">
        <f t="shared" si="84"/>
        <v>2002</v>
      </c>
      <c r="AE94" s="133">
        <f t="shared" si="85"/>
        <v>6421.3</v>
      </c>
      <c r="AF94" s="133">
        <f t="shared" si="87"/>
        <v>1490372</v>
      </c>
      <c r="AG94" s="1069">
        <f t="shared" ref="AG94:AG95" si="88">X35</f>
        <v>43</v>
      </c>
      <c r="AH94" s="1069">
        <f t="shared" ref="AH94:AH95" si="89">Y35</f>
        <v>46.5</v>
      </c>
      <c r="AI94" s="133">
        <v>0</v>
      </c>
      <c r="AJ94" s="124">
        <v>0</v>
      </c>
      <c r="AK94" s="134">
        <f t="shared" si="67"/>
        <v>5926</v>
      </c>
      <c r="AL94" s="134">
        <f t="shared" si="70"/>
        <v>495.30000000000018</v>
      </c>
      <c r="AQ94" s="133">
        <f t="shared" si="76"/>
        <v>866.69999999999982</v>
      </c>
      <c r="BC94" s="177">
        <f t="shared" si="71"/>
        <v>37606</v>
      </c>
      <c r="BD94" s="134">
        <f t="shared" si="72"/>
        <v>6593</v>
      </c>
      <c r="BE94" s="374">
        <f t="shared" si="68"/>
        <v>6421.3</v>
      </c>
      <c r="BF94" s="164">
        <f t="shared" si="73"/>
        <v>171.69999999999982</v>
      </c>
      <c r="BG94" s="133">
        <f t="shared" si="74"/>
        <v>5926</v>
      </c>
      <c r="BH94" s="495">
        <f t="shared" si="75"/>
        <v>667</v>
      </c>
    </row>
    <row r="95" spans="27:60">
      <c r="AA95" s="1071">
        <f t="shared" si="83"/>
        <v>37976</v>
      </c>
      <c r="AB95" s="123">
        <f t="shared" si="83"/>
        <v>9</v>
      </c>
      <c r="AC95" s="831" t="str">
        <f t="shared" si="83"/>
        <v>Sun</v>
      </c>
      <c r="AD95" s="164">
        <f t="shared" si="84"/>
        <v>2003</v>
      </c>
      <c r="AE95" s="133">
        <f t="shared" si="85"/>
        <v>6662.6</v>
      </c>
      <c r="AF95" s="133">
        <f t="shared" si="87"/>
        <v>1526222</v>
      </c>
      <c r="AG95" s="1069">
        <f t="shared" si="88"/>
        <v>42.4</v>
      </c>
      <c r="AH95" s="1069">
        <f t="shared" si="89"/>
        <v>44.4</v>
      </c>
      <c r="AI95" s="133">
        <v>1</v>
      </c>
      <c r="AJ95" s="124">
        <v>0</v>
      </c>
      <c r="AK95" s="134">
        <f t="shared" si="67"/>
        <v>5966</v>
      </c>
      <c r="AL95" s="134">
        <f t="shared" si="70"/>
        <v>696.60000000000036</v>
      </c>
      <c r="AQ95" s="133">
        <f t="shared" si="76"/>
        <v>241.30000000000018</v>
      </c>
      <c r="BC95" s="177">
        <f t="shared" si="71"/>
        <v>37976</v>
      </c>
      <c r="BD95" s="134">
        <f t="shared" si="72"/>
        <v>6410</v>
      </c>
      <c r="BE95" s="374">
        <f t="shared" si="68"/>
        <v>6662.6</v>
      </c>
      <c r="BF95" s="164">
        <f t="shared" si="73"/>
        <v>-252.60000000000036</v>
      </c>
      <c r="BG95" s="133">
        <f t="shared" si="74"/>
        <v>5966</v>
      </c>
      <c r="BH95" s="495">
        <f t="shared" si="75"/>
        <v>444</v>
      </c>
    </row>
    <row r="96" spans="27:60">
      <c r="AA96" s="1071">
        <f t="shared" si="83"/>
        <v>38336</v>
      </c>
      <c r="AB96" s="123">
        <f t="shared" si="83"/>
        <v>8</v>
      </c>
      <c r="AC96" s="123" t="str">
        <f t="shared" si="83"/>
        <v>Wed</v>
      </c>
      <c r="AD96" s="164">
        <f t="shared" si="84"/>
        <v>2004</v>
      </c>
      <c r="AE96" s="133">
        <f t="shared" si="85"/>
        <v>6833.7999999999993</v>
      </c>
      <c r="AF96" s="133">
        <f t="shared" si="87"/>
        <v>1564897</v>
      </c>
      <c r="AG96" s="1069">
        <f t="shared" ref="AG96:AG97" si="90">X37</f>
        <v>36</v>
      </c>
      <c r="AH96" s="1069">
        <f t="shared" ref="AH96:AH97" si="91">Y37</f>
        <v>46.4</v>
      </c>
      <c r="AI96" s="133">
        <v>0</v>
      </c>
      <c r="AJ96" s="124">
        <v>0</v>
      </c>
      <c r="AK96" s="134">
        <f t="shared" si="67"/>
        <v>6920</v>
      </c>
      <c r="AL96" s="134">
        <f t="shared" si="70"/>
        <v>-86.200000000000728</v>
      </c>
      <c r="AQ96" s="133">
        <f t="shared" si="76"/>
        <v>171.19999999999891</v>
      </c>
      <c r="BC96" s="177">
        <f t="shared" si="71"/>
        <v>38336</v>
      </c>
      <c r="BD96" s="134">
        <f t="shared" si="72"/>
        <v>6876</v>
      </c>
      <c r="BE96" s="374">
        <f t="shared" si="68"/>
        <v>6833.7999999999993</v>
      </c>
      <c r="BF96" s="164">
        <f t="shared" si="73"/>
        <v>42.200000000000728</v>
      </c>
      <c r="BG96" s="133">
        <f t="shared" si="74"/>
        <v>6920</v>
      </c>
      <c r="BH96" s="495">
        <f t="shared" si="75"/>
        <v>-44</v>
      </c>
    </row>
    <row r="97" spans="27:60">
      <c r="AA97" s="1071">
        <f t="shared" si="83"/>
        <v>38708</v>
      </c>
      <c r="AB97" s="123">
        <f t="shared" si="83"/>
        <v>8</v>
      </c>
      <c r="AC97" s="123" t="str">
        <f t="shared" si="83"/>
        <v>Thu</v>
      </c>
      <c r="AD97" s="164">
        <f t="shared" si="84"/>
        <v>2005</v>
      </c>
      <c r="AE97" s="133">
        <f t="shared" si="85"/>
        <v>6226.8</v>
      </c>
      <c r="AF97" s="133">
        <f t="shared" si="87"/>
        <v>1593270</v>
      </c>
      <c r="AG97" s="1069">
        <f t="shared" si="90"/>
        <v>40.700000000000003</v>
      </c>
      <c r="AH97" s="1069">
        <f t="shared" si="91"/>
        <v>48.9</v>
      </c>
      <c r="AI97" s="133">
        <v>0</v>
      </c>
      <c r="AJ97" s="124">
        <v>0</v>
      </c>
      <c r="AK97" s="134">
        <f t="shared" si="67"/>
        <v>6362</v>
      </c>
      <c r="AL97" s="134">
        <f t="shared" si="70"/>
        <v>-135.19999999999982</v>
      </c>
      <c r="AQ97" s="133">
        <f t="shared" si="76"/>
        <v>-606.99999999999909</v>
      </c>
      <c r="BC97" s="177">
        <f t="shared" si="71"/>
        <v>38708</v>
      </c>
      <c r="BD97" s="134">
        <f t="shared" si="72"/>
        <v>6984</v>
      </c>
      <c r="BE97" s="374">
        <f t="shared" si="68"/>
        <v>6226.8</v>
      </c>
      <c r="BF97" s="164">
        <f t="shared" si="73"/>
        <v>757.19999999999982</v>
      </c>
      <c r="BG97" s="133">
        <f t="shared" si="74"/>
        <v>6362</v>
      </c>
      <c r="BH97" s="495">
        <f t="shared" si="75"/>
        <v>622</v>
      </c>
    </row>
    <row r="98" spans="27:60">
      <c r="AA98" s="1334">
        <f t="shared" ref="AA98:AC101" si="92">B40</f>
        <v>39434</v>
      </c>
      <c r="AB98" s="123">
        <f t="shared" si="92"/>
        <v>8</v>
      </c>
      <c r="AC98" s="123" t="str">
        <f t="shared" si="92"/>
        <v>Tue</v>
      </c>
      <c r="AD98" s="164">
        <f>A40</f>
        <v>2007</v>
      </c>
      <c r="AE98" s="133">
        <f>O40</f>
        <v>5698</v>
      </c>
      <c r="AF98" s="133">
        <f>P40</f>
        <v>1634520</v>
      </c>
      <c r="AG98" s="1180">
        <f>X40+2</f>
        <v>45.4</v>
      </c>
      <c r="AH98" s="1180">
        <f>Y40+2</f>
        <v>48.9</v>
      </c>
      <c r="AI98" s="133">
        <v>0</v>
      </c>
      <c r="AJ98" s="124">
        <v>0</v>
      </c>
      <c r="AK98" s="134">
        <f t="shared" si="67"/>
        <v>6047</v>
      </c>
      <c r="AL98" s="134">
        <f t="shared" si="70"/>
        <v>-349</v>
      </c>
      <c r="AQ98" s="133">
        <f t="shared" si="76"/>
        <v>-528.80000000000018</v>
      </c>
      <c r="BC98" s="177">
        <f t="shared" si="71"/>
        <v>39434</v>
      </c>
      <c r="BD98" s="134">
        <f t="shared" si="72"/>
        <v>7141</v>
      </c>
      <c r="BE98" s="374">
        <f t="shared" si="68"/>
        <v>5698</v>
      </c>
      <c r="BF98" s="164">
        <f t="shared" si="73"/>
        <v>1443</v>
      </c>
      <c r="BG98" s="133">
        <f t="shared" si="74"/>
        <v>6047</v>
      </c>
      <c r="BH98" s="495">
        <f t="shared" si="75"/>
        <v>1094</v>
      </c>
    </row>
    <row r="99" spans="27:60">
      <c r="AA99" s="1071">
        <f t="shared" si="92"/>
        <v>39785</v>
      </c>
      <c r="AB99" s="123">
        <f t="shared" si="92"/>
        <v>8</v>
      </c>
      <c r="AC99" s="123" t="str">
        <f t="shared" si="92"/>
        <v>Wed</v>
      </c>
      <c r="AD99" s="164">
        <f>A41</f>
        <v>2008</v>
      </c>
      <c r="AE99" s="133">
        <f>O41</f>
        <v>6363</v>
      </c>
      <c r="AF99" s="133">
        <f t="shared" ref="AF99:AF101" si="93">P41</f>
        <v>1630148</v>
      </c>
      <c r="AG99" s="1069">
        <f t="shared" ref="AG99:AH101" si="94">X41</f>
        <v>40.5</v>
      </c>
      <c r="AH99" s="1069">
        <f t="shared" si="94"/>
        <v>49.1</v>
      </c>
      <c r="AI99" s="133">
        <v>0</v>
      </c>
      <c r="AJ99" s="124">
        <v>0</v>
      </c>
      <c r="AK99" s="134">
        <f t="shared" si="67"/>
        <v>6507</v>
      </c>
      <c r="AL99" s="134">
        <f t="shared" si="70"/>
        <v>-144</v>
      </c>
      <c r="AQ99" s="133">
        <f t="shared" si="76"/>
        <v>665</v>
      </c>
      <c r="BC99" s="177">
        <f t="shared" si="71"/>
        <v>39785</v>
      </c>
      <c r="BD99" s="134">
        <f t="shared" si="72"/>
        <v>7125</v>
      </c>
      <c r="BE99" s="374">
        <f t="shared" si="68"/>
        <v>6363</v>
      </c>
      <c r="BF99" s="164">
        <f t="shared" si="73"/>
        <v>762</v>
      </c>
      <c r="BG99" s="133">
        <f t="shared" si="74"/>
        <v>6507</v>
      </c>
      <c r="BH99" s="495">
        <f t="shared" si="75"/>
        <v>618</v>
      </c>
    </row>
    <row r="100" spans="27:60">
      <c r="AA100" s="1071">
        <f t="shared" si="92"/>
        <v>40176</v>
      </c>
      <c r="AB100" s="123">
        <f t="shared" si="92"/>
        <v>9</v>
      </c>
      <c r="AC100" s="123" t="str">
        <f t="shared" si="92"/>
        <v>Tue</v>
      </c>
      <c r="AD100" s="164">
        <f>A42</f>
        <v>2009</v>
      </c>
      <c r="AE100" s="133">
        <f>O42</f>
        <v>5951</v>
      </c>
      <c r="AF100" s="133">
        <f t="shared" si="93"/>
        <v>1626076</v>
      </c>
      <c r="AG100" s="1180">
        <f>X42+1</f>
        <v>39.9</v>
      </c>
      <c r="AH100" s="1180">
        <f>Y42+1</f>
        <v>51.8</v>
      </c>
      <c r="AI100" s="909">
        <v>0</v>
      </c>
      <c r="AJ100" s="124">
        <v>1</v>
      </c>
      <c r="AK100" s="134">
        <f t="shared" si="67"/>
        <v>6061</v>
      </c>
      <c r="AL100" s="134">
        <f t="shared" si="70"/>
        <v>-110</v>
      </c>
      <c r="AQ100" s="133">
        <f t="shared" si="76"/>
        <v>-412</v>
      </c>
      <c r="BC100" s="177">
        <f t="shared" si="71"/>
        <v>40176</v>
      </c>
      <c r="BD100" s="134">
        <f t="shared" si="72"/>
        <v>6828</v>
      </c>
      <c r="BE100" s="374">
        <f t="shared" si="68"/>
        <v>5951</v>
      </c>
      <c r="BF100" s="164">
        <f t="shared" si="73"/>
        <v>877</v>
      </c>
      <c r="BG100" s="133">
        <f t="shared" si="74"/>
        <v>6061</v>
      </c>
      <c r="BH100" s="495">
        <f t="shared" si="75"/>
        <v>767</v>
      </c>
    </row>
    <row r="101" spans="27:60">
      <c r="AA101" s="1071">
        <f t="shared" si="92"/>
        <v>40541</v>
      </c>
      <c r="AB101" s="123">
        <f t="shared" si="92"/>
        <v>8</v>
      </c>
      <c r="AC101" s="123" t="str">
        <f t="shared" si="92"/>
        <v>Wed</v>
      </c>
      <c r="AD101" s="164">
        <f>A43</f>
        <v>2010</v>
      </c>
      <c r="AE101" s="133">
        <f>O43</f>
        <v>8555</v>
      </c>
      <c r="AF101" s="133">
        <f t="shared" si="93"/>
        <v>1635080</v>
      </c>
      <c r="AG101" s="1069">
        <f t="shared" si="94"/>
        <v>31</v>
      </c>
      <c r="AH101" s="1069">
        <f t="shared" si="94"/>
        <v>40.799999999999997</v>
      </c>
      <c r="AI101" s="133">
        <v>0</v>
      </c>
      <c r="AJ101" s="124">
        <v>1</v>
      </c>
      <c r="AK101" s="134">
        <f t="shared" si="67"/>
        <v>7843</v>
      </c>
      <c r="AL101" s="134">
        <f t="shared" si="70"/>
        <v>712</v>
      </c>
      <c r="AN101" s="134"/>
      <c r="AO101" s="138"/>
      <c r="AQ101" s="133">
        <f t="shared" si="76"/>
        <v>2604</v>
      </c>
      <c r="BC101" s="177">
        <f t="shared" si="71"/>
        <v>40541</v>
      </c>
      <c r="BD101" s="134">
        <f t="shared" si="72"/>
        <v>6862</v>
      </c>
      <c r="BE101" s="374">
        <f t="shared" si="68"/>
        <v>8555</v>
      </c>
      <c r="BF101" s="164">
        <f>BD101-BE101</f>
        <v>-1693</v>
      </c>
      <c r="BG101" s="133">
        <f t="shared" si="74"/>
        <v>7843</v>
      </c>
      <c r="BH101" s="495">
        <f>BD101-BG101</f>
        <v>-981</v>
      </c>
    </row>
    <row r="102" spans="27:60">
      <c r="AA102" s="1334">
        <f>B45</f>
        <v>41266</v>
      </c>
      <c r="AB102" s="123">
        <f>C45</f>
        <v>9</v>
      </c>
      <c r="AC102" s="831" t="str">
        <f>D45</f>
        <v>Sun</v>
      </c>
      <c r="AD102" s="123">
        <f>A45</f>
        <v>2012</v>
      </c>
      <c r="AE102" s="133">
        <f>O45</f>
        <v>5576</v>
      </c>
      <c r="AF102" s="133">
        <f>P45</f>
        <v>1659840</v>
      </c>
      <c r="AG102" s="1069">
        <f>X45</f>
        <v>39.700000000000003</v>
      </c>
      <c r="AH102" s="1069">
        <f>Y45</f>
        <v>48.1</v>
      </c>
      <c r="AI102" s="123">
        <v>1</v>
      </c>
      <c r="AJ102" s="124">
        <v>1</v>
      </c>
      <c r="AK102" s="134">
        <f t="shared" si="67"/>
        <v>6178</v>
      </c>
      <c r="AL102" s="134">
        <f t="shared" ref="AL102" si="95">AE102-AK102</f>
        <v>-602</v>
      </c>
      <c r="AN102" s="134"/>
      <c r="AO102" s="138"/>
      <c r="AQ102" s="133">
        <f t="shared" si="76"/>
        <v>-2979</v>
      </c>
      <c r="BC102" s="177">
        <f t="shared" si="71"/>
        <v>41266</v>
      </c>
      <c r="BD102" s="134">
        <f t="shared" si="72"/>
        <v>6637</v>
      </c>
      <c r="BE102" s="374">
        <f t="shared" ref="BE102" si="96">AE102</f>
        <v>5576</v>
      </c>
      <c r="BF102" s="164">
        <f>BD102-BE102</f>
        <v>1061</v>
      </c>
      <c r="BG102" s="133">
        <f t="shared" ref="BG102:BG103" si="97">AK102</f>
        <v>6178</v>
      </c>
      <c r="BH102" s="495">
        <f>BD102-BG102</f>
        <v>459</v>
      </c>
    </row>
    <row r="103" spans="27:60">
      <c r="AD103" s="123">
        <f>A46</f>
        <v>2013</v>
      </c>
      <c r="AE103" s="133"/>
      <c r="AF103" s="133">
        <f>P46</f>
        <v>1679025.89265728</v>
      </c>
      <c r="AG103" s="1064">
        <f t="shared" ref="AG103:AG121" si="98">X$74</f>
        <v>38.6</v>
      </c>
      <c r="AH103" s="1064">
        <f t="shared" ref="AH103:AH121" si="99">Y$74</f>
        <v>43.6</v>
      </c>
      <c r="AI103" s="123">
        <v>0</v>
      </c>
      <c r="AJ103" s="124">
        <f>AJ102-0.2</f>
        <v>0.8</v>
      </c>
      <c r="AM103" s="469">
        <v>25</v>
      </c>
      <c r="AN103" s="134">
        <f>ROUND($AX$80+$AW$80*$AF103+$AV$80*$AG103+$AU$80*$AH103+$AT$80*$AI103+$AS$80*AJ103,0)-AM103</f>
        <v>7061</v>
      </c>
      <c r="AO103" s="138">
        <f t="shared" ref="AO103:AO121" si="100">AO43</f>
        <v>7780</v>
      </c>
      <c r="AP103" s="138">
        <f t="shared" ref="AP103:AP121" si="101">AN103-AO103</f>
        <v>-719</v>
      </c>
      <c r="AQ103" s="133">
        <f t="shared" ref="AQ103:AQ129" si="102">AN103-AN102</f>
        <v>7061</v>
      </c>
      <c r="BC103" s="177"/>
      <c r="BD103" s="134"/>
      <c r="BE103" s="133"/>
      <c r="BF103" s="164"/>
      <c r="BG103" s="133">
        <f t="shared" si="97"/>
        <v>0</v>
      </c>
      <c r="BH103" s="495"/>
    </row>
    <row r="104" spans="27:60">
      <c r="AD104" s="123">
        <f t="shared" ref="AD104:AD130" si="103">A47</f>
        <v>2014</v>
      </c>
      <c r="AE104" s="133"/>
      <c r="AF104" s="133">
        <f t="shared" ref="AF104:AF130" si="104">P47</f>
        <v>1702695.95912638</v>
      </c>
      <c r="AG104" s="1064">
        <f t="shared" si="98"/>
        <v>38.6</v>
      </c>
      <c r="AH104" s="1064">
        <f t="shared" si="99"/>
        <v>43.6</v>
      </c>
      <c r="AI104" s="123">
        <v>0</v>
      </c>
      <c r="AJ104" s="124">
        <f t="shared" ref="AJ104:AJ106" si="105">AJ103-0.2</f>
        <v>0.60000000000000009</v>
      </c>
      <c r="AM104" s="469">
        <v>25</v>
      </c>
      <c r="AN104" s="134">
        <f t="shared" ref="AN104:AN130" si="106">ROUND($AX$80+$AW$80*$AF104+$AV$80*$AG104+$AU$80*$AH104+$AT$80*$AI104+$AS$80*AJ104,0)-AM104</f>
        <v>7207</v>
      </c>
      <c r="AO104" s="138">
        <f t="shared" si="100"/>
        <v>7890</v>
      </c>
      <c r="AP104" s="138">
        <f t="shared" si="101"/>
        <v>-683</v>
      </c>
      <c r="AQ104" s="133">
        <f t="shared" si="102"/>
        <v>146</v>
      </c>
      <c r="BC104" s="177"/>
      <c r="BD104" s="134"/>
      <c r="BE104" s="133"/>
      <c r="BF104" s="164"/>
      <c r="BG104" s="133"/>
      <c r="BH104" s="495"/>
    </row>
    <row r="105" spans="27:60">
      <c r="AD105" s="123">
        <f t="shared" si="103"/>
        <v>2015</v>
      </c>
      <c r="AE105" s="133"/>
      <c r="AF105" s="133">
        <f t="shared" si="104"/>
        <v>1729534.86865829</v>
      </c>
      <c r="AG105" s="1064">
        <f t="shared" si="98"/>
        <v>38.6</v>
      </c>
      <c r="AH105" s="1064">
        <f t="shared" si="99"/>
        <v>43.6</v>
      </c>
      <c r="AI105" s="123">
        <v>0</v>
      </c>
      <c r="AJ105" s="124">
        <f t="shared" si="105"/>
        <v>0.40000000000000008</v>
      </c>
      <c r="AM105" s="469">
        <v>25</v>
      </c>
      <c r="AN105" s="134">
        <f>ROUND($AX$80+$AW$80*$AF105+$AV$80*$AG105+$AU$80*$AH105+$AT$80*$AI105+$AS$80*AJ105,0)-AM105</f>
        <v>7366</v>
      </c>
      <c r="AO105" s="138">
        <f t="shared" si="100"/>
        <v>8033</v>
      </c>
      <c r="AP105" s="138">
        <f t="shared" si="101"/>
        <v>-667</v>
      </c>
      <c r="AQ105" s="133">
        <f t="shared" si="102"/>
        <v>159</v>
      </c>
      <c r="BC105" s="123"/>
      <c r="BD105" s="134"/>
      <c r="BE105" s="133"/>
      <c r="BF105" s="164"/>
      <c r="BG105" s="133"/>
      <c r="BH105" s="495"/>
    </row>
    <row r="106" spans="27:60">
      <c r="AD106" s="123">
        <f t="shared" si="103"/>
        <v>2016</v>
      </c>
      <c r="AE106" s="133"/>
      <c r="AF106" s="133">
        <f t="shared" si="104"/>
        <v>1755950.3443265699</v>
      </c>
      <c r="AG106" s="1064">
        <f t="shared" si="98"/>
        <v>38.6</v>
      </c>
      <c r="AH106" s="1064">
        <f t="shared" si="99"/>
        <v>43.6</v>
      </c>
      <c r="AI106" s="123">
        <v>0</v>
      </c>
      <c r="AJ106" s="124">
        <f t="shared" si="105"/>
        <v>0.20000000000000007</v>
      </c>
      <c r="AM106" s="469">
        <v>25</v>
      </c>
      <c r="AN106" s="134">
        <f t="shared" si="106"/>
        <v>7522</v>
      </c>
      <c r="AO106" s="138">
        <f t="shared" si="100"/>
        <v>8181</v>
      </c>
      <c r="AP106" s="138">
        <f t="shared" si="101"/>
        <v>-659</v>
      </c>
      <c r="AQ106" s="133">
        <f t="shared" si="102"/>
        <v>156</v>
      </c>
    </row>
    <row r="107" spans="27:60">
      <c r="AD107" s="123">
        <f t="shared" si="103"/>
        <v>2017</v>
      </c>
      <c r="AE107" s="133"/>
      <c r="AF107" s="133">
        <f t="shared" si="104"/>
        <v>1782145.0542938299</v>
      </c>
      <c r="AG107" s="1064">
        <f t="shared" si="98"/>
        <v>38.6</v>
      </c>
      <c r="AH107" s="1064">
        <f t="shared" si="99"/>
        <v>43.6</v>
      </c>
      <c r="AI107" s="123">
        <v>0</v>
      </c>
      <c r="AM107" s="469">
        <v>25</v>
      </c>
      <c r="AN107" s="134">
        <f t="shared" si="106"/>
        <v>7678</v>
      </c>
      <c r="AO107" s="138">
        <f t="shared" si="100"/>
        <v>8327</v>
      </c>
      <c r="AP107" s="138">
        <f t="shared" si="101"/>
        <v>-649</v>
      </c>
      <c r="AQ107" s="133">
        <f t="shared" si="102"/>
        <v>156</v>
      </c>
    </row>
    <row r="108" spans="27:60">
      <c r="AD108" s="123">
        <f t="shared" si="103"/>
        <v>2018</v>
      </c>
      <c r="AE108" s="133"/>
      <c r="AF108" s="133">
        <f t="shared" si="104"/>
        <v>1806874.3499455501</v>
      </c>
      <c r="AG108" s="1064">
        <f t="shared" si="98"/>
        <v>38.6</v>
      </c>
      <c r="AH108" s="1064">
        <f t="shared" si="99"/>
        <v>43.6</v>
      </c>
      <c r="AI108" s="123">
        <v>0</v>
      </c>
      <c r="AM108" s="469">
        <v>25</v>
      </c>
      <c r="AN108" s="134">
        <f t="shared" si="106"/>
        <v>7773</v>
      </c>
      <c r="AO108" s="138">
        <f t="shared" si="100"/>
        <v>8479</v>
      </c>
      <c r="AP108" s="138">
        <f t="shared" si="101"/>
        <v>-706</v>
      </c>
      <c r="AQ108" s="133">
        <f t="shared" si="102"/>
        <v>95</v>
      </c>
    </row>
    <row r="109" spans="27:60">
      <c r="AD109" s="123">
        <f t="shared" si="103"/>
        <v>2019</v>
      </c>
      <c r="AE109" s="133"/>
      <c r="AF109" s="133">
        <f t="shared" si="104"/>
        <v>1830538.67439772</v>
      </c>
      <c r="AG109" s="1064">
        <f t="shared" si="98"/>
        <v>38.6</v>
      </c>
      <c r="AH109" s="1064">
        <f t="shared" si="99"/>
        <v>43.6</v>
      </c>
      <c r="AI109" s="123">
        <v>0</v>
      </c>
      <c r="AM109" s="469">
        <v>25</v>
      </c>
      <c r="AN109" s="134">
        <f t="shared" si="106"/>
        <v>7863</v>
      </c>
      <c r="AO109" s="138">
        <f t="shared" si="100"/>
        <v>8632</v>
      </c>
      <c r="AP109" s="138">
        <f t="shared" si="101"/>
        <v>-769</v>
      </c>
      <c r="AQ109" s="133">
        <f t="shared" si="102"/>
        <v>90</v>
      </c>
    </row>
    <row r="110" spans="27:60">
      <c r="AD110" s="123">
        <f t="shared" si="103"/>
        <v>2020</v>
      </c>
      <c r="AE110" s="133"/>
      <c r="AF110" s="133">
        <f t="shared" si="104"/>
        <v>1853682.66801521</v>
      </c>
      <c r="AG110" s="1064">
        <f t="shared" si="98"/>
        <v>38.6</v>
      </c>
      <c r="AH110" s="1064">
        <f t="shared" si="99"/>
        <v>43.6</v>
      </c>
      <c r="AI110" s="123">
        <v>0</v>
      </c>
      <c r="AM110" s="469">
        <v>25</v>
      </c>
      <c r="AN110" s="134">
        <f t="shared" si="106"/>
        <v>7951</v>
      </c>
      <c r="AO110" s="138">
        <f t="shared" si="100"/>
        <v>8787</v>
      </c>
      <c r="AP110" s="138">
        <f t="shared" si="101"/>
        <v>-836</v>
      </c>
      <c r="AQ110" s="133">
        <f t="shared" si="102"/>
        <v>88</v>
      </c>
    </row>
    <row r="111" spans="27:60">
      <c r="AD111" s="123">
        <f t="shared" si="103"/>
        <v>2021</v>
      </c>
      <c r="AE111" s="133"/>
      <c r="AF111" s="133">
        <f t="shared" si="104"/>
        <v>1876082.6116249301</v>
      </c>
      <c r="AG111" s="1064">
        <f t="shared" si="98"/>
        <v>38.6</v>
      </c>
      <c r="AH111" s="1064">
        <f t="shared" si="99"/>
        <v>43.6</v>
      </c>
      <c r="AI111" s="123">
        <v>0</v>
      </c>
      <c r="AM111" s="469">
        <v>25</v>
      </c>
      <c r="AN111" s="134">
        <f t="shared" si="106"/>
        <v>8036</v>
      </c>
      <c r="AO111" s="138">
        <f t="shared" si="100"/>
        <v>8939</v>
      </c>
      <c r="AP111" s="138">
        <f t="shared" si="101"/>
        <v>-903</v>
      </c>
      <c r="AQ111" s="133">
        <f t="shared" si="102"/>
        <v>85</v>
      </c>
    </row>
    <row r="112" spans="27:60">
      <c r="AD112" s="123">
        <f t="shared" si="103"/>
        <v>2022</v>
      </c>
      <c r="AE112" s="133"/>
      <c r="AF112" s="133">
        <f t="shared" si="104"/>
        <v>1897585.07454424</v>
      </c>
      <c r="AG112" s="1064">
        <f t="shared" si="98"/>
        <v>38.6</v>
      </c>
      <c r="AH112" s="1064">
        <f t="shared" si="99"/>
        <v>43.6</v>
      </c>
      <c r="AI112" s="123">
        <v>0</v>
      </c>
      <c r="AM112" s="469">
        <v>25</v>
      </c>
      <c r="AN112" s="134">
        <f t="shared" si="106"/>
        <v>8118</v>
      </c>
      <c r="AO112" s="138">
        <f t="shared" si="100"/>
        <v>9089</v>
      </c>
      <c r="AP112" s="138">
        <f t="shared" si="101"/>
        <v>-971</v>
      </c>
      <c r="AQ112" s="133">
        <f t="shared" si="102"/>
        <v>82</v>
      </c>
    </row>
    <row r="113" spans="30:43">
      <c r="AD113" s="123">
        <f t="shared" si="103"/>
        <v>2023</v>
      </c>
      <c r="AE113" s="133"/>
      <c r="AF113" s="133">
        <f t="shared" si="104"/>
        <v>1917976.2979556799</v>
      </c>
      <c r="AG113" s="1064">
        <f t="shared" si="98"/>
        <v>38.6</v>
      </c>
      <c r="AH113" s="1064">
        <f t="shared" si="99"/>
        <v>43.6</v>
      </c>
      <c r="AI113" s="123">
        <v>0</v>
      </c>
      <c r="AM113" s="469">
        <v>25</v>
      </c>
      <c r="AN113" s="134">
        <f t="shared" si="106"/>
        <v>8196</v>
      </c>
      <c r="AO113" s="138">
        <f t="shared" si="100"/>
        <v>9237</v>
      </c>
      <c r="AP113" s="138">
        <f t="shared" si="101"/>
        <v>-1041</v>
      </c>
      <c r="AQ113" s="133">
        <f t="shared" si="102"/>
        <v>78</v>
      </c>
    </row>
    <row r="114" spans="30:43">
      <c r="AD114" s="123">
        <f t="shared" si="103"/>
        <v>2024</v>
      </c>
      <c r="AE114" s="133"/>
      <c r="AF114" s="133">
        <f t="shared" si="104"/>
        <v>1937736.9634637199</v>
      </c>
      <c r="AG114" s="1064">
        <f t="shared" si="98"/>
        <v>38.6</v>
      </c>
      <c r="AH114" s="1064">
        <f t="shared" si="99"/>
        <v>43.6</v>
      </c>
      <c r="AI114" s="123">
        <v>0</v>
      </c>
      <c r="AM114" s="469">
        <v>25</v>
      </c>
      <c r="AN114" s="134">
        <f t="shared" si="106"/>
        <v>8271</v>
      </c>
      <c r="AO114" s="138">
        <f t="shared" si="100"/>
        <v>9383</v>
      </c>
      <c r="AP114" s="138">
        <f t="shared" si="101"/>
        <v>-1112</v>
      </c>
      <c r="AQ114" s="133">
        <f t="shared" si="102"/>
        <v>75</v>
      </c>
    </row>
    <row r="115" spans="30:43">
      <c r="AD115" s="123">
        <f t="shared" si="103"/>
        <v>2025</v>
      </c>
      <c r="AE115" s="133"/>
      <c r="AF115" s="133">
        <f t="shared" si="104"/>
        <v>1956512.2638137799</v>
      </c>
      <c r="AG115" s="1064">
        <f t="shared" si="98"/>
        <v>38.6</v>
      </c>
      <c r="AH115" s="1064">
        <f t="shared" si="99"/>
        <v>43.6</v>
      </c>
      <c r="AI115" s="123">
        <v>0</v>
      </c>
      <c r="AM115" s="469">
        <v>25</v>
      </c>
      <c r="AN115" s="134">
        <f t="shared" si="106"/>
        <v>8342</v>
      </c>
      <c r="AO115" s="138">
        <f t="shared" si="100"/>
        <v>9527</v>
      </c>
      <c r="AP115" s="138">
        <f t="shared" si="101"/>
        <v>-1185</v>
      </c>
      <c r="AQ115" s="133">
        <f t="shared" si="102"/>
        <v>71</v>
      </c>
    </row>
    <row r="116" spans="30:43">
      <c r="AD116" s="123">
        <f t="shared" si="103"/>
        <v>2026</v>
      </c>
      <c r="AE116" s="133"/>
      <c r="AF116" s="133">
        <f t="shared" si="104"/>
        <v>1974553.8621666599</v>
      </c>
      <c r="AG116" s="1064">
        <f t="shared" si="98"/>
        <v>38.6</v>
      </c>
      <c r="AH116" s="1064">
        <f t="shared" si="99"/>
        <v>43.6</v>
      </c>
      <c r="AI116" s="123">
        <v>0</v>
      </c>
      <c r="AM116" s="469">
        <v>25</v>
      </c>
      <c r="AN116" s="134">
        <f t="shared" si="106"/>
        <v>8411</v>
      </c>
      <c r="AO116" s="138">
        <f t="shared" si="100"/>
        <v>9671</v>
      </c>
      <c r="AP116" s="138">
        <f t="shared" si="101"/>
        <v>-1260</v>
      </c>
      <c r="AQ116" s="133">
        <f t="shared" si="102"/>
        <v>69</v>
      </c>
    </row>
    <row r="117" spans="30:43">
      <c r="AD117" s="123">
        <f t="shared" si="103"/>
        <v>2027</v>
      </c>
      <c r="AE117" s="133"/>
      <c r="AF117" s="133">
        <f t="shared" si="104"/>
        <v>1992228.6213221699</v>
      </c>
      <c r="AG117" s="1064">
        <f t="shared" si="98"/>
        <v>38.6</v>
      </c>
      <c r="AH117" s="1064">
        <f t="shared" si="99"/>
        <v>43.6</v>
      </c>
      <c r="AI117" s="123">
        <v>0</v>
      </c>
      <c r="AM117" s="469">
        <v>25</v>
      </c>
      <c r="AN117" s="134">
        <f t="shared" si="106"/>
        <v>8478</v>
      </c>
      <c r="AO117" s="138">
        <f t="shared" si="100"/>
        <v>9813</v>
      </c>
      <c r="AP117" s="138">
        <f t="shared" si="101"/>
        <v>-1335</v>
      </c>
      <c r="AQ117" s="133">
        <f t="shared" si="102"/>
        <v>67</v>
      </c>
    </row>
    <row r="118" spans="30:43">
      <c r="AD118" s="123">
        <f t="shared" si="103"/>
        <v>2028</v>
      </c>
      <c r="AE118" s="133"/>
      <c r="AF118" s="133">
        <f t="shared" si="104"/>
        <v>2009525.71803326</v>
      </c>
      <c r="AG118" s="1064">
        <f t="shared" si="98"/>
        <v>38.6</v>
      </c>
      <c r="AH118" s="1064">
        <f t="shared" si="99"/>
        <v>43.6</v>
      </c>
      <c r="AI118" s="123">
        <v>0</v>
      </c>
      <c r="AM118" s="469">
        <v>25</v>
      </c>
      <c r="AN118" s="134">
        <f t="shared" si="106"/>
        <v>8544</v>
      </c>
      <c r="AO118" s="138">
        <f t="shared" si="100"/>
        <v>9954</v>
      </c>
      <c r="AP118" s="138">
        <f t="shared" si="101"/>
        <v>-1410</v>
      </c>
      <c r="AQ118" s="133">
        <f t="shared" si="102"/>
        <v>66</v>
      </c>
    </row>
    <row r="119" spans="30:43">
      <c r="AD119" s="123">
        <f t="shared" si="103"/>
        <v>2029</v>
      </c>
      <c r="AE119" s="133"/>
      <c r="AF119" s="133">
        <f t="shared" si="104"/>
        <v>2026165.0453077001</v>
      </c>
      <c r="AG119" s="1064">
        <f t="shared" si="98"/>
        <v>38.6</v>
      </c>
      <c r="AH119" s="1064">
        <f t="shared" si="99"/>
        <v>43.6</v>
      </c>
      <c r="AI119" s="123">
        <v>0</v>
      </c>
      <c r="AM119" s="469">
        <v>25</v>
      </c>
      <c r="AN119" s="134">
        <f t="shared" si="106"/>
        <v>8607</v>
      </c>
      <c r="AO119" s="138">
        <f t="shared" si="100"/>
        <v>10094</v>
      </c>
      <c r="AP119" s="138">
        <f t="shared" si="101"/>
        <v>-1487</v>
      </c>
      <c r="AQ119" s="133">
        <f t="shared" si="102"/>
        <v>63</v>
      </c>
    </row>
    <row r="120" spans="30:43">
      <c r="AD120" s="123">
        <f t="shared" si="103"/>
        <v>2030</v>
      </c>
      <c r="AE120" s="133"/>
      <c r="AF120" s="133">
        <f t="shared" si="104"/>
        <v>2042013.46916902</v>
      </c>
      <c r="AG120" s="1064">
        <f t="shared" si="98"/>
        <v>38.6</v>
      </c>
      <c r="AH120" s="1064">
        <f t="shared" si="99"/>
        <v>43.6</v>
      </c>
      <c r="AI120" s="123">
        <v>0</v>
      </c>
      <c r="AM120" s="469">
        <v>25</v>
      </c>
      <c r="AN120" s="134">
        <f t="shared" si="106"/>
        <v>8668</v>
      </c>
      <c r="AO120" s="138">
        <f t="shared" si="100"/>
        <v>10233</v>
      </c>
      <c r="AP120" s="138">
        <f t="shared" si="101"/>
        <v>-1565</v>
      </c>
      <c r="AQ120" s="133">
        <f t="shared" si="102"/>
        <v>61</v>
      </c>
    </row>
    <row r="121" spans="30:43">
      <c r="AD121" s="123">
        <f t="shared" si="103"/>
        <v>2031</v>
      </c>
      <c r="AE121" s="133"/>
      <c r="AF121" s="133">
        <f t="shared" si="104"/>
        <v>2057453.9954502599</v>
      </c>
      <c r="AG121" s="1064">
        <f t="shared" si="98"/>
        <v>38.6</v>
      </c>
      <c r="AH121" s="1064">
        <f t="shared" si="99"/>
        <v>43.6</v>
      </c>
      <c r="AI121" s="123">
        <v>0</v>
      </c>
      <c r="AM121" s="469">
        <v>25</v>
      </c>
      <c r="AN121" s="134">
        <f t="shared" si="106"/>
        <v>8726</v>
      </c>
      <c r="AO121" s="138">
        <f t="shared" si="100"/>
        <v>10370</v>
      </c>
      <c r="AP121" s="138">
        <f t="shared" si="101"/>
        <v>-1644</v>
      </c>
      <c r="AQ121" s="133">
        <f t="shared" si="102"/>
        <v>58</v>
      </c>
    </row>
    <row r="122" spans="30:43">
      <c r="AD122" s="123">
        <f t="shared" si="103"/>
        <v>2032</v>
      </c>
      <c r="AE122" s="133"/>
      <c r="AF122" s="133">
        <f t="shared" si="104"/>
        <v>2072496.3506815601</v>
      </c>
      <c r="AG122" s="1064">
        <f t="shared" ref="AG122:AG129" si="107">X$74</f>
        <v>38.6</v>
      </c>
      <c r="AH122" s="1064">
        <f t="shared" ref="AH122:AH129" si="108">Y$74</f>
        <v>43.6</v>
      </c>
      <c r="AI122" s="123">
        <v>0</v>
      </c>
      <c r="AM122" s="469">
        <v>25</v>
      </c>
      <c r="AN122" s="134">
        <f t="shared" si="106"/>
        <v>8784</v>
      </c>
      <c r="AO122" s="138"/>
      <c r="AP122" s="138"/>
      <c r="AQ122" s="133">
        <f t="shared" si="102"/>
        <v>58</v>
      </c>
    </row>
    <row r="123" spans="30:43">
      <c r="AD123" s="123">
        <f t="shared" si="103"/>
        <v>2033</v>
      </c>
      <c r="AE123" s="133"/>
      <c r="AF123" s="133">
        <f t="shared" si="104"/>
        <v>2087150.1258117601</v>
      </c>
      <c r="AG123" s="1064">
        <f t="shared" si="107"/>
        <v>38.6</v>
      </c>
      <c r="AH123" s="1064">
        <f t="shared" si="108"/>
        <v>43.6</v>
      </c>
      <c r="AI123" s="123">
        <v>0</v>
      </c>
      <c r="AM123" s="469">
        <v>25</v>
      </c>
      <c r="AN123" s="134">
        <f t="shared" si="106"/>
        <v>8839</v>
      </c>
      <c r="AO123" s="138"/>
      <c r="AP123" s="138"/>
      <c r="AQ123" s="133">
        <f t="shared" si="102"/>
        <v>55</v>
      </c>
    </row>
    <row r="124" spans="30:43">
      <c r="AD124" s="123">
        <f t="shared" si="103"/>
        <v>2034</v>
      </c>
      <c r="AE124" s="133"/>
      <c r="AF124" s="133">
        <f t="shared" si="104"/>
        <v>2101421.6558891097</v>
      </c>
      <c r="AG124" s="1064">
        <f t="shared" si="107"/>
        <v>38.6</v>
      </c>
      <c r="AH124" s="1064">
        <f t="shared" si="108"/>
        <v>43.6</v>
      </c>
      <c r="AI124" s="123">
        <v>0</v>
      </c>
      <c r="AM124" s="469">
        <v>25</v>
      </c>
      <c r="AN124" s="134">
        <f t="shared" si="106"/>
        <v>8894</v>
      </c>
      <c r="AO124" s="138"/>
      <c r="AP124" s="138"/>
      <c r="AQ124" s="133">
        <f t="shared" si="102"/>
        <v>55</v>
      </c>
    </row>
    <row r="125" spans="30:43">
      <c r="AD125" s="123">
        <f t="shared" si="103"/>
        <v>2035</v>
      </c>
      <c r="AE125" s="133"/>
      <c r="AF125" s="133">
        <f t="shared" si="104"/>
        <v>2115328.11447088</v>
      </c>
      <c r="AG125" s="1064">
        <f t="shared" si="107"/>
        <v>38.6</v>
      </c>
      <c r="AH125" s="1064">
        <f t="shared" si="108"/>
        <v>43.6</v>
      </c>
      <c r="AI125" s="123">
        <v>0</v>
      </c>
      <c r="AM125" s="469">
        <v>25</v>
      </c>
      <c r="AN125" s="134">
        <f t="shared" si="106"/>
        <v>8947</v>
      </c>
      <c r="AO125" s="138"/>
      <c r="AP125" s="138"/>
      <c r="AQ125" s="133">
        <f t="shared" si="102"/>
        <v>53</v>
      </c>
    </row>
    <row r="126" spans="30:43">
      <c r="AD126" s="123">
        <f t="shared" si="103"/>
        <v>2036</v>
      </c>
      <c r="AE126" s="133"/>
      <c r="AF126" s="133">
        <f t="shared" si="104"/>
        <v>2129479.10666531</v>
      </c>
      <c r="AG126" s="1064">
        <f t="shared" si="107"/>
        <v>38.6</v>
      </c>
      <c r="AH126" s="1064">
        <f t="shared" si="108"/>
        <v>43.6</v>
      </c>
      <c r="AI126" s="123">
        <v>0</v>
      </c>
      <c r="AM126" s="469">
        <v>25</v>
      </c>
      <c r="AN126" s="134">
        <f t="shared" si="106"/>
        <v>9001</v>
      </c>
      <c r="AO126" s="138"/>
      <c r="AP126" s="138"/>
      <c r="AQ126" s="133">
        <f t="shared" si="102"/>
        <v>54</v>
      </c>
    </row>
    <row r="127" spans="30:43">
      <c r="AD127" s="123">
        <f t="shared" si="103"/>
        <v>2037</v>
      </c>
      <c r="AE127" s="133"/>
      <c r="AF127" s="133">
        <f t="shared" si="104"/>
        <v>2144498.9460112499</v>
      </c>
      <c r="AG127" s="1064">
        <f t="shared" si="107"/>
        <v>38.6</v>
      </c>
      <c r="AH127" s="1064">
        <f t="shared" si="108"/>
        <v>43.6</v>
      </c>
      <c r="AI127" s="123">
        <v>0</v>
      </c>
      <c r="AM127" s="469">
        <v>25</v>
      </c>
      <c r="AN127" s="134">
        <f t="shared" si="106"/>
        <v>9058</v>
      </c>
      <c r="AO127" s="138"/>
      <c r="AP127" s="138"/>
      <c r="AQ127" s="133">
        <f t="shared" si="102"/>
        <v>57</v>
      </c>
    </row>
    <row r="128" spans="30:43">
      <c r="AD128" s="123">
        <f t="shared" si="103"/>
        <v>2038</v>
      </c>
      <c r="AE128" s="133"/>
      <c r="AF128" s="133">
        <f t="shared" si="104"/>
        <v>2159476.96157989</v>
      </c>
      <c r="AG128" s="1064">
        <f t="shared" si="107"/>
        <v>38.6</v>
      </c>
      <c r="AH128" s="1064">
        <f t="shared" si="108"/>
        <v>43.6</v>
      </c>
      <c r="AI128" s="123">
        <v>0</v>
      </c>
      <c r="AM128" s="469">
        <v>25</v>
      </c>
      <c r="AN128" s="134">
        <f t="shared" si="106"/>
        <v>9115</v>
      </c>
      <c r="AO128" s="138"/>
      <c r="AP128" s="138"/>
      <c r="AQ128" s="133">
        <f t="shared" si="102"/>
        <v>57</v>
      </c>
    </row>
    <row r="129" spans="30:43">
      <c r="AD129" s="123">
        <f>A72</f>
        <v>2039</v>
      </c>
      <c r="AE129" s="133"/>
      <c r="AF129" s="133">
        <f t="shared" si="104"/>
        <v>2174223.2169126701</v>
      </c>
      <c r="AG129" s="1064">
        <f t="shared" si="107"/>
        <v>38.6</v>
      </c>
      <c r="AH129" s="1064">
        <f t="shared" si="108"/>
        <v>43.6</v>
      </c>
      <c r="AI129" s="123">
        <v>0</v>
      </c>
      <c r="AM129" s="469">
        <v>25</v>
      </c>
      <c r="AN129" s="134">
        <f t="shared" si="106"/>
        <v>9171</v>
      </c>
      <c r="AO129" s="138"/>
      <c r="AP129" s="138"/>
      <c r="AQ129" s="133">
        <f t="shared" si="102"/>
        <v>56</v>
      </c>
    </row>
    <row r="130" spans="30:43">
      <c r="AD130" s="123">
        <f t="shared" si="103"/>
        <v>2040</v>
      </c>
      <c r="AE130" s="133"/>
      <c r="AF130" s="133">
        <f t="shared" si="104"/>
        <v>2188968.4722454501</v>
      </c>
      <c r="AG130" s="1064">
        <f t="shared" ref="AG130" si="109">X$74</f>
        <v>38.6</v>
      </c>
      <c r="AH130" s="1064">
        <f t="shared" ref="AH130" si="110">Y$74</f>
        <v>43.6</v>
      </c>
      <c r="AI130" s="123">
        <v>0</v>
      </c>
      <c r="AM130" s="469">
        <v>25</v>
      </c>
      <c r="AN130" s="134">
        <f t="shared" si="106"/>
        <v>9227</v>
      </c>
      <c r="AO130" s="138"/>
      <c r="AP130" s="138"/>
      <c r="AQ130" s="133"/>
    </row>
    <row r="131" spans="30:43">
      <c r="AD131" s="123"/>
      <c r="AE131" s="133"/>
      <c r="AF131" s="133"/>
      <c r="AG131" s="1064"/>
      <c r="AH131" s="1064"/>
      <c r="AI131" s="123"/>
      <c r="AM131" s="469"/>
      <c r="AN131" s="134"/>
      <c r="AO131" s="138"/>
      <c r="AP131" s="138"/>
      <c r="AQ131" s="133"/>
    </row>
  </sheetData>
  <mergeCells count="1">
    <mergeCell ref="AE1:AV1"/>
  </mergeCells>
  <phoneticPr fontId="52" type="noConversion"/>
  <printOptions horizontalCentered="1"/>
  <pageMargins left="0.25" right="0.25" top="0.5" bottom="0.75" header="0" footer="0.25"/>
  <pageSetup scale="66" orientation="landscape" verticalDpi="300" r:id="rId1"/>
  <headerFooter alignWithMargins="0">
    <oddFooter>&amp;LLoad Forecasting : &amp;D&amp;R14LGBRA-NRGPOD1-6-DOC 38
14BGBRA-STAFFROG1-19A-DOC 38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DU197"/>
  <sheetViews>
    <sheetView tabSelected="1" workbookViewId="0">
      <selection activeCell="AR47" sqref="AR47"/>
    </sheetView>
  </sheetViews>
  <sheetFormatPr defaultColWidth="9.140625" defaultRowHeight="11.25" customHeight="1"/>
  <cols>
    <col min="1" max="1" width="7.140625" style="8" customWidth="1"/>
    <col min="2" max="2" width="5.140625" style="8" bestFit="1" customWidth="1"/>
    <col min="3" max="3" width="5.42578125" style="8" customWidth="1"/>
    <col min="4" max="4" width="5.42578125" style="7" bestFit="1" customWidth="1"/>
    <col min="5" max="5" width="5.85546875" style="8" customWidth="1"/>
    <col min="6" max="6" width="6.85546875" style="7" customWidth="1"/>
    <col min="7" max="7" width="9" style="7" bestFit="1" customWidth="1"/>
    <col min="8" max="8" width="2" style="7" customWidth="1"/>
    <col min="9" max="9" width="5.5703125" style="7" customWidth="1"/>
    <col min="10" max="10" width="10.28515625" style="7" bestFit="1" customWidth="1"/>
    <col min="11" max="11" width="6" style="8" customWidth="1"/>
    <col min="12" max="12" width="7.42578125" style="8" customWidth="1"/>
    <col min="13" max="13" width="9" style="8" bestFit="1" customWidth="1"/>
    <col min="14" max="14" width="5.7109375" style="7" customWidth="1"/>
    <col min="15" max="15" width="9" style="7" bestFit="1" customWidth="1"/>
    <col min="16" max="16" width="11.28515625" style="24" customWidth="1"/>
    <col min="17" max="17" width="9" style="24" bestFit="1" customWidth="1"/>
    <col min="18" max="18" width="11.5703125" style="24" customWidth="1"/>
    <col min="19" max="19" width="10" style="8" customWidth="1"/>
    <col min="20" max="32" width="8.7109375" style="8" customWidth="1"/>
    <col min="33" max="33" width="13.7109375" style="81" customWidth="1"/>
    <col min="34" max="44" width="8.7109375" style="81" customWidth="1"/>
    <col min="45" max="45" width="8.7109375" style="86" customWidth="1"/>
    <col min="46" max="47" width="9.140625" style="7"/>
    <col min="48" max="59" width="7" style="7" customWidth="1"/>
    <col min="60" max="16384" width="9.140625" style="7"/>
  </cols>
  <sheetData>
    <row r="1" spans="1:125" ht="11.25" customHeight="1">
      <c r="A1" s="928" t="s">
        <v>558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"/>
      <c r="Q1" s="5"/>
      <c r="R1" s="50"/>
      <c r="S1" s="6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40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40"/>
      <c r="BJ1" s="40"/>
      <c r="BK1" s="40"/>
      <c r="BL1" s="40"/>
      <c r="BM1" s="40"/>
      <c r="BN1" s="40"/>
      <c r="BO1" s="40"/>
      <c r="BP1" s="40"/>
      <c r="BQ1" s="40"/>
      <c r="BR1" s="40"/>
      <c r="CI1" s="28"/>
      <c r="CJ1" s="28"/>
      <c r="CK1" s="28"/>
      <c r="CL1" s="28"/>
      <c r="CM1" s="28"/>
      <c r="CN1" s="28"/>
      <c r="CO1" s="28"/>
      <c r="CP1" s="28"/>
      <c r="CQ1" s="28"/>
    </row>
    <row r="2" spans="1:125" ht="11.25" customHeight="1">
      <c r="A2" s="428" t="s">
        <v>215</v>
      </c>
      <c r="B2" s="4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/>
      <c r="P2" s="4"/>
      <c r="Q2" s="4"/>
      <c r="R2" s="49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40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40"/>
      <c r="BJ2" s="40"/>
      <c r="BK2" s="40"/>
      <c r="BL2" s="40"/>
      <c r="BM2" s="40"/>
      <c r="BN2" s="40"/>
      <c r="BO2" s="40"/>
      <c r="BP2" s="40"/>
      <c r="BQ2" s="40"/>
      <c r="BR2" s="40"/>
      <c r="CI2" s="28"/>
      <c r="CJ2" s="28"/>
      <c r="CK2" s="28"/>
      <c r="CL2" s="28"/>
      <c r="CM2" s="28"/>
      <c r="CN2" s="28"/>
      <c r="CO2" s="28"/>
      <c r="CP2" s="28"/>
      <c r="CQ2" s="28"/>
    </row>
    <row r="3" spans="1:125" ht="11.25" customHeight="1">
      <c r="B3" s="7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9"/>
      <c r="Q3" s="9"/>
      <c r="R3" s="5"/>
      <c r="S3" s="3"/>
      <c r="T3" s="1002">
        <f>AVERAGE(T17:T22)/AVERAGE($AF$17:$AF$22)</f>
        <v>0.92851469582124946</v>
      </c>
      <c r="U3" s="1002">
        <f t="shared" ref="U3:AE3" si="0">AVERAGE(U17:U22)/AVERAGE($AF$17:$AF$22)</f>
        <v>0.99699606766677717</v>
      </c>
      <c r="V3" s="1002">
        <f t="shared" si="0"/>
        <v>0.9896878089799267</v>
      </c>
      <c r="W3" s="1002">
        <f t="shared" si="0"/>
        <v>1.0911692184577406</v>
      </c>
      <c r="X3" s="1002">
        <f t="shared" si="0"/>
        <v>1.0811075305718827</v>
      </c>
      <c r="Y3" s="1002">
        <f t="shared" si="0"/>
        <v>1.0230526819036312</v>
      </c>
      <c r="Z3" s="1002">
        <f t="shared" si="0"/>
        <v>1.0471620114782842</v>
      </c>
      <c r="AA3" s="1002">
        <f t="shared" si="0"/>
        <v>0.99906494958435099</v>
      </c>
      <c r="AB3" s="1002">
        <f t="shared" si="0"/>
        <v>1.0171735329519156</v>
      </c>
      <c r="AC3" s="1002">
        <f t="shared" si="0"/>
        <v>0.95620326013199664</v>
      </c>
      <c r="AD3" s="1002">
        <f t="shared" si="0"/>
        <v>0.96922675148675608</v>
      </c>
      <c r="AE3" s="1002">
        <f t="shared" si="0"/>
        <v>0.90064149096548884</v>
      </c>
      <c r="AF3" s="4"/>
      <c r="AH3" s="1002"/>
      <c r="AI3" s="1002"/>
      <c r="AJ3" s="1002"/>
      <c r="AK3" s="1002"/>
      <c r="AL3" s="1002"/>
      <c r="AM3" s="1002"/>
      <c r="AN3" s="1002"/>
      <c r="AO3" s="1002"/>
      <c r="AP3" s="1002"/>
      <c r="AQ3" s="1002"/>
      <c r="AR3" s="1002"/>
      <c r="AS3" s="1002"/>
      <c r="AT3" s="40"/>
      <c r="AU3" s="39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40"/>
      <c r="BJ3" s="40"/>
      <c r="BK3" s="40"/>
      <c r="BL3" s="40"/>
      <c r="BM3" s="40"/>
      <c r="BN3" s="40"/>
      <c r="BO3" s="40"/>
      <c r="BP3" s="40"/>
      <c r="BQ3" s="40"/>
      <c r="BR3" s="40"/>
      <c r="CI3" s="44"/>
      <c r="CJ3" s="44"/>
      <c r="CK3" s="28"/>
      <c r="CL3" s="28"/>
      <c r="CM3" s="28"/>
      <c r="CN3" s="28"/>
      <c r="CO3" s="28"/>
      <c r="CP3" s="28"/>
      <c r="CQ3" s="28"/>
    </row>
    <row r="4" spans="1:125" ht="11.25" customHeight="1">
      <c r="C4" s="7"/>
      <c r="P4" s="9"/>
      <c r="Q4" s="9"/>
      <c r="R4" s="10"/>
      <c r="S4" s="847" t="s">
        <v>404</v>
      </c>
      <c r="T4" s="7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CI4" s="1"/>
      <c r="CJ4" s="1"/>
      <c r="CK4" s="28"/>
      <c r="CL4" s="28"/>
      <c r="CM4" s="28"/>
      <c r="CN4" s="28"/>
      <c r="CO4" s="28"/>
      <c r="CP4" s="28"/>
      <c r="CQ4" s="28"/>
    </row>
    <row r="5" spans="1:125" s="10" customFormat="1" ht="11.25" customHeight="1">
      <c r="A5" s="11"/>
      <c r="B5" s="11"/>
      <c r="C5" s="1610" t="s">
        <v>24</v>
      </c>
      <c r="D5" s="1610"/>
      <c r="E5" s="1610"/>
      <c r="F5" s="1610"/>
      <c r="G5" s="1610"/>
      <c r="I5" s="1610" t="s">
        <v>25</v>
      </c>
      <c r="J5" s="1610"/>
      <c r="K5" s="1610"/>
      <c r="L5" s="1610"/>
      <c r="M5" s="1610"/>
      <c r="N5" s="1610"/>
      <c r="O5" s="1610"/>
      <c r="P5" s="54"/>
      <c r="Q5" s="79" t="s">
        <v>0</v>
      </c>
      <c r="R5" s="12"/>
      <c r="S5" s="302" t="s">
        <v>297</v>
      </c>
      <c r="T5" s="8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441" t="s">
        <v>63</v>
      </c>
      <c r="AH5" s="83"/>
      <c r="AI5" s="310"/>
      <c r="AJ5" s="311"/>
      <c r="AK5" s="311"/>
      <c r="AL5" s="82"/>
      <c r="AM5" s="82"/>
      <c r="AN5" s="82"/>
      <c r="AO5" s="82"/>
      <c r="AP5" s="82"/>
      <c r="AQ5" s="82"/>
      <c r="AR5" s="82"/>
      <c r="AS5" s="82"/>
      <c r="AT5" s="40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40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40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39"/>
      <c r="DN5" s="39"/>
      <c r="DO5" s="39"/>
      <c r="DP5" s="39"/>
      <c r="DQ5" s="39"/>
      <c r="DR5" s="39"/>
      <c r="DS5" s="39"/>
      <c r="DT5" s="39"/>
      <c r="DU5" s="39"/>
    </row>
    <row r="6" spans="1:125" ht="11.25" customHeight="1">
      <c r="C6" s="1611" t="s">
        <v>26</v>
      </c>
      <c r="D6" s="1611"/>
      <c r="E6" s="1611"/>
      <c r="F6" s="1611"/>
      <c r="G6" s="1611"/>
      <c r="H6" s="13"/>
      <c r="I6" s="1611" t="s">
        <v>26</v>
      </c>
      <c r="J6" s="1611"/>
      <c r="K6" s="1611"/>
      <c r="L6" s="1611"/>
      <c r="M6" s="1611"/>
      <c r="N6" s="1611"/>
      <c r="O6" s="1611"/>
      <c r="P6" s="517" t="s">
        <v>251</v>
      </c>
      <c r="Q6" s="80" t="s">
        <v>44</v>
      </c>
      <c r="R6" s="14"/>
      <c r="S6" s="47" t="s">
        <v>27</v>
      </c>
      <c r="T6" s="8" t="s">
        <v>28</v>
      </c>
      <c r="U6" s="8" t="s">
        <v>29</v>
      </c>
      <c r="V6" s="8" t="s">
        <v>30</v>
      </c>
      <c r="W6" s="8" t="s">
        <v>31</v>
      </c>
      <c r="X6" s="8" t="s">
        <v>32</v>
      </c>
      <c r="Y6" s="8" t="s">
        <v>33</v>
      </c>
      <c r="Z6" s="8" t="s">
        <v>34</v>
      </c>
      <c r="AA6" s="8" t="s">
        <v>35</v>
      </c>
      <c r="AB6" s="8" t="s">
        <v>36</v>
      </c>
      <c r="AC6" s="8" t="s">
        <v>37</v>
      </c>
      <c r="AD6" s="8" t="s">
        <v>38</v>
      </c>
      <c r="AE6" s="8" t="s">
        <v>39</v>
      </c>
      <c r="AF6" s="1000" t="s">
        <v>53</v>
      </c>
      <c r="AG6" s="85" t="s">
        <v>27</v>
      </c>
      <c r="AH6" s="85" t="s">
        <v>28</v>
      </c>
      <c r="AI6" s="85" t="s">
        <v>29</v>
      </c>
      <c r="AJ6" s="85" t="s">
        <v>30</v>
      </c>
      <c r="AK6" s="85" t="s">
        <v>31</v>
      </c>
      <c r="AL6" s="85" t="s">
        <v>32</v>
      </c>
      <c r="AM6" s="85" t="s">
        <v>33</v>
      </c>
      <c r="AN6" s="85" t="s">
        <v>34</v>
      </c>
      <c r="AO6" s="85" t="s">
        <v>35</v>
      </c>
      <c r="AP6" s="85" t="s">
        <v>36</v>
      </c>
      <c r="AQ6" s="85" t="s">
        <v>37</v>
      </c>
      <c r="AR6" s="85" t="s">
        <v>38</v>
      </c>
      <c r="AS6" s="85" t="s">
        <v>39</v>
      </c>
      <c r="AT6" s="1000" t="s">
        <v>53</v>
      </c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15"/>
      <c r="BH6" s="15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15"/>
      <c r="BV6" s="40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40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39"/>
      <c r="DN6" s="39"/>
      <c r="DO6" s="39"/>
      <c r="DP6" s="39"/>
      <c r="DQ6" s="39"/>
      <c r="DR6" s="39"/>
      <c r="DS6" s="39"/>
      <c r="DT6" s="39"/>
      <c r="DU6" s="39"/>
    </row>
    <row r="7" spans="1:125" ht="11.25" customHeight="1">
      <c r="C7" s="319" t="s">
        <v>298</v>
      </c>
      <c r="D7" s="563" t="s">
        <v>326</v>
      </c>
      <c r="E7" s="70" t="s">
        <v>40</v>
      </c>
      <c r="F7" s="71" t="s">
        <v>40</v>
      </c>
      <c r="G7" s="430" t="s">
        <v>64</v>
      </c>
      <c r="H7" s="70"/>
      <c r="I7" s="319" t="s">
        <v>299</v>
      </c>
      <c r="J7" s="77" t="s">
        <v>64</v>
      </c>
      <c r="K7" s="72" t="s">
        <v>14</v>
      </c>
      <c r="L7" s="73" t="s">
        <v>14</v>
      </c>
      <c r="M7" s="430" t="s">
        <v>64</v>
      </c>
      <c r="N7" s="70"/>
      <c r="O7" s="77" t="s">
        <v>64</v>
      </c>
      <c r="P7" s="68" t="s">
        <v>0</v>
      </c>
      <c r="Q7" s="77" t="s">
        <v>64</v>
      </c>
      <c r="R7" s="16" t="s">
        <v>248</v>
      </c>
      <c r="S7" s="56">
        <v>1996</v>
      </c>
      <c r="T7" s="57">
        <v>253</v>
      </c>
      <c r="U7" s="57">
        <v>253</v>
      </c>
      <c r="V7" s="57">
        <v>253</v>
      </c>
      <c r="W7" s="57">
        <v>253</v>
      </c>
      <c r="X7" s="57">
        <v>253</v>
      </c>
      <c r="Y7" s="57">
        <v>253</v>
      </c>
      <c r="Z7" s="57">
        <v>253</v>
      </c>
      <c r="AA7" s="57">
        <v>253</v>
      </c>
      <c r="AB7" s="57">
        <v>253</v>
      </c>
      <c r="AC7" s="57">
        <v>253</v>
      </c>
      <c r="AD7" s="57">
        <v>253</v>
      </c>
      <c r="AE7" s="57">
        <v>253</v>
      </c>
      <c r="AF7" s="1001">
        <f>AVERAGE(T7:AE7)</f>
        <v>253</v>
      </c>
      <c r="AG7" s="315">
        <v>1996</v>
      </c>
      <c r="AH7" s="436">
        <f t="shared" ref="AH7:AH12" si="1">ROUND(T7/$R$13,0)</f>
        <v>259</v>
      </c>
      <c r="AI7" s="435">
        <f t="shared" ref="AI7:AI12" si="2">ROUND(U7/$R$13,0)</f>
        <v>259</v>
      </c>
      <c r="AJ7" s="435">
        <f t="shared" ref="AJ7:AJ12" si="3">ROUND(V7/$R$13,0)</f>
        <v>259</v>
      </c>
      <c r="AK7" s="435">
        <f t="shared" ref="AK7:AK12" si="4">ROUND(W7/$R$13,0)</f>
        <v>259</v>
      </c>
      <c r="AL7" s="435">
        <f t="shared" ref="AL7:AL12" si="5">ROUND(X7/$R$13,0)</f>
        <v>259</v>
      </c>
      <c r="AM7" s="435">
        <f t="shared" ref="AM7:AM12" si="6">ROUND(Y7/$R$13,0)</f>
        <v>259</v>
      </c>
      <c r="AN7" s="436">
        <f t="shared" ref="AN7:AN12" si="7">ROUND(Z7/$R$13,0)</f>
        <v>259</v>
      </c>
      <c r="AO7" s="435">
        <f t="shared" ref="AO7:AO12" si="8">ROUND(AA7/$R$13,0)</f>
        <v>259</v>
      </c>
      <c r="AP7" s="435">
        <f t="shared" ref="AP7:AP12" si="9">ROUND(AB7/$R$13,0)</f>
        <v>259</v>
      </c>
      <c r="AQ7" s="435">
        <f t="shared" ref="AQ7:AQ12" si="10">ROUND(AC7/$R$13,0)</f>
        <v>259</v>
      </c>
      <c r="AR7" s="435">
        <f t="shared" ref="AR7:AR12" si="11">ROUND(AD7/$R$13,0)</f>
        <v>259</v>
      </c>
      <c r="AS7" s="435">
        <f t="shared" ref="AS7:AS12" si="12">ROUND(AE7/$R$13,0)</f>
        <v>259</v>
      </c>
      <c r="AT7" s="1001">
        <f>AVERAGE(AH7:AS7)</f>
        <v>259</v>
      </c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40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40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39"/>
      <c r="DN7" s="39"/>
      <c r="DO7" s="39"/>
      <c r="DP7" s="39"/>
      <c r="DQ7" s="39"/>
      <c r="DR7" s="39"/>
      <c r="DS7" s="39"/>
      <c r="DT7" s="39"/>
      <c r="DU7" s="39"/>
    </row>
    <row r="8" spans="1:125" ht="11.25" customHeight="1">
      <c r="A8" s="67"/>
      <c r="B8" s="66" t="s">
        <v>9</v>
      </c>
      <c r="C8" s="997" t="s">
        <v>41</v>
      </c>
      <c r="D8" s="74" t="s">
        <v>42</v>
      </c>
      <c r="E8" s="74" t="s">
        <v>15</v>
      </c>
      <c r="F8" s="75" t="s">
        <v>0</v>
      </c>
      <c r="G8" s="431" t="s">
        <v>65</v>
      </c>
      <c r="H8" s="74"/>
      <c r="I8" s="997" t="s">
        <v>41</v>
      </c>
      <c r="J8" s="78" t="s">
        <v>65</v>
      </c>
      <c r="K8" s="74" t="s">
        <v>15</v>
      </c>
      <c r="L8" s="75" t="s">
        <v>0</v>
      </c>
      <c r="M8" s="431" t="s">
        <v>65</v>
      </c>
      <c r="N8" s="998" t="s">
        <v>43</v>
      </c>
      <c r="O8" s="78" t="s">
        <v>65</v>
      </c>
      <c r="P8" s="69" t="s">
        <v>44</v>
      </c>
      <c r="Q8" s="78" t="s">
        <v>65</v>
      </c>
      <c r="R8" s="18" t="s">
        <v>249</v>
      </c>
      <c r="S8" s="56">
        <v>1997</v>
      </c>
      <c r="T8" s="315">
        <v>297</v>
      </c>
      <c r="U8" s="315">
        <v>297</v>
      </c>
      <c r="V8" s="315">
        <v>297</v>
      </c>
      <c r="W8" s="315">
        <v>297</v>
      </c>
      <c r="X8" s="315">
        <v>297</v>
      </c>
      <c r="Y8" s="315">
        <v>297</v>
      </c>
      <c r="Z8" s="315">
        <v>297</v>
      </c>
      <c r="AA8" s="315">
        <v>297</v>
      </c>
      <c r="AB8" s="315">
        <v>297</v>
      </c>
      <c r="AC8" s="315">
        <v>297</v>
      </c>
      <c r="AD8" s="315">
        <v>297</v>
      </c>
      <c r="AE8" s="315">
        <v>297</v>
      </c>
      <c r="AF8" s="1001">
        <f t="shared" ref="AF8:AF41" si="13">AVERAGE(T8:AE8)</f>
        <v>297</v>
      </c>
      <c r="AG8" s="315">
        <v>1997</v>
      </c>
      <c r="AH8" s="436">
        <f t="shared" si="1"/>
        <v>304</v>
      </c>
      <c r="AI8" s="435">
        <f t="shared" si="2"/>
        <v>304</v>
      </c>
      <c r="AJ8" s="435">
        <f t="shared" si="3"/>
        <v>304</v>
      </c>
      <c r="AK8" s="435">
        <f t="shared" si="4"/>
        <v>304</v>
      </c>
      <c r="AL8" s="435">
        <f t="shared" si="5"/>
        <v>304</v>
      </c>
      <c r="AM8" s="435">
        <f t="shared" si="6"/>
        <v>304</v>
      </c>
      <c r="AN8" s="436">
        <f t="shared" si="7"/>
        <v>304</v>
      </c>
      <c r="AO8" s="435">
        <f t="shared" si="8"/>
        <v>304</v>
      </c>
      <c r="AP8" s="435">
        <f t="shared" si="9"/>
        <v>304</v>
      </c>
      <c r="AQ8" s="435">
        <f t="shared" si="10"/>
        <v>304</v>
      </c>
      <c r="AR8" s="435">
        <f t="shared" si="11"/>
        <v>304</v>
      </c>
      <c r="AS8" s="435">
        <f t="shared" si="12"/>
        <v>304</v>
      </c>
      <c r="AT8" s="1001">
        <f t="shared" ref="AT8:AT41" si="14">AVERAGE(AH8:AS8)</f>
        <v>304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40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40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39"/>
      <c r="DN8" s="39"/>
      <c r="DO8" s="39"/>
      <c r="DP8" s="39"/>
      <c r="DQ8" s="39"/>
      <c r="DR8" s="39"/>
      <c r="DS8" s="39"/>
      <c r="DT8" s="39"/>
      <c r="DU8" s="39"/>
    </row>
    <row r="9" spans="1:125" ht="11.25" customHeight="1">
      <c r="A9" s="38"/>
      <c r="B9" s="8">
        <v>1985</v>
      </c>
      <c r="C9" s="62">
        <v>35</v>
      </c>
      <c r="D9" s="49"/>
      <c r="E9" s="59">
        <v>134</v>
      </c>
      <c r="F9" s="60">
        <f t="shared" ref="F9:F36" si="15">C9+E9</f>
        <v>169</v>
      </c>
      <c r="I9" s="62">
        <v>34</v>
      </c>
      <c r="J9" s="62"/>
      <c r="K9" s="62">
        <v>2.8</v>
      </c>
      <c r="L9" s="186">
        <f t="shared" ref="L9:L20" si="16">K9+I9</f>
        <v>36.799999999999997</v>
      </c>
      <c r="M9" s="60"/>
      <c r="N9" s="62">
        <v>2</v>
      </c>
      <c r="O9" s="8"/>
      <c r="P9" s="20">
        <f>F9+L9-N9</f>
        <v>203.8</v>
      </c>
      <c r="Q9" s="20">
        <f t="shared" ref="Q9:Q30" si="17">P9/$R$16</f>
        <v>208.74731127727136</v>
      </c>
      <c r="R9" s="515">
        <v>0.97799999999999998</v>
      </c>
      <c r="S9" s="56">
        <v>1998</v>
      </c>
      <c r="T9" s="57">
        <f t="shared" ref="T9:AE9" si="18">(T60+T106)-$N9</f>
        <v>331.40000000000003</v>
      </c>
      <c r="U9" s="57">
        <f t="shared" si="18"/>
        <v>331.66666666666669</v>
      </c>
      <c r="V9" s="57">
        <f t="shared" si="18"/>
        <v>337.83333333333337</v>
      </c>
      <c r="W9" s="57">
        <f t="shared" si="18"/>
        <v>345.50000000000006</v>
      </c>
      <c r="X9" s="57">
        <f t="shared" si="18"/>
        <v>335.06666666666678</v>
      </c>
      <c r="Y9" s="57">
        <f t="shared" si="18"/>
        <v>332.93333333333345</v>
      </c>
      <c r="Z9" s="57">
        <f t="shared" si="18"/>
        <v>339.10000000000014</v>
      </c>
      <c r="AA9" s="57">
        <f t="shared" si="18"/>
        <v>340.86666666666679</v>
      </c>
      <c r="AB9" s="57">
        <f t="shared" si="18"/>
        <v>339.43333333333351</v>
      </c>
      <c r="AC9" s="57">
        <f t="shared" si="18"/>
        <v>334.70000000000016</v>
      </c>
      <c r="AD9" s="57">
        <f t="shared" si="18"/>
        <v>334.86666666666684</v>
      </c>
      <c r="AE9" s="57">
        <f t="shared" si="18"/>
        <v>336.03333333333353</v>
      </c>
      <c r="AF9" s="1001">
        <f t="shared" si="13"/>
        <v>336.61666666666679</v>
      </c>
      <c r="AG9" s="315">
        <v>1998</v>
      </c>
      <c r="AH9" s="435">
        <f t="shared" si="1"/>
        <v>339</v>
      </c>
      <c r="AI9" s="435">
        <f t="shared" si="2"/>
        <v>340</v>
      </c>
      <c r="AJ9" s="436">
        <f t="shared" si="3"/>
        <v>346</v>
      </c>
      <c r="AK9" s="435">
        <f t="shared" si="4"/>
        <v>354</v>
      </c>
      <c r="AL9" s="435">
        <f t="shared" si="5"/>
        <v>343</v>
      </c>
      <c r="AM9" s="435">
        <f t="shared" si="6"/>
        <v>341</v>
      </c>
      <c r="AN9" s="436">
        <f t="shared" si="7"/>
        <v>347</v>
      </c>
      <c r="AO9" s="435">
        <f t="shared" si="8"/>
        <v>349</v>
      </c>
      <c r="AP9" s="435">
        <f t="shared" si="9"/>
        <v>348</v>
      </c>
      <c r="AQ9" s="435">
        <f t="shared" si="10"/>
        <v>343</v>
      </c>
      <c r="AR9" s="435">
        <f t="shared" si="11"/>
        <v>343</v>
      </c>
      <c r="AS9" s="435">
        <f t="shared" si="12"/>
        <v>344</v>
      </c>
      <c r="AT9" s="1001">
        <f t="shared" si="14"/>
        <v>344.75</v>
      </c>
      <c r="AU9" s="41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1"/>
      <c r="BI9" s="40"/>
      <c r="BJ9" s="40"/>
      <c r="BK9" s="40"/>
      <c r="BL9" s="40"/>
      <c r="BM9" s="40"/>
      <c r="BN9" s="40"/>
      <c r="BO9" s="40"/>
      <c r="BP9" s="40"/>
      <c r="BQ9" s="40"/>
      <c r="BR9" s="40"/>
      <c r="CI9" s="28"/>
      <c r="CJ9" s="28"/>
      <c r="CK9" s="28"/>
      <c r="CL9" s="28"/>
      <c r="CM9" s="28"/>
      <c r="CN9" s="28"/>
      <c r="CO9" s="28"/>
      <c r="CP9" s="28"/>
      <c r="CQ9" s="28"/>
    </row>
    <row r="10" spans="1:125" ht="11.25" customHeight="1">
      <c r="A10" s="38"/>
      <c r="B10" s="8">
        <v>1986</v>
      </c>
      <c r="C10" s="62">
        <v>138.9</v>
      </c>
      <c r="D10" s="49"/>
      <c r="E10" s="59">
        <v>0</v>
      </c>
      <c r="F10" s="60">
        <f t="shared" si="15"/>
        <v>138.9</v>
      </c>
      <c r="I10" s="62">
        <v>46.2</v>
      </c>
      <c r="J10" s="62"/>
      <c r="K10" s="62">
        <v>0</v>
      </c>
      <c r="L10" s="186">
        <f t="shared" si="16"/>
        <v>46.2</v>
      </c>
      <c r="M10" s="60"/>
      <c r="N10" s="62">
        <v>2</v>
      </c>
      <c r="O10" s="8"/>
      <c r="P10" s="20">
        <f t="shared" ref="P10:P47" si="19">F10+L10-N10</f>
        <v>183.10000000000002</v>
      </c>
      <c r="Q10" s="20">
        <f t="shared" si="17"/>
        <v>187.54481204547787</v>
      </c>
      <c r="R10" s="515">
        <v>0.97950000000000004</v>
      </c>
      <c r="S10" s="56">
        <v>1999</v>
      </c>
      <c r="T10" s="57">
        <f t="shared" ref="T10:AE10" si="20">(T61+T107)-$N23</f>
        <v>321.60000000000002</v>
      </c>
      <c r="U10" s="57">
        <f t="shared" si="20"/>
        <v>327.76666666666665</v>
      </c>
      <c r="V10" s="57">
        <f t="shared" si="20"/>
        <v>317.93333333333334</v>
      </c>
      <c r="W10" s="57">
        <f t="shared" si="20"/>
        <v>308.59999999999997</v>
      </c>
      <c r="X10" s="57">
        <f t="shared" si="20"/>
        <v>307.96666666666664</v>
      </c>
      <c r="Y10" s="57">
        <f t="shared" si="20"/>
        <v>298.23333333333329</v>
      </c>
      <c r="Z10" s="57">
        <f t="shared" si="20"/>
        <v>288.69999999999993</v>
      </c>
      <c r="AA10" s="57">
        <f t="shared" si="20"/>
        <v>283.86666666666656</v>
      </c>
      <c r="AB10" s="57">
        <f t="shared" si="20"/>
        <v>275.43333333333322</v>
      </c>
      <c r="AC10" s="57">
        <f t="shared" si="20"/>
        <v>269.2999999999999</v>
      </c>
      <c r="AD10" s="57">
        <f t="shared" si="20"/>
        <v>254.16666666666652</v>
      </c>
      <c r="AE10" s="57">
        <f t="shared" si="20"/>
        <v>247.43333333333317</v>
      </c>
      <c r="AF10" s="1001">
        <f t="shared" si="13"/>
        <v>291.74999999999994</v>
      </c>
      <c r="AG10" s="315">
        <v>1999</v>
      </c>
      <c r="AH10" s="436">
        <f t="shared" si="1"/>
        <v>329</v>
      </c>
      <c r="AI10" s="435">
        <f t="shared" si="2"/>
        <v>336</v>
      </c>
      <c r="AJ10" s="435">
        <f t="shared" si="3"/>
        <v>326</v>
      </c>
      <c r="AK10" s="435">
        <f t="shared" si="4"/>
        <v>316</v>
      </c>
      <c r="AL10" s="435">
        <f t="shared" si="5"/>
        <v>315</v>
      </c>
      <c r="AM10" s="435">
        <f t="shared" si="6"/>
        <v>305</v>
      </c>
      <c r="AN10" s="435">
        <f t="shared" si="7"/>
        <v>296</v>
      </c>
      <c r="AO10" s="436">
        <f t="shared" si="8"/>
        <v>291</v>
      </c>
      <c r="AP10" s="435">
        <f t="shared" si="9"/>
        <v>282</v>
      </c>
      <c r="AQ10" s="435">
        <f t="shared" si="10"/>
        <v>276</v>
      </c>
      <c r="AR10" s="435">
        <f t="shared" si="11"/>
        <v>260</v>
      </c>
      <c r="AS10" s="435">
        <f t="shared" si="12"/>
        <v>253</v>
      </c>
      <c r="AT10" s="1001">
        <f t="shared" si="14"/>
        <v>298.75</v>
      </c>
      <c r="AU10" s="41"/>
      <c r="AV10" s="41"/>
      <c r="AW10" s="41"/>
      <c r="AX10" s="41"/>
      <c r="AY10" s="16"/>
      <c r="AZ10" s="40"/>
      <c r="BA10" s="42"/>
      <c r="BB10" s="16"/>
      <c r="BC10" s="41"/>
      <c r="BD10" s="42"/>
      <c r="BE10" s="40"/>
      <c r="BF10" s="16"/>
      <c r="BG10" s="16"/>
      <c r="BH10" s="16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CI10" s="28"/>
      <c r="CJ10" s="28"/>
      <c r="CK10" s="28"/>
      <c r="CL10" s="28"/>
      <c r="CM10" s="28"/>
      <c r="CN10" s="28"/>
      <c r="CO10" s="28"/>
      <c r="CP10" s="28"/>
      <c r="CQ10" s="28"/>
    </row>
    <row r="11" spans="1:125" ht="11.25" customHeight="1">
      <c r="A11" s="38"/>
      <c r="B11" s="8">
        <v>1987</v>
      </c>
      <c r="C11" s="62">
        <v>159.80000000000001</v>
      </c>
      <c r="D11" s="62"/>
      <c r="E11" s="59">
        <v>0</v>
      </c>
      <c r="F11" s="60">
        <f t="shared" si="15"/>
        <v>159.80000000000001</v>
      </c>
      <c r="I11" s="62">
        <v>45.7</v>
      </c>
      <c r="J11" s="62"/>
      <c r="K11" s="62">
        <v>0</v>
      </c>
      <c r="L11" s="186">
        <f t="shared" si="16"/>
        <v>45.7</v>
      </c>
      <c r="M11" s="60"/>
      <c r="N11" s="62">
        <v>2</v>
      </c>
      <c r="O11" s="8"/>
      <c r="P11" s="20">
        <f t="shared" si="19"/>
        <v>203.5</v>
      </c>
      <c r="Q11" s="20">
        <f t="shared" si="17"/>
        <v>208.44002867970912</v>
      </c>
      <c r="R11" s="515">
        <v>0.97899999999999998</v>
      </c>
      <c r="S11" s="56">
        <v>2000</v>
      </c>
      <c r="T11" s="57">
        <f t="shared" ref="T11:AE11" si="21">(T62+T108)-$N24</f>
        <v>242</v>
      </c>
      <c r="U11" s="57">
        <f t="shared" si="21"/>
        <v>295</v>
      </c>
      <c r="V11" s="57">
        <f t="shared" si="21"/>
        <v>327</v>
      </c>
      <c r="W11" s="57">
        <f t="shared" si="21"/>
        <v>304</v>
      </c>
      <c r="X11" s="57">
        <f t="shared" si="21"/>
        <v>310</v>
      </c>
      <c r="Y11" s="57">
        <f t="shared" si="21"/>
        <v>274</v>
      </c>
      <c r="Z11" s="1003">
        <f t="shared" si="21"/>
        <v>233</v>
      </c>
      <c r="AA11" s="57">
        <f t="shared" si="21"/>
        <v>301</v>
      </c>
      <c r="AB11" s="57">
        <f t="shared" si="21"/>
        <v>307</v>
      </c>
      <c r="AC11" s="57">
        <f t="shared" si="21"/>
        <v>252</v>
      </c>
      <c r="AD11" s="57">
        <f t="shared" si="21"/>
        <v>310</v>
      </c>
      <c r="AE11" s="57">
        <f t="shared" si="21"/>
        <v>226</v>
      </c>
      <c r="AF11" s="1001">
        <f t="shared" si="13"/>
        <v>281.75</v>
      </c>
      <c r="AG11" s="315">
        <v>2000</v>
      </c>
      <c r="AH11" s="436">
        <f t="shared" si="1"/>
        <v>248</v>
      </c>
      <c r="AI11" s="435">
        <f t="shared" si="2"/>
        <v>302</v>
      </c>
      <c r="AJ11" s="435">
        <f t="shared" si="3"/>
        <v>335</v>
      </c>
      <c r="AK11" s="435">
        <f t="shared" si="4"/>
        <v>311</v>
      </c>
      <c r="AL11" s="435">
        <f t="shared" si="5"/>
        <v>317</v>
      </c>
      <c r="AM11" s="435">
        <f t="shared" si="6"/>
        <v>281</v>
      </c>
      <c r="AN11" s="435">
        <f t="shared" si="7"/>
        <v>239</v>
      </c>
      <c r="AO11" s="436">
        <f t="shared" si="8"/>
        <v>308</v>
      </c>
      <c r="AP11" s="435">
        <f t="shared" si="9"/>
        <v>314</v>
      </c>
      <c r="AQ11" s="435">
        <f t="shared" si="10"/>
        <v>258</v>
      </c>
      <c r="AR11" s="435">
        <f t="shared" si="11"/>
        <v>317</v>
      </c>
      <c r="AS11" s="435">
        <f t="shared" si="12"/>
        <v>231</v>
      </c>
      <c r="AT11" s="1001">
        <f t="shared" si="14"/>
        <v>288.41666666666669</v>
      </c>
      <c r="AU11" s="41"/>
      <c r="AV11" s="41"/>
      <c r="AW11" s="41"/>
      <c r="AX11" s="41"/>
      <c r="AY11" s="16"/>
      <c r="AZ11" s="40"/>
      <c r="BA11" s="42"/>
      <c r="BB11" s="16"/>
      <c r="BC11" s="41"/>
      <c r="BD11" s="42"/>
      <c r="BE11" s="40"/>
      <c r="BF11" s="16"/>
      <c r="BG11" s="16"/>
      <c r="BH11" s="16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CI11" s="45"/>
      <c r="CJ11" s="45"/>
      <c r="CK11" s="45"/>
      <c r="CL11" s="45"/>
      <c r="CM11" s="45"/>
      <c r="CN11" s="45"/>
      <c r="CO11" s="28"/>
      <c r="CP11" s="28"/>
      <c r="CQ11" s="28"/>
    </row>
    <row r="12" spans="1:125" ht="11.25" customHeight="1">
      <c r="A12" s="38"/>
      <c r="B12" s="8">
        <v>1988</v>
      </c>
      <c r="C12" s="62">
        <v>175.2</v>
      </c>
      <c r="D12" s="62"/>
      <c r="E12" s="59">
        <v>0</v>
      </c>
      <c r="F12" s="60">
        <f t="shared" si="15"/>
        <v>175.2</v>
      </c>
      <c r="I12" s="62">
        <v>54.2</v>
      </c>
      <c r="J12" s="62"/>
      <c r="K12" s="62">
        <v>0</v>
      </c>
      <c r="L12" s="186">
        <f t="shared" si="16"/>
        <v>54.2</v>
      </c>
      <c r="M12" s="60"/>
      <c r="N12" s="62">
        <v>2</v>
      </c>
      <c r="O12" s="8"/>
      <c r="P12" s="20">
        <f t="shared" si="19"/>
        <v>227.39999999999998</v>
      </c>
      <c r="Q12" s="20">
        <f t="shared" si="17"/>
        <v>232.92020895216632</v>
      </c>
      <c r="R12" s="515">
        <v>0.97789999999999999</v>
      </c>
      <c r="S12" s="56">
        <v>2001</v>
      </c>
      <c r="T12" s="1003">
        <f>(174+T63+T109)-$N25</f>
        <v>251.81747500562432</v>
      </c>
      <c r="U12" s="57">
        <f t="shared" ref="U12:AE12" si="22">(U63+U109)-$N25</f>
        <v>307.89857000000001</v>
      </c>
      <c r="V12" s="57">
        <f t="shared" si="22"/>
        <v>305.95770000000005</v>
      </c>
      <c r="W12" s="57">
        <f t="shared" si="22"/>
        <v>291.16586999999998</v>
      </c>
      <c r="X12" s="57">
        <f t="shared" si="22"/>
        <v>304.03516999999999</v>
      </c>
      <c r="Y12" s="57">
        <f t="shared" si="22"/>
        <v>304.20208000000002</v>
      </c>
      <c r="Z12" s="57">
        <f t="shared" si="22"/>
        <v>209.58546000000001</v>
      </c>
      <c r="AA12" s="57">
        <f t="shared" si="22"/>
        <v>274.60780999999997</v>
      </c>
      <c r="AB12" s="57">
        <f t="shared" si="22"/>
        <v>297.72489999999999</v>
      </c>
      <c r="AC12" s="57">
        <f t="shared" si="22"/>
        <v>228.89644000000001</v>
      </c>
      <c r="AD12" s="57">
        <f t="shared" si="22"/>
        <v>322.54105000000004</v>
      </c>
      <c r="AE12" s="57">
        <f t="shared" si="22"/>
        <v>248.39527000000001</v>
      </c>
      <c r="AF12" s="1001">
        <f t="shared" si="13"/>
        <v>278.90231625046869</v>
      </c>
      <c r="AG12" s="315">
        <v>2001</v>
      </c>
      <c r="AH12" s="436">
        <f t="shared" si="1"/>
        <v>258</v>
      </c>
      <c r="AI12" s="435">
        <f t="shared" si="2"/>
        <v>315</v>
      </c>
      <c r="AJ12" s="435">
        <f t="shared" si="3"/>
        <v>313</v>
      </c>
      <c r="AK12" s="435">
        <f t="shared" si="4"/>
        <v>298</v>
      </c>
      <c r="AL12" s="435">
        <f t="shared" si="5"/>
        <v>311</v>
      </c>
      <c r="AM12" s="435">
        <f t="shared" si="6"/>
        <v>312</v>
      </c>
      <c r="AN12" s="435">
        <f t="shared" si="7"/>
        <v>215</v>
      </c>
      <c r="AO12" s="436">
        <f t="shared" si="8"/>
        <v>281</v>
      </c>
      <c r="AP12" s="435">
        <f t="shared" si="9"/>
        <v>305</v>
      </c>
      <c r="AQ12" s="435">
        <f t="shared" si="10"/>
        <v>234</v>
      </c>
      <c r="AR12" s="435">
        <f t="shared" si="11"/>
        <v>330</v>
      </c>
      <c r="AS12" s="435">
        <f t="shared" si="12"/>
        <v>254</v>
      </c>
      <c r="AT12" s="1001">
        <f t="shared" si="14"/>
        <v>285.5</v>
      </c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85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CI12" s="1"/>
      <c r="CJ12" s="1"/>
      <c r="CK12" s="1"/>
      <c r="CL12" s="1"/>
      <c r="CM12" s="1"/>
      <c r="CN12" s="1"/>
      <c r="CO12" s="28"/>
      <c r="CP12" s="28"/>
      <c r="CQ12" s="28"/>
    </row>
    <row r="13" spans="1:125" ht="11.25" customHeight="1">
      <c r="A13" s="38" t="s">
        <v>45</v>
      </c>
      <c r="B13" s="8">
        <v>1989</v>
      </c>
      <c r="C13" s="62">
        <v>192.2</v>
      </c>
      <c r="D13" s="62"/>
      <c r="E13" s="59">
        <v>0</v>
      </c>
      <c r="F13" s="60">
        <f t="shared" si="15"/>
        <v>192.2</v>
      </c>
      <c r="I13" s="62">
        <v>45.1</v>
      </c>
      <c r="J13" s="62"/>
      <c r="K13" s="62">
        <v>0</v>
      </c>
      <c r="L13" s="186">
        <f t="shared" si="16"/>
        <v>45.1</v>
      </c>
      <c r="M13" s="60"/>
      <c r="N13" s="62">
        <v>2</v>
      </c>
      <c r="O13" s="8"/>
      <c r="P13" s="20">
        <f t="shared" si="19"/>
        <v>235.29999999999998</v>
      </c>
      <c r="Q13" s="20">
        <f t="shared" si="17"/>
        <v>241.01198402130493</v>
      </c>
      <c r="R13" s="515">
        <v>0.97650000000000003</v>
      </c>
      <c r="S13" s="56">
        <v>2002</v>
      </c>
      <c r="T13" s="57">
        <f t="shared" ref="T13:T20" si="23">(T64+T110)-$N26</f>
        <v>283.2</v>
      </c>
      <c r="U13" s="57">
        <f t="shared" ref="U13:AE13" si="24">(U64+U110)-$N26</f>
        <v>298.2</v>
      </c>
      <c r="V13" s="57">
        <f t="shared" si="24"/>
        <v>330.70000000000005</v>
      </c>
      <c r="W13" s="57">
        <f t="shared" si="24"/>
        <v>276.2</v>
      </c>
      <c r="X13" s="57">
        <f t="shared" si="24"/>
        <v>345</v>
      </c>
      <c r="Y13" s="57">
        <f t="shared" si="24"/>
        <v>282.90000000000003</v>
      </c>
      <c r="Z13" s="57">
        <f t="shared" si="24"/>
        <v>297.09999999999997</v>
      </c>
      <c r="AA13" s="57">
        <f t="shared" si="24"/>
        <v>261.7</v>
      </c>
      <c r="AB13" s="57">
        <f t="shared" si="24"/>
        <v>246.7</v>
      </c>
      <c r="AC13" s="57">
        <f t="shared" si="24"/>
        <v>246.10000000000002</v>
      </c>
      <c r="AD13" s="57">
        <f t="shared" si="24"/>
        <v>317</v>
      </c>
      <c r="AE13" s="57">
        <f t="shared" si="24"/>
        <v>272.39999999999998</v>
      </c>
      <c r="AF13" s="1001">
        <f t="shared" si="13"/>
        <v>288.09999999999997</v>
      </c>
      <c r="AG13" s="315">
        <v>2002</v>
      </c>
      <c r="AH13" s="436">
        <f>ROUND(T13/$R$13,0)</f>
        <v>290</v>
      </c>
      <c r="AI13" s="435">
        <f t="shared" ref="AI13:AS13" si="25">ROUND(U13/$R$13,0)</f>
        <v>305</v>
      </c>
      <c r="AJ13" s="435">
        <f t="shared" si="25"/>
        <v>339</v>
      </c>
      <c r="AK13" s="435">
        <f t="shared" si="25"/>
        <v>283</v>
      </c>
      <c r="AL13" s="435">
        <f t="shared" si="25"/>
        <v>353</v>
      </c>
      <c r="AM13" s="435">
        <f t="shared" si="25"/>
        <v>290</v>
      </c>
      <c r="AN13" s="436">
        <f t="shared" si="25"/>
        <v>304</v>
      </c>
      <c r="AO13" s="435">
        <f t="shared" si="25"/>
        <v>268</v>
      </c>
      <c r="AP13" s="435">
        <f t="shared" si="25"/>
        <v>253</v>
      </c>
      <c r="AQ13" s="435">
        <f t="shared" si="25"/>
        <v>252</v>
      </c>
      <c r="AR13" s="435">
        <f t="shared" si="25"/>
        <v>325</v>
      </c>
      <c r="AS13" s="435">
        <f t="shared" si="25"/>
        <v>279</v>
      </c>
      <c r="AT13" s="1001">
        <f t="shared" si="14"/>
        <v>295.08333333333331</v>
      </c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85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CI13" s="1"/>
      <c r="CJ13" s="1"/>
      <c r="CK13" s="1"/>
      <c r="CL13" s="1"/>
      <c r="CM13" s="1"/>
      <c r="CN13" s="1"/>
      <c r="CO13" s="28"/>
      <c r="CP13" s="28"/>
      <c r="CQ13" s="28"/>
    </row>
    <row r="14" spans="1:125" ht="11.25" customHeight="1">
      <c r="A14" s="38" t="s">
        <v>46</v>
      </c>
      <c r="B14" s="8">
        <v>1990</v>
      </c>
      <c r="C14" s="62">
        <v>0</v>
      </c>
      <c r="D14" s="62"/>
      <c r="E14" s="59">
        <v>221</v>
      </c>
      <c r="F14" s="60">
        <f t="shared" si="15"/>
        <v>221</v>
      </c>
      <c r="I14" s="62">
        <v>0</v>
      </c>
      <c r="J14" s="62"/>
      <c r="K14" s="62">
        <v>9.3000000000000007</v>
      </c>
      <c r="L14" s="186">
        <f t="shared" si="16"/>
        <v>9.3000000000000007</v>
      </c>
      <c r="M14" s="60"/>
      <c r="N14" s="62">
        <v>2</v>
      </c>
      <c r="O14" s="8"/>
      <c r="P14" s="20">
        <f t="shared" si="19"/>
        <v>228.3</v>
      </c>
      <c r="Q14" s="20">
        <f t="shared" si="17"/>
        <v>233.84205674485304</v>
      </c>
      <c r="R14" s="515">
        <v>0.97540000000000004</v>
      </c>
      <c r="S14" s="56">
        <v>2003</v>
      </c>
      <c r="T14" s="57">
        <f t="shared" si="23"/>
        <v>250.66043999999999</v>
      </c>
      <c r="U14" s="57">
        <f t="shared" ref="U14:AE14" si="26">(U65+U111)-$N27</f>
        <v>238.83922999999999</v>
      </c>
      <c r="V14" s="57">
        <f t="shared" si="26"/>
        <v>319.69261</v>
      </c>
      <c r="W14" s="57">
        <f t="shared" si="26"/>
        <v>226.28136999999998</v>
      </c>
      <c r="X14" s="57">
        <f t="shared" si="26"/>
        <v>266.91251999999997</v>
      </c>
      <c r="Y14" s="57">
        <f t="shared" si="26"/>
        <v>237.64309</v>
      </c>
      <c r="Z14" s="57">
        <f t="shared" si="26"/>
        <v>248.01989</v>
      </c>
      <c r="AA14" s="57">
        <f t="shared" si="26"/>
        <v>270.92039</v>
      </c>
      <c r="AB14" s="57">
        <f t="shared" si="26"/>
        <v>259.09008</v>
      </c>
      <c r="AC14" s="57">
        <f t="shared" si="26"/>
        <v>273.86624999999998</v>
      </c>
      <c r="AD14" s="57">
        <f t="shared" si="26"/>
        <v>307.18298999999996</v>
      </c>
      <c r="AE14" s="57">
        <f t="shared" si="26"/>
        <v>232.73053999999999</v>
      </c>
      <c r="AF14" s="1001">
        <f t="shared" si="13"/>
        <v>260.98661666666663</v>
      </c>
      <c r="AG14" s="315">
        <v>2003</v>
      </c>
      <c r="AH14" s="436">
        <f>ROUND(T14/$R$14,0)</f>
        <v>257</v>
      </c>
      <c r="AI14" s="435">
        <f>ROUND(U14/$R$14,0)</f>
        <v>245</v>
      </c>
      <c r="AJ14" s="435">
        <f>ROUND(V14/$R$14,0)</f>
        <v>328</v>
      </c>
      <c r="AK14" s="435">
        <f t="shared" ref="AK14:AS14" si="27">ROUND(W14/$R$14,0)</f>
        <v>232</v>
      </c>
      <c r="AL14" s="435">
        <f t="shared" si="27"/>
        <v>274</v>
      </c>
      <c r="AM14" s="435">
        <f t="shared" si="27"/>
        <v>244</v>
      </c>
      <c r="AN14" s="436">
        <f t="shared" si="27"/>
        <v>254</v>
      </c>
      <c r="AO14" s="435">
        <f t="shared" si="27"/>
        <v>278</v>
      </c>
      <c r="AP14" s="435">
        <f t="shared" si="27"/>
        <v>266</v>
      </c>
      <c r="AQ14" s="435">
        <f t="shared" si="27"/>
        <v>281</v>
      </c>
      <c r="AR14" s="435">
        <f t="shared" si="27"/>
        <v>315</v>
      </c>
      <c r="AS14" s="435">
        <f t="shared" si="27"/>
        <v>239</v>
      </c>
      <c r="AT14" s="1001">
        <f t="shared" si="14"/>
        <v>267.75</v>
      </c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85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CI14" s="1"/>
      <c r="CJ14" s="1"/>
      <c r="CK14" s="1"/>
      <c r="CL14" s="1"/>
      <c r="CM14" s="1"/>
      <c r="CN14" s="1"/>
      <c r="CO14" s="28"/>
      <c r="CP14" s="28"/>
      <c r="CQ14" s="28"/>
    </row>
    <row r="15" spans="1:125" ht="11.25" customHeight="1">
      <c r="A15" s="38" t="s">
        <v>47</v>
      </c>
      <c r="B15" s="8">
        <v>1991</v>
      </c>
      <c r="C15" s="62">
        <v>157.1</v>
      </c>
      <c r="D15" s="49"/>
      <c r="E15" s="59">
        <v>0</v>
      </c>
      <c r="F15" s="60">
        <f t="shared" si="15"/>
        <v>157.1</v>
      </c>
      <c r="I15" s="62">
        <v>42.3</v>
      </c>
      <c r="J15" s="62"/>
      <c r="K15" s="62">
        <v>0</v>
      </c>
      <c r="L15" s="186">
        <f t="shared" si="16"/>
        <v>42.3</v>
      </c>
      <c r="M15" s="60"/>
      <c r="N15" s="62">
        <v>2</v>
      </c>
      <c r="O15" s="8"/>
      <c r="P15" s="20">
        <f t="shared" si="19"/>
        <v>197.39999999999998</v>
      </c>
      <c r="Q15" s="20">
        <f t="shared" si="17"/>
        <v>202.19194919594386</v>
      </c>
      <c r="R15" s="515">
        <v>0.97640000000000005</v>
      </c>
      <c r="S15" s="56">
        <v>2004</v>
      </c>
      <c r="T15" s="57">
        <f t="shared" si="23"/>
        <v>298</v>
      </c>
      <c r="U15" s="57">
        <f t="shared" ref="U15:AE15" si="28">(U66+U112)-$N28</f>
        <v>255</v>
      </c>
      <c r="V15" s="57">
        <f t="shared" si="28"/>
        <v>323</v>
      </c>
      <c r="W15" s="57">
        <f t="shared" si="28"/>
        <v>252.18009000000001</v>
      </c>
      <c r="X15" s="57">
        <f t="shared" si="28"/>
        <v>269.48300999999998</v>
      </c>
      <c r="Y15" s="57">
        <f t="shared" si="28"/>
        <v>249.73298</v>
      </c>
      <c r="Z15" s="57">
        <f t="shared" si="28"/>
        <v>291.76141999999999</v>
      </c>
      <c r="AA15" s="57">
        <f t="shared" si="28"/>
        <v>358.81506999999999</v>
      </c>
      <c r="AB15" s="57">
        <f t="shared" si="28"/>
        <v>298.32187999999996</v>
      </c>
      <c r="AC15" s="57">
        <f t="shared" si="28"/>
        <v>316.30552999999998</v>
      </c>
      <c r="AD15" s="57">
        <f t="shared" si="28"/>
        <v>368.00018999999998</v>
      </c>
      <c r="AE15" s="57">
        <f t="shared" si="28"/>
        <v>286.35162000000003</v>
      </c>
      <c r="AF15" s="1001">
        <f t="shared" si="13"/>
        <v>297.24598249999997</v>
      </c>
      <c r="AG15" s="315">
        <v>2004</v>
      </c>
      <c r="AH15" s="436">
        <f>ROUND(T15/$R$15,0)</f>
        <v>305</v>
      </c>
      <c r="AI15" s="435">
        <f t="shared" ref="AI15:AS15" si="29">ROUND(U15/$R$15,0)</f>
        <v>261</v>
      </c>
      <c r="AJ15" s="435">
        <f t="shared" si="29"/>
        <v>331</v>
      </c>
      <c r="AK15" s="435">
        <f t="shared" si="29"/>
        <v>258</v>
      </c>
      <c r="AL15" s="435">
        <f t="shared" si="29"/>
        <v>276</v>
      </c>
      <c r="AM15" s="436">
        <f t="shared" si="29"/>
        <v>256</v>
      </c>
      <c r="AN15" s="435">
        <f t="shared" si="29"/>
        <v>299</v>
      </c>
      <c r="AO15" s="435">
        <f t="shared" si="29"/>
        <v>367</v>
      </c>
      <c r="AP15" s="435">
        <f t="shared" si="29"/>
        <v>306</v>
      </c>
      <c r="AQ15" s="435">
        <f t="shared" si="29"/>
        <v>324</v>
      </c>
      <c r="AR15" s="435">
        <f t="shared" si="29"/>
        <v>377</v>
      </c>
      <c r="AS15" s="435">
        <f t="shared" si="29"/>
        <v>293</v>
      </c>
      <c r="AT15" s="1001">
        <f t="shared" si="14"/>
        <v>304.41666666666669</v>
      </c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85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CI15" s="28"/>
      <c r="CJ15" s="28"/>
      <c r="CK15" s="28"/>
      <c r="CL15" s="28"/>
      <c r="CM15" s="28"/>
      <c r="CN15" s="28"/>
      <c r="CO15" s="28"/>
      <c r="CP15" s="28"/>
      <c r="CQ15" s="28"/>
    </row>
    <row r="16" spans="1:125" ht="11.25" customHeight="1">
      <c r="A16" s="38" t="s">
        <v>48</v>
      </c>
      <c r="B16" s="8">
        <v>1992</v>
      </c>
      <c r="C16" s="62">
        <v>173.6</v>
      </c>
      <c r="D16" s="62"/>
      <c r="E16" s="59">
        <v>0</v>
      </c>
      <c r="F16" s="60">
        <f t="shared" si="15"/>
        <v>173.6</v>
      </c>
      <c r="I16" s="62">
        <v>50.9</v>
      </c>
      <c r="J16" s="62"/>
      <c r="K16" s="62">
        <v>0</v>
      </c>
      <c r="L16" s="186">
        <f t="shared" si="16"/>
        <v>50.9</v>
      </c>
      <c r="M16" s="60"/>
      <c r="N16" s="62">
        <v>2</v>
      </c>
      <c r="O16" s="8"/>
      <c r="P16" s="20">
        <f t="shared" si="19"/>
        <v>222.5</v>
      </c>
      <c r="Q16" s="20">
        <f t="shared" si="17"/>
        <v>227.90125985865001</v>
      </c>
      <c r="R16" s="515">
        <v>0.97629999999999995</v>
      </c>
      <c r="S16" s="56">
        <v>2005</v>
      </c>
      <c r="T16" s="57">
        <f t="shared" si="23"/>
        <v>299.64463000000001</v>
      </c>
      <c r="U16" s="57">
        <f t="shared" ref="U16:AE16" si="30">(U67+U113)-$N29</f>
        <v>283.63788</v>
      </c>
      <c r="V16" s="57">
        <f t="shared" si="30"/>
        <v>360.02098999999998</v>
      </c>
      <c r="W16" s="57">
        <f t="shared" si="30"/>
        <v>371.68531999999999</v>
      </c>
      <c r="X16" s="57">
        <f t="shared" si="30"/>
        <v>303.37583999999998</v>
      </c>
      <c r="Y16" s="57">
        <f t="shared" si="30"/>
        <v>338.25206000000003</v>
      </c>
      <c r="Z16" s="57">
        <f t="shared" si="30"/>
        <v>338.59545000000003</v>
      </c>
      <c r="AA16" s="57">
        <f t="shared" si="30"/>
        <v>341.39304999999996</v>
      </c>
      <c r="AB16" s="57">
        <f t="shared" si="30"/>
        <v>356.75399000000004</v>
      </c>
      <c r="AC16" s="57">
        <f t="shared" si="30"/>
        <v>356.71839999999997</v>
      </c>
      <c r="AD16" s="57">
        <f t="shared" si="30"/>
        <v>337.94980999999996</v>
      </c>
      <c r="AE16" s="57">
        <f t="shared" si="30"/>
        <v>306.39857999999998</v>
      </c>
      <c r="AF16" s="1001">
        <f t="shared" si="13"/>
        <v>332.86883333333338</v>
      </c>
      <c r="AG16" s="315">
        <v>2005</v>
      </c>
      <c r="AH16" s="436">
        <f t="shared" ref="AH16:AS16" si="31">ROUND(T16/$R$16,0)</f>
        <v>307</v>
      </c>
      <c r="AI16" s="435">
        <f t="shared" si="31"/>
        <v>291</v>
      </c>
      <c r="AJ16" s="435">
        <f t="shared" si="31"/>
        <v>369</v>
      </c>
      <c r="AK16" s="435">
        <f t="shared" si="31"/>
        <v>381</v>
      </c>
      <c r="AL16" s="435">
        <f t="shared" si="31"/>
        <v>311</v>
      </c>
      <c r="AM16" s="435">
        <f t="shared" si="31"/>
        <v>346</v>
      </c>
      <c r="AN16" s="435">
        <f t="shared" si="31"/>
        <v>347</v>
      </c>
      <c r="AO16" s="436">
        <f t="shared" si="31"/>
        <v>350</v>
      </c>
      <c r="AP16" s="435">
        <f t="shared" si="31"/>
        <v>365</v>
      </c>
      <c r="AQ16" s="435">
        <f t="shared" si="31"/>
        <v>365</v>
      </c>
      <c r="AR16" s="435">
        <f t="shared" si="31"/>
        <v>346</v>
      </c>
      <c r="AS16" s="435">
        <f t="shared" si="31"/>
        <v>314</v>
      </c>
      <c r="AT16" s="1001">
        <f t="shared" si="14"/>
        <v>341</v>
      </c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85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CI16" s="45"/>
      <c r="CJ16" s="45"/>
      <c r="CK16" s="45"/>
      <c r="CL16" s="45"/>
      <c r="CM16" s="45"/>
      <c r="CN16" s="45"/>
      <c r="CO16" s="45"/>
      <c r="CP16" s="45"/>
      <c r="CQ16" s="45"/>
    </row>
    <row r="17" spans="1:95" ht="11.25" customHeight="1">
      <c r="A17" s="38" t="s">
        <v>49</v>
      </c>
      <c r="B17" s="8">
        <v>1993</v>
      </c>
      <c r="C17" s="62">
        <v>152.4</v>
      </c>
      <c r="D17" s="49"/>
      <c r="E17" s="59">
        <v>0</v>
      </c>
      <c r="F17" s="60">
        <f t="shared" si="15"/>
        <v>152.4</v>
      </c>
      <c r="I17" s="62">
        <v>19.5</v>
      </c>
      <c r="J17" s="62"/>
      <c r="K17" s="62">
        <v>0</v>
      </c>
      <c r="L17" s="186">
        <f t="shared" si="16"/>
        <v>19.5</v>
      </c>
      <c r="M17" s="429"/>
      <c r="N17" s="62">
        <v>2</v>
      </c>
      <c r="O17" s="8"/>
      <c r="P17" s="20">
        <f t="shared" si="19"/>
        <v>169.9</v>
      </c>
      <c r="Q17" s="20">
        <f t="shared" si="17"/>
        <v>174.02437775273995</v>
      </c>
      <c r="R17" s="515">
        <v>0.97829999999999995</v>
      </c>
      <c r="S17" s="56">
        <v>2006</v>
      </c>
      <c r="T17" s="57">
        <f t="shared" si="23"/>
        <v>254.37356</v>
      </c>
      <c r="U17" s="57">
        <f t="shared" ref="U17:AE17" si="32">(U68+U114)-$N30</f>
        <v>276.16967999999997</v>
      </c>
      <c r="V17" s="57">
        <f t="shared" si="32"/>
        <v>323.37090000000001</v>
      </c>
      <c r="W17" s="57">
        <f t="shared" si="32"/>
        <v>358.74537999999995</v>
      </c>
      <c r="X17" s="57">
        <f t="shared" si="32"/>
        <v>277.69547</v>
      </c>
      <c r="Y17" s="57">
        <f t="shared" si="32"/>
        <v>323.46857999999997</v>
      </c>
      <c r="Z17" s="57">
        <f t="shared" si="32"/>
        <v>303.20150000000001</v>
      </c>
      <c r="AA17" s="57">
        <f t="shared" si="32"/>
        <v>309.94389999999999</v>
      </c>
      <c r="AB17" s="57">
        <f t="shared" si="32"/>
        <v>289.43917999999996</v>
      </c>
      <c r="AC17" s="57">
        <f t="shared" si="32"/>
        <v>261.4975</v>
      </c>
      <c r="AD17" s="57">
        <f t="shared" si="32"/>
        <v>329.05584999999996</v>
      </c>
      <c r="AE17" s="57">
        <f t="shared" si="32"/>
        <v>300.52918999999997</v>
      </c>
      <c r="AF17" s="1001">
        <f t="shared" si="13"/>
        <v>300.62422416666664</v>
      </c>
      <c r="AG17" s="315">
        <v>2006</v>
      </c>
      <c r="AH17" s="435">
        <f t="shared" ref="AH17:AS17" si="33">ROUND(T17/$R$17,0)</f>
        <v>260</v>
      </c>
      <c r="AI17" s="436">
        <f t="shared" si="33"/>
        <v>282</v>
      </c>
      <c r="AJ17" s="435">
        <f t="shared" si="33"/>
        <v>331</v>
      </c>
      <c r="AK17" s="435">
        <f t="shared" si="33"/>
        <v>367</v>
      </c>
      <c r="AL17" s="435">
        <f t="shared" si="33"/>
        <v>284</v>
      </c>
      <c r="AM17" s="435">
        <f t="shared" si="33"/>
        <v>331</v>
      </c>
      <c r="AN17" s="435">
        <f t="shared" si="33"/>
        <v>310</v>
      </c>
      <c r="AO17" s="436">
        <f t="shared" si="33"/>
        <v>317</v>
      </c>
      <c r="AP17" s="435">
        <f t="shared" si="33"/>
        <v>296</v>
      </c>
      <c r="AQ17" s="435">
        <f t="shared" si="33"/>
        <v>267</v>
      </c>
      <c r="AR17" s="435">
        <f t="shared" si="33"/>
        <v>336</v>
      </c>
      <c r="AS17" s="435">
        <f t="shared" si="33"/>
        <v>307</v>
      </c>
      <c r="AT17" s="1001">
        <f t="shared" si="14"/>
        <v>307.33333333333331</v>
      </c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85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CI17" s="1"/>
      <c r="CJ17" s="1"/>
      <c r="CK17" s="1"/>
      <c r="CL17" s="1"/>
      <c r="CM17" s="1"/>
      <c r="CN17" s="1"/>
      <c r="CO17" s="1"/>
      <c r="CP17" s="1"/>
      <c r="CQ17" s="1"/>
    </row>
    <row r="18" spans="1:95" ht="11.25" customHeight="1">
      <c r="A18" s="38" t="s">
        <v>50</v>
      </c>
      <c r="B18" s="8">
        <v>1994</v>
      </c>
      <c r="C18" s="62">
        <v>195.6</v>
      </c>
      <c r="D18" s="49"/>
      <c r="E18" s="59">
        <v>0</v>
      </c>
      <c r="F18" s="60">
        <f t="shared" si="15"/>
        <v>195.6</v>
      </c>
      <c r="I18" s="62">
        <v>23.1</v>
      </c>
      <c r="J18" s="62"/>
      <c r="K18" s="62">
        <v>0</v>
      </c>
      <c r="L18" s="186">
        <f t="shared" si="16"/>
        <v>23.1</v>
      </c>
      <c r="M18" s="429"/>
      <c r="N18" s="62">
        <v>2</v>
      </c>
      <c r="O18" s="8"/>
      <c r="P18" s="20">
        <f t="shared" si="19"/>
        <v>216.7</v>
      </c>
      <c r="Q18" s="20">
        <f t="shared" si="17"/>
        <v>221.960462972447</v>
      </c>
      <c r="R18" s="515">
        <v>0.9768</v>
      </c>
      <c r="S18" s="56">
        <v>2007</v>
      </c>
      <c r="T18" s="57">
        <f t="shared" si="23"/>
        <v>293.74847</v>
      </c>
      <c r="U18" s="57">
        <f t="shared" ref="U18:AE18" si="34">(U69+U115)-$N31</f>
        <v>281.5582</v>
      </c>
      <c r="V18" s="57">
        <f t="shared" si="34"/>
        <v>286.97639999999996</v>
      </c>
      <c r="W18" s="57">
        <f t="shared" si="34"/>
        <v>286.09840999999994</v>
      </c>
      <c r="X18" s="57">
        <f t="shared" si="34"/>
        <v>289.04750999999999</v>
      </c>
      <c r="Y18" s="57">
        <f t="shared" si="34"/>
        <v>256.20310999999998</v>
      </c>
      <c r="Z18" s="57">
        <f t="shared" si="34"/>
        <v>265.88026000000002</v>
      </c>
      <c r="AA18" s="57">
        <f t="shared" si="34"/>
        <v>278.82227999999998</v>
      </c>
      <c r="AB18" s="57">
        <f t="shared" si="34"/>
        <v>297.94231000000002</v>
      </c>
      <c r="AC18" s="57">
        <f t="shared" si="34"/>
        <v>294.23594000000003</v>
      </c>
      <c r="AD18" s="57">
        <f t="shared" si="34"/>
        <v>350.70075000000003</v>
      </c>
      <c r="AE18" s="57">
        <f t="shared" si="34"/>
        <v>335.32648</v>
      </c>
      <c r="AF18" s="1001">
        <f t="shared" si="13"/>
        <v>293.04500999999999</v>
      </c>
      <c r="AG18" s="808">
        <v>2007</v>
      </c>
      <c r="AH18" s="436">
        <f t="shared" ref="AH18:AS18" si="35">ROUND(T18/$R$18,0)</f>
        <v>301</v>
      </c>
      <c r="AI18" s="436">
        <f t="shared" si="35"/>
        <v>288</v>
      </c>
      <c r="AJ18" s="809">
        <f t="shared" si="35"/>
        <v>294</v>
      </c>
      <c r="AK18" s="809">
        <f t="shared" si="35"/>
        <v>293</v>
      </c>
      <c r="AL18" s="809">
        <f t="shared" si="35"/>
        <v>296</v>
      </c>
      <c r="AM18" s="809">
        <f t="shared" si="35"/>
        <v>262</v>
      </c>
      <c r="AN18" s="809">
        <f t="shared" si="35"/>
        <v>272</v>
      </c>
      <c r="AO18" s="807">
        <f t="shared" si="35"/>
        <v>285</v>
      </c>
      <c r="AP18" s="809">
        <f t="shared" si="35"/>
        <v>305</v>
      </c>
      <c r="AQ18" s="809">
        <f t="shared" si="35"/>
        <v>301</v>
      </c>
      <c r="AR18" s="809">
        <f t="shared" si="35"/>
        <v>359</v>
      </c>
      <c r="AS18" s="809">
        <f t="shared" si="35"/>
        <v>343</v>
      </c>
      <c r="AT18" s="1001">
        <f t="shared" si="14"/>
        <v>299.91666666666669</v>
      </c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85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CI18" s="1"/>
      <c r="CJ18" s="1"/>
      <c r="CK18" s="1"/>
      <c r="CL18" s="1"/>
      <c r="CM18" s="1"/>
      <c r="CN18" s="1"/>
      <c r="CO18" s="1"/>
      <c r="CP18" s="1"/>
      <c r="CQ18" s="1"/>
    </row>
    <row r="19" spans="1:95" ht="11.25" customHeight="1">
      <c r="A19" s="38"/>
      <c r="B19" s="8">
        <v>1995</v>
      </c>
      <c r="C19" s="62">
        <v>214.7</v>
      </c>
      <c r="D19" s="49"/>
      <c r="E19" s="59">
        <v>58</v>
      </c>
      <c r="F19" s="60">
        <f t="shared" si="15"/>
        <v>272.7</v>
      </c>
      <c r="I19" s="62">
        <v>18.7</v>
      </c>
      <c r="J19" s="62"/>
      <c r="K19" s="62">
        <v>8</v>
      </c>
      <c r="L19" s="186">
        <f t="shared" si="16"/>
        <v>26.7</v>
      </c>
      <c r="M19" s="429"/>
      <c r="N19" s="62">
        <v>2</v>
      </c>
      <c r="O19" s="8"/>
      <c r="P19" s="20">
        <f t="shared" si="19"/>
        <v>297.39999999999998</v>
      </c>
      <c r="Q19" s="20">
        <f t="shared" si="17"/>
        <v>304.61948171668541</v>
      </c>
      <c r="R19" s="515">
        <v>0.97789999999999999</v>
      </c>
      <c r="S19" s="804">
        <v>2008</v>
      </c>
      <c r="T19" s="57">
        <f t="shared" si="23"/>
        <v>232.42699999999999</v>
      </c>
      <c r="U19" s="921">
        <f t="shared" ref="U19:Z19" si="36">(U70+U116+U163)-$N32</f>
        <v>287.33800000000002</v>
      </c>
      <c r="V19" s="921">
        <f t="shared" si="36"/>
        <v>261.58</v>
      </c>
      <c r="W19" s="921">
        <f t="shared" si="36"/>
        <v>308.15599999999995</v>
      </c>
      <c r="X19" s="921">
        <f t="shared" si="36"/>
        <v>282.48100000000005</v>
      </c>
      <c r="Y19" s="921">
        <f t="shared" si="36"/>
        <v>332.08099999999996</v>
      </c>
      <c r="Z19" s="921">
        <f t="shared" si="36"/>
        <v>322.33299999999997</v>
      </c>
      <c r="AA19" s="921">
        <f t="shared" ref="AA19:AE20" si="37">(AA70+AA116)-$N32</f>
        <v>329.10300000000001</v>
      </c>
      <c r="AB19" s="921">
        <f t="shared" si="37"/>
        <v>334.68799999999999</v>
      </c>
      <c r="AC19" s="921">
        <f t="shared" si="37"/>
        <v>265.548</v>
      </c>
      <c r="AD19" s="921">
        <f t="shared" si="37"/>
        <v>220.14099999999999</v>
      </c>
      <c r="AE19" s="921">
        <f t="shared" si="37"/>
        <v>246.33800000000002</v>
      </c>
      <c r="AF19" s="1001">
        <f t="shared" si="13"/>
        <v>285.18450000000001</v>
      </c>
      <c r="AG19" s="808">
        <v>2008</v>
      </c>
      <c r="AH19" s="807">
        <f>ROUND(T19/$R$19,0)</f>
        <v>238</v>
      </c>
      <c r="AI19" s="809">
        <f t="shared" ref="AI19:AS19" si="38">ROUND(U19/$R$19,0)</f>
        <v>294</v>
      </c>
      <c r="AJ19" s="809">
        <f t="shared" si="38"/>
        <v>267</v>
      </c>
      <c r="AK19" s="809">
        <f t="shared" si="38"/>
        <v>315</v>
      </c>
      <c r="AL19" s="809">
        <f t="shared" si="38"/>
        <v>289</v>
      </c>
      <c r="AM19" s="809">
        <f t="shared" si="38"/>
        <v>340</v>
      </c>
      <c r="AN19" s="809">
        <f t="shared" si="38"/>
        <v>330</v>
      </c>
      <c r="AO19" s="807">
        <f t="shared" si="38"/>
        <v>337</v>
      </c>
      <c r="AP19" s="809">
        <f t="shared" si="38"/>
        <v>342</v>
      </c>
      <c r="AQ19" s="809">
        <f t="shared" si="38"/>
        <v>272</v>
      </c>
      <c r="AR19" s="809">
        <f t="shared" si="38"/>
        <v>225</v>
      </c>
      <c r="AS19" s="809">
        <f t="shared" si="38"/>
        <v>252</v>
      </c>
      <c r="AT19" s="1001">
        <f t="shared" si="14"/>
        <v>291.75</v>
      </c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85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CI19" s="28"/>
      <c r="CJ19" s="28"/>
      <c r="CK19" s="28"/>
      <c r="CL19" s="28"/>
      <c r="CM19" s="28"/>
      <c r="CN19" s="28"/>
      <c r="CO19" s="28"/>
      <c r="CP19" s="28"/>
      <c r="CQ19" s="28"/>
    </row>
    <row r="20" spans="1:95" ht="11.25" customHeight="1">
      <c r="A20" s="38"/>
      <c r="B20" s="8">
        <v>1996</v>
      </c>
      <c r="C20" s="62">
        <v>44.7</v>
      </c>
      <c r="D20" s="49"/>
      <c r="E20" s="59">
        <v>210</v>
      </c>
      <c r="F20" s="60">
        <f t="shared" si="15"/>
        <v>254.7</v>
      </c>
      <c r="I20" s="62">
        <v>5.0999999999999996</v>
      </c>
      <c r="J20" s="62"/>
      <c r="K20" s="62">
        <v>0</v>
      </c>
      <c r="L20" s="186">
        <f t="shared" si="16"/>
        <v>5.0999999999999996</v>
      </c>
      <c r="M20" s="429"/>
      <c r="N20" s="62">
        <v>2</v>
      </c>
      <c r="O20" s="8"/>
      <c r="P20" s="20">
        <f t="shared" si="19"/>
        <v>257.8</v>
      </c>
      <c r="Q20" s="20">
        <f t="shared" si="17"/>
        <v>264.0581788384718</v>
      </c>
      <c r="R20" s="515">
        <v>0.97819999999999996</v>
      </c>
      <c r="S20" s="804">
        <v>2009</v>
      </c>
      <c r="T20" s="921">
        <f t="shared" si="23"/>
        <v>229.34799999999998</v>
      </c>
      <c r="U20" s="921">
        <f t="shared" ref="U20:Z21" si="39">(U71+U117)-$N33</f>
        <v>259.28899999999999</v>
      </c>
      <c r="V20" s="921">
        <f t="shared" si="39"/>
        <v>216.06700000000001</v>
      </c>
      <c r="W20" s="921">
        <f t="shared" si="39"/>
        <v>268.32499999999999</v>
      </c>
      <c r="X20" s="921">
        <f t="shared" si="39"/>
        <v>300.27499999999998</v>
      </c>
      <c r="Y20" s="921">
        <f t="shared" si="39"/>
        <v>245.00199999999998</v>
      </c>
      <c r="Z20" s="921">
        <f t="shared" si="39"/>
        <v>309.46500000000003</v>
      </c>
      <c r="AA20" s="921">
        <f t="shared" si="37"/>
        <v>243.58600000000001</v>
      </c>
      <c r="AB20" s="921">
        <f t="shared" si="37"/>
        <v>242.078</v>
      </c>
      <c r="AC20" s="921">
        <f t="shared" si="37"/>
        <v>231.62799999999999</v>
      </c>
      <c r="AD20" s="921">
        <f t="shared" si="37"/>
        <v>232.12199999999999</v>
      </c>
      <c r="AE20" s="921">
        <f t="shared" si="37"/>
        <v>132.49</v>
      </c>
      <c r="AF20" s="1001">
        <f t="shared" si="13"/>
        <v>242.47291666666669</v>
      </c>
      <c r="AG20" s="808">
        <v>2009</v>
      </c>
      <c r="AH20" s="809">
        <f t="shared" ref="AH20:AS20" si="40">ROUND(T20/$R$20,0)</f>
        <v>234</v>
      </c>
      <c r="AI20" s="807">
        <f t="shared" si="40"/>
        <v>265</v>
      </c>
      <c r="AJ20" s="809">
        <f t="shared" si="40"/>
        <v>221</v>
      </c>
      <c r="AK20" s="809">
        <f t="shared" si="40"/>
        <v>274</v>
      </c>
      <c r="AL20" s="809">
        <f t="shared" si="40"/>
        <v>307</v>
      </c>
      <c r="AM20" s="807">
        <f t="shared" si="40"/>
        <v>250</v>
      </c>
      <c r="AN20" s="809">
        <f t="shared" si="40"/>
        <v>316</v>
      </c>
      <c r="AO20" s="809">
        <f t="shared" si="40"/>
        <v>249</v>
      </c>
      <c r="AP20" s="809">
        <f t="shared" si="40"/>
        <v>247</v>
      </c>
      <c r="AQ20" s="809">
        <f t="shared" si="40"/>
        <v>237</v>
      </c>
      <c r="AR20" s="809">
        <f t="shared" si="40"/>
        <v>237</v>
      </c>
      <c r="AS20" s="809">
        <f t="shared" si="40"/>
        <v>135</v>
      </c>
      <c r="AT20" s="1001">
        <f t="shared" si="14"/>
        <v>247.66666666666666</v>
      </c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85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CI20" s="28"/>
      <c r="CJ20" s="28"/>
      <c r="CK20" s="28"/>
      <c r="CL20" s="28"/>
      <c r="CM20" s="28"/>
      <c r="CN20" s="28"/>
      <c r="CO20" s="28"/>
      <c r="CP20" s="28"/>
      <c r="CQ20" s="28"/>
    </row>
    <row r="21" spans="1:95" ht="11.25" customHeight="1">
      <c r="A21" s="38"/>
      <c r="B21" s="8">
        <v>1997</v>
      </c>
      <c r="C21" s="62">
        <v>288.10000000000002</v>
      </c>
      <c r="D21" s="49"/>
      <c r="E21" s="59">
        <v>0</v>
      </c>
      <c r="F21" s="60">
        <f t="shared" si="15"/>
        <v>288.10000000000002</v>
      </c>
      <c r="I21" s="62">
        <v>15.6</v>
      </c>
      <c r="J21" s="62"/>
      <c r="K21" s="62">
        <v>0</v>
      </c>
      <c r="L21" s="186">
        <f t="shared" ref="L21:L27" si="41">K21+I21</f>
        <v>15.6</v>
      </c>
      <c r="M21" s="429"/>
      <c r="N21" s="62">
        <v>2</v>
      </c>
      <c r="O21" s="8"/>
      <c r="P21" s="20">
        <f t="shared" si="19"/>
        <v>301.70000000000005</v>
      </c>
      <c r="Q21" s="20">
        <f t="shared" si="17"/>
        <v>309.0238656150774</v>
      </c>
      <c r="R21" s="515">
        <v>0.97870000000000001</v>
      </c>
      <c r="S21" s="804">
        <v>2010</v>
      </c>
      <c r="T21" s="1004">
        <f>(193+10+T72+T118)-$N34</f>
        <v>231.61500000000001</v>
      </c>
      <c r="U21" s="921">
        <f t="shared" si="39"/>
        <v>247.36699999999999</v>
      </c>
      <c r="V21" s="921">
        <f t="shared" si="39"/>
        <v>218.09</v>
      </c>
      <c r="W21" s="921">
        <f t="shared" si="39"/>
        <v>292.75100000000003</v>
      </c>
      <c r="X21" s="921">
        <f t="shared" si="39"/>
        <v>316.26400000000001</v>
      </c>
      <c r="Y21" s="921">
        <f t="shared" si="39"/>
        <v>265.87699999999995</v>
      </c>
      <c r="Z21" s="921">
        <f t="shared" si="39"/>
        <v>248.35400000000001</v>
      </c>
      <c r="AA21" s="921">
        <f>(AA72+AA118)-$N34</f>
        <v>219.06100000000001</v>
      </c>
      <c r="AB21" s="921">
        <f>(AB72+AB118)-$N34</f>
        <v>217.55</v>
      </c>
      <c r="AC21" s="921">
        <f>(AC72+AC118)-$N34</f>
        <v>226.97499999999999</v>
      </c>
      <c r="AD21" s="921">
        <f>(AD72+AD118)-$N34</f>
        <v>178.142</v>
      </c>
      <c r="AE21" s="1004">
        <f>(44+AE72+AE118)-$N34</f>
        <v>239.20600000000002</v>
      </c>
      <c r="AF21" s="1001">
        <f t="shared" si="13"/>
        <v>241.77099999999999</v>
      </c>
      <c r="AG21" s="808">
        <v>2010</v>
      </c>
      <c r="AH21" s="807">
        <f>ROUND(T21/$R21,0)</f>
        <v>237</v>
      </c>
      <c r="AI21" s="809">
        <f t="shared" ref="AI21:AS23" si="42">ROUND(U21/$R21,0)</f>
        <v>253</v>
      </c>
      <c r="AJ21" s="809">
        <f t="shared" si="42"/>
        <v>223</v>
      </c>
      <c r="AK21" s="809">
        <f t="shared" si="42"/>
        <v>299</v>
      </c>
      <c r="AL21" s="809">
        <f t="shared" si="42"/>
        <v>323</v>
      </c>
      <c r="AM21" s="809">
        <f t="shared" si="42"/>
        <v>272</v>
      </c>
      <c r="AN21" s="809">
        <f t="shared" si="42"/>
        <v>254</v>
      </c>
      <c r="AO21" s="807">
        <f t="shared" si="42"/>
        <v>224</v>
      </c>
      <c r="AP21" s="809">
        <f t="shared" si="42"/>
        <v>222</v>
      </c>
      <c r="AQ21" s="809">
        <f t="shared" si="42"/>
        <v>232</v>
      </c>
      <c r="AR21" s="809">
        <f t="shared" si="42"/>
        <v>182</v>
      </c>
      <c r="AS21" s="999">
        <f t="shared" si="42"/>
        <v>244</v>
      </c>
      <c r="AT21" s="1001">
        <f t="shared" si="14"/>
        <v>247.08333333333334</v>
      </c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85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CI21"/>
      <c r="CJ21"/>
      <c r="CK21"/>
      <c r="CL21"/>
      <c r="CM21"/>
      <c r="CN21"/>
      <c r="CO21"/>
      <c r="CP21"/>
      <c r="CQ21"/>
    </row>
    <row r="22" spans="1:95">
      <c r="A22" s="38"/>
      <c r="B22" s="41">
        <v>1998</v>
      </c>
      <c r="C22" s="183">
        <v>314.8</v>
      </c>
      <c r="D22" s="184"/>
      <c r="E22" s="185">
        <v>0</v>
      </c>
      <c r="F22" s="60">
        <f t="shared" si="15"/>
        <v>314.8</v>
      </c>
      <c r="G22" s="40"/>
      <c r="H22" s="40"/>
      <c r="I22" s="187">
        <v>24.7</v>
      </c>
      <c r="J22" s="187"/>
      <c r="K22" s="187">
        <v>0</v>
      </c>
      <c r="L22" s="186">
        <f t="shared" si="41"/>
        <v>24.7</v>
      </c>
      <c r="M22" s="429"/>
      <c r="N22" s="62">
        <v>2</v>
      </c>
      <c r="O22" s="40"/>
      <c r="P22" s="20">
        <f t="shared" si="19"/>
        <v>337.5</v>
      </c>
      <c r="Q22" s="20">
        <f t="shared" si="17"/>
        <v>345.69292225750286</v>
      </c>
      <c r="R22" s="515">
        <v>0.98089999999999999</v>
      </c>
      <c r="S22" s="804">
        <v>2011</v>
      </c>
      <c r="T22" s="921">
        <f t="shared" ref="T22:U24" si="43">(T73+T119)-$N35</f>
        <v>251.78100000000001</v>
      </c>
      <c r="U22" s="921">
        <f t="shared" si="43"/>
        <v>251.70700000000002</v>
      </c>
      <c r="V22" s="921">
        <f t="shared" ref="V22:AE23" si="44">(V73+V119)-$N35</f>
        <v>285.59100000000001</v>
      </c>
      <c r="W22" s="921">
        <f t="shared" si="44"/>
        <v>240.80799999999999</v>
      </c>
      <c r="X22" s="921">
        <f t="shared" si="44"/>
        <v>272.93899999999996</v>
      </c>
      <c r="Y22" s="1004">
        <f t="shared" si="44"/>
        <v>222.703</v>
      </c>
      <c r="Z22" s="921">
        <f t="shared" si="44"/>
        <v>234.875</v>
      </c>
      <c r="AA22" s="921">
        <f t="shared" si="44"/>
        <v>226.23999999999998</v>
      </c>
      <c r="AB22" s="921">
        <f t="shared" si="44"/>
        <v>254.18199999999999</v>
      </c>
      <c r="AC22" s="921">
        <f t="shared" si="44"/>
        <v>257.93900000000002</v>
      </c>
      <c r="AD22" s="921">
        <f t="shared" si="44"/>
        <v>248.607</v>
      </c>
      <c r="AE22" s="921">
        <f t="shared" si="44"/>
        <v>194.57599999999999</v>
      </c>
      <c r="AF22" s="1130">
        <f>AVERAGE(T22:AE22)</f>
        <v>245.16233333333332</v>
      </c>
      <c r="AG22" s="808">
        <v>2011</v>
      </c>
      <c r="AH22" s="807">
        <f t="shared" ref="AH22:AH23" si="45">ROUND(T22/$R22,0)</f>
        <v>257</v>
      </c>
      <c r="AI22" s="809">
        <f t="shared" si="42"/>
        <v>257</v>
      </c>
      <c r="AJ22" s="809">
        <f t="shared" si="42"/>
        <v>291</v>
      </c>
      <c r="AK22" s="809">
        <f t="shared" si="42"/>
        <v>245</v>
      </c>
      <c r="AL22" s="809">
        <f t="shared" si="42"/>
        <v>278</v>
      </c>
      <c r="AM22" s="807">
        <f t="shared" si="42"/>
        <v>227</v>
      </c>
      <c r="AN22" s="809">
        <f t="shared" si="42"/>
        <v>239</v>
      </c>
      <c r="AO22" s="807">
        <f t="shared" si="42"/>
        <v>231</v>
      </c>
      <c r="AP22" s="809">
        <f t="shared" si="42"/>
        <v>259</v>
      </c>
      <c r="AQ22" s="809">
        <f t="shared" si="42"/>
        <v>263</v>
      </c>
      <c r="AR22" s="809">
        <f t="shared" si="42"/>
        <v>253</v>
      </c>
      <c r="AS22" s="809">
        <f t="shared" si="42"/>
        <v>198</v>
      </c>
      <c r="AT22" s="1001">
        <f t="shared" si="14"/>
        <v>249.83333333333334</v>
      </c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85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</row>
    <row r="23" spans="1:95">
      <c r="A23" s="38"/>
      <c r="B23" s="41">
        <v>1999</v>
      </c>
      <c r="C23" s="183">
        <v>26</v>
      </c>
      <c r="D23" s="184"/>
      <c r="E23" s="185">
        <v>266.2</v>
      </c>
      <c r="F23" s="60">
        <f t="shared" si="15"/>
        <v>292.2</v>
      </c>
      <c r="G23" s="40"/>
      <c r="H23" s="40"/>
      <c r="I23" s="187">
        <v>6.8</v>
      </c>
      <c r="J23" s="187"/>
      <c r="K23" s="187">
        <v>13.1</v>
      </c>
      <c r="L23" s="186">
        <f t="shared" si="41"/>
        <v>19.899999999999999</v>
      </c>
      <c r="M23" s="429"/>
      <c r="N23" s="62">
        <v>2</v>
      </c>
      <c r="O23" s="40"/>
      <c r="P23" s="20">
        <f t="shared" si="19"/>
        <v>310.09999999999997</v>
      </c>
      <c r="Q23" s="20">
        <f t="shared" si="17"/>
        <v>317.62777834681958</v>
      </c>
      <c r="R23" s="515">
        <v>0.98260000000000003</v>
      </c>
      <c r="S23" s="804">
        <v>2012</v>
      </c>
      <c r="T23" s="1004">
        <f t="shared" si="43"/>
        <v>179.72499999999999</v>
      </c>
      <c r="U23" s="921">
        <f t="shared" si="43"/>
        <v>236.042</v>
      </c>
      <c r="V23" s="921">
        <f t="shared" si="44"/>
        <v>225.548</v>
      </c>
      <c r="W23" s="921">
        <f t="shared" si="44"/>
        <v>238.00399999999999</v>
      </c>
      <c r="X23" s="921">
        <f t="shared" si="44"/>
        <v>228.68600000000001</v>
      </c>
      <c r="Y23" s="921">
        <f t="shared" si="44"/>
        <v>244.80700000000002</v>
      </c>
      <c r="Z23" s="921">
        <f t="shared" si="44"/>
        <v>246.35499999999999</v>
      </c>
      <c r="AA23" s="921">
        <f t="shared" si="44"/>
        <v>224.81</v>
      </c>
      <c r="AB23" s="921">
        <f t="shared" si="44"/>
        <v>215.71100000000001</v>
      </c>
      <c r="AC23" s="921">
        <f t="shared" si="44"/>
        <v>204</v>
      </c>
      <c r="AD23" s="921">
        <f t="shared" si="44"/>
        <v>277.423</v>
      </c>
      <c r="AE23" s="921">
        <f t="shared" si="44"/>
        <v>178.40899999999999</v>
      </c>
      <c r="AF23" s="1130">
        <f>AVERAGE(T23:AE23)</f>
        <v>224.96</v>
      </c>
      <c r="AG23" s="808">
        <v>2012</v>
      </c>
      <c r="AH23" s="807">
        <f t="shared" si="45"/>
        <v>183</v>
      </c>
      <c r="AI23" s="809">
        <f t="shared" si="42"/>
        <v>240</v>
      </c>
      <c r="AJ23" s="809">
        <f t="shared" si="42"/>
        <v>230</v>
      </c>
      <c r="AK23" s="809">
        <f t="shared" ref="AK23:AS23" si="46">ROUND(W23/$R23,0)</f>
        <v>242</v>
      </c>
      <c r="AL23" s="809">
        <f t="shared" si="46"/>
        <v>233</v>
      </c>
      <c r="AM23" s="809">
        <f t="shared" si="46"/>
        <v>249</v>
      </c>
      <c r="AN23" s="809">
        <f t="shared" si="46"/>
        <v>251</v>
      </c>
      <c r="AO23" s="807">
        <f t="shared" si="46"/>
        <v>229</v>
      </c>
      <c r="AP23" s="809">
        <f t="shared" si="46"/>
        <v>220</v>
      </c>
      <c r="AQ23" s="809">
        <f t="shared" si="46"/>
        <v>208</v>
      </c>
      <c r="AR23" s="809">
        <f t="shared" si="46"/>
        <v>282</v>
      </c>
      <c r="AS23" s="809">
        <f t="shared" si="46"/>
        <v>182</v>
      </c>
      <c r="AT23" s="1005">
        <f t="shared" si="14"/>
        <v>229.08333333333334</v>
      </c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85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</row>
    <row r="24" spans="1:95">
      <c r="A24" s="38"/>
      <c r="B24" s="41">
        <v>2000</v>
      </c>
      <c r="C24" s="183">
        <v>224</v>
      </c>
      <c r="D24" s="184"/>
      <c r="E24" s="185">
        <v>81</v>
      </c>
      <c r="F24" s="60">
        <f t="shared" si="15"/>
        <v>305</v>
      </c>
      <c r="G24" s="40"/>
      <c r="H24" s="40"/>
      <c r="I24" s="187">
        <v>18.399999999999999</v>
      </c>
      <c r="J24" s="187"/>
      <c r="K24" s="187">
        <v>0</v>
      </c>
      <c r="L24" s="186">
        <f t="shared" si="41"/>
        <v>18.399999999999999</v>
      </c>
      <c r="M24" s="429"/>
      <c r="N24" s="62">
        <v>2</v>
      </c>
      <c r="O24" s="40"/>
      <c r="P24" s="20">
        <f t="shared" si="19"/>
        <v>321.39999999999998</v>
      </c>
      <c r="Q24" s="20">
        <f t="shared" si="17"/>
        <v>329.20208952166342</v>
      </c>
      <c r="R24" s="515">
        <v>0.98440000000000005</v>
      </c>
      <c r="S24" s="804">
        <v>2013</v>
      </c>
      <c r="T24" s="921">
        <f t="shared" si="43"/>
        <v>228.172</v>
      </c>
      <c r="U24" s="921">
        <f t="shared" si="43"/>
        <v>225.65</v>
      </c>
      <c r="V24" s="921">
        <f t="shared" ref="V24:Z24" si="47">(V75+V121)-$N37</f>
        <v>233.47800000000001</v>
      </c>
      <c r="W24" s="921">
        <f t="shared" si="47"/>
        <v>222.54499999999999</v>
      </c>
      <c r="X24" s="921">
        <f t="shared" si="47"/>
        <v>277.572</v>
      </c>
      <c r="Y24" s="921">
        <f t="shared" si="47"/>
        <v>265.41800000000001</v>
      </c>
      <c r="Z24" s="921">
        <f t="shared" si="47"/>
        <v>247.86200000000002</v>
      </c>
      <c r="AA24" s="21">
        <f t="shared" ref="AA24:AE24" si="48">($P37)*AA$3</f>
        <v>229.95677757572923</v>
      </c>
      <c r="AB24" s="21">
        <f t="shared" si="48"/>
        <v>234.12486642660832</v>
      </c>
      <c r="AC24" s="21">
        <f t="shared" si="48"/>
        <v>220.09121679110191</v>
      </c>
      <c r="AD24" s="21">
        <f t="shared" si="48"/>
        <v>223.0888598432096</v>
      </c>
      <c r="AE24" s="21">
        <f t="shared" si="48"/>
        <v>207.30245325850851</v>
      </c>
      <c r="AF24" s="1005">
        <f t="shared" si="13"/>
        <v>234.60509782459647</v>
      </c>
      <c r="AG24" s="808">
        <v>2013</v>
      </c>
      <c r="AH24" s="809">
        <f t="shared" ref="AH24:AS24" si="49">ROUND(T24/$R24,0)</f>
        <v>232</v>
      </c>
      <c r="AI24" s="807">
        <f t="shared" si="49"/>
        <v>229</v>
      </c>
      <c r="AJ24" s="809">
        <f t="shared" si="49"/>
        <v>237</v>
      </c>
      <c r="AK24" s="809">
        <f t="shared" si="49"/>
        <v>226</v>
      </c>
      <c r="AL24" s="809">
        <f t="shared" si="49"/>
        <v>282</v>
      </c>
      <c r="AM24" s="809">
        <f t="shared" si="49"/>
        <v>270</v>
      </c>
      <c r="AN24" s="809">
        <f t="shared" si="49"/>
        <v>252</v>
      </c>
      <c r="AO24" s="433">
        <f t="shared" si="49"/>
        <v>234</v>
      </c>
      <c r="AP24" s="434">
        <f t="shared" si="49"/>
        <v>238</v>
      </c>
      <c r="AQ24" s="434">
        <f t="shared" si="49"/>
        <v>224</v>
      </c>
      <c r="AR24" s="434">
        <f t="shared" si="49"/>
        <v>227</v>
      </c>
      <c r="AS24" s="434">
        <f t="shared" si="49"/>
        <v>211</v>
      </c>
      <c r="AT24" s="1005">
        <f t="shared" si="14"/>
        <v>238.5</v>
      </c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85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</row>
    <row r="25" spans="1:95">
      <c r="A25" s="38"/>
      <c r="B25" s="423">
        <v>2001</v>
      </c>
      <c r="C25" s="183">
        <v>60.6</v>
      </c>
      <c r="D25" s="424"/>
      <c r="E25" s="185">
        <v>174</v>
      </c>
      <c r="F25" s="60">
        <f t="shared" si="15"/>
        <v>234.6</v>
      </c>
      <c r="G25" s="425"/>
      <c r="H25" s="425"/>
      <c r="I25" s="187">
        <f>T109</f>
        <v>19.259955005624295</v>
      </c>
      <c r="J25" s="186"/>
      <c r="K25" s="187">
        <v>13</v>
      </c>
      <c r="L25" s="186">
        <f t="shared" si="41"/>
        <v>32.259955005624292</v>
      </c>
      <c r="M25" s="429"/>
      <c r="N25" s="62">
        <v>2</v>
      </c>
      <c r="O25" s="186"/>
      <c r="P25" s="20">
        <f t="shared" si="19"/>
        <v>264.85995500562427</v>
      </c>
      <c r="Q25" s="20">
        <f t="shared" si="17"/>
        <v>271.2895165478073</v>
      </c>
      <c r="R25" s="516"/>
      <c r="S25" s="8">
        <v>2014</v>
      </c>
      <c r="T25" s="21">
        <f t="shared" ref="T25:AE25" si="50">($P38)*T$3</f>
        <v>227.98192732377467</v>
      </c>
      <c r="U25" s="21">
        <f t="shared" si="50"/>
        <v>244.79643247849447</v>
      </c>
      <c r="V25" s="21">
        <f t="shared" si="50"/>
        <v>243.00200649007732</v>
      </c>
      <c r="W25" s="21">
        <f t="shared" si="50"/>
        <v>267.91914288480285</v>
      </c>
      <c r="X25" s="21">
        <f t="shared" si="50"/>
        <v>265.44865641143662</v>
      </c>
      <c r="Y25" s="21">
        <f t="shared" si="50"/>
        <v>251.19421719852616</v>
      </c>
      <c r="Z25" s="21">
        <f t="shared" si="50"/>
        <v>257.11387732630902</v>
      </c>
      <c r="AA25" s="21">
        <f t="shared" si="50"/>
        <v>245.30441333124404</v>
      </c>
      <c r="AB25" s="21">
        <f t="shared" si="50"/>
        <v>249.75068623981562</v>
      </c>
      <c r="AC25" s="21">
        <f t="shared" si="50"/>
        <v>234.78041127324965</v>
      </c>
      <c r="AD25" s="21">
        <f t="shared" si="50"/>
        <v>237.97812119954915</v>
      </c>
      <c r="AE25" s="21">
        <f t="shared" si="50"/>
        <v>221.13810784272033</v>
      </c>
      <c r="AF25" s="1005">
        <f t="shared" si="13"/>
        <v>245.53399999999996</v>
      </c>
      <c r="AG25" s="85">
        <v>2014</v>
      </c>
      <c r="AH25" s="433">
        <f t="shared" ref="AH25:AS25" si="51">ROUND(T25/$R24,0)</f>
        <v>232</v>
      </c>
      <c r="AI25" s="434">
        <f t="shared" si="51"/>
        <v>249</v>
      </c>
      <c r="AJ25" s="434">
        <f t="shared" si="51"/>
        <v>247</v>
      </c>
      <c r="AK25" s="434">
        <f t="shared" si="51"/>
        <v>272</v>
      </c>
      <c r="AL25" s="434">
        <f t="shared" si="51"/>
        <v>270</v>
      </c>
      <c r="AM25" s="434">
        <f t="shared" si="51"/>
        <v>255</v>
      </c>
      <c r="AN25" s="434">
        <f t="shared" si="51"/>
        <v>261</v>
      </c>
      <c r="AO25" s="433">
        <f t="shared" si="51"/>
        <v>249</v>
      </c>
      <c r="AP25" s="434">
        <f t="shared" si="51"/>
        <v>254</v>
      </c>
      <c r="AQ25" s="434">
        <f t="shared" si="51"/>
        <v>239</v>
      </c>
      <c r="AR25" s="434">
        <f t="shared" si="51"/>
        <v>242</v>
      </c>
      <c r="AS25" s="434">
        <f t="shared" si="51"/>
        <v>225</v>
      </c>
      <c r="AT25" s="1005">
        <f t="shared" si="14"/>
        <v>249.58333333333334</v>
      </c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85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</row>
    <row r="26" spans="1:95" ht="11.25" customHeight="1">
      <c r="A26" s="38"/>
      <c r="B26" s="41">
        <v>2002</v>
      </c>
      <c r="C26" s="183">
        <f>T64</f>
        <v>269.89999999999998</v>
      </c>
      <c r="D26" s="512"/>
      <c r="E26" s="185">
        <v>0</v>
      </c>
      <c r="F26" s="60">
        <f t="shared" si="15"/>
        <v>269.89999999999998</v>
      </c>
      <c r="G26" s="425"/>
      <c r="H26" s="425"/>
      <c r="I26" s="187">
        <f>T110</f>
        <v>15.3</v>
      </c>
      <c r="J26" s="186"/>
      <c r="K26" s="187">
        <v>0</v>
      </c>
      <c r="L26" s="186">
        <f t="shared" si="41"/>
        <v>15.3</v>
      </c>
      <c r="M26" s="429"/>
      <c r="N26" s="62">
        <v>2</v>
      </c>
      <c r="O26" s="425"/>
      <c r="P26" s="20">
        <f t="shared" si="19"/>
        <v>283.2</v>
      </c>
      <c r="Q26" s="20">
        <f t="shared" si="17"/>
        <v>290.07477209874014</v>
      </c>
      <c r="S26" s="8">
        <v>2015</v>
      </c>
      <c r="T26" s="21">
        <f t="shared" ref="T26:AE26" si="52">($P39)*T$3</f>
        <v>229.83895671541717</v>
      </c>
      <c r="U26" s="21">
        <f t="shared" si="52"/>
        <v>246.79042461382801</v>
      </c>
      <c r="V26" s="21">
        <f t="shared" si="52"/>
        <v>244.98138210803717</v>
      </c>
      <c r="W26" s="21">
        <f t="shared" si="52"/>
        <v>270.10148132171838</v>
      </c>
      <c r="X26" s="21">
        <f t="shared" si="52"/>
        <v>267.61087147258041</v>
      </c>
      <c r="Y26" s="21">
        <f t="shared" si="52"/>
        <v>253.24032256233343</v>
      </c>
      <c r="Z26" s="21">
        <f t="shared" si="52"/>
        <v>259.20820134926561</v>
      </c>
      <c r="AA26" s="21">
        <f t="shared" si="52"/>
        <v>247.30254323041274</v>
      </c>
      <c r="AB26" s="21">
        <f t="shared" si="52"/>
        <v>251.78503330571948</v>
      </c>
      <c r="AC26" s="21">
        <f t="shared" si="52"/>
        <v>236.69281779351365</v>
      </c>
      <c r="AD26" s="21">
        <f t="shared" si="52"/>
        <v>239.91657470252267</v>
      </c>
      <c r="AE26" s="21">
        <f t="shared" si="52"/>
        <v>222.9393908246513</v>
      </c>
      <c r="AF26" s="1005">
        <f t="shared" si="13"/>
        <v>247.53399999999999</v>
      </c>
      <c r="AG26" s="85">
        <v>2015</v>
      </c>
      <c r="AH26" s="433">
        <f t="shared" ref="AH26:AS26" si="53">ROUND(T26/$R24,0)</f>
        <v>233</v>
      </c>
      <c r="AI26" s="434">
        <f t="shared" si="53"/>
        <v>251</v>
      </c>
      <c r="AJ26" s="434">
        <f t="shared" si="53"/>
        <v>249</v>
      </c>
      <c r="AK26" s="434">
        <f t="shared" si="53"/>
        <v>274</v>
      </c>
      <c r="AL26" s="434">
        <f t="shared" si="53"/>
        <v>272</v>
      </c>
      <c r="AM26" s="434">
        <f t="shared" si="53"/>
        <v>257</v>
      </c>
      <c r="AN26" s="434">
        <f t="shared" si="53"/>
        <v>263</v>
      </c>
      <c r="AO26" s="433">
        <f t="shared" si="53"/>
        <v>251</v>
      </c>
      <c r="AP26" s="434">
        <f t="shared" si="53"/>
        <v>256</v>
      </c>
      <c r="AQ26" s="434">
        <f t="shared" si="53"/>
        <v>240</v>
      </c>
      <c r="AR26" s="434">
        <f t="shared" si="53"/>
        <v>244</v>
      </c>
      <c r="AS26" s="434">
        <f t="shared" si="53"/>
        <v>226</v>
      </c>
      <c r="AT26" s="1005">
        <f t="shared" si="14"/>
        <v>251.33333333333334</v>
      </c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85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</row>
    <row r="27" spans="1:95" ht="11.25" customHeight="1">
      <c r="A27" s="38"/>
      <c r="B27" s="513">
        <v>2003</v>
      </c>
      <c r="C27" s="183">
        <f>T65</f>
        <v>237.44130999999999</v>
      </c>
      <c r="D27" s="514"/>
      <c r="E27" s="185">
        <v>0</v>
      </c>
      <c r="F27" s="60">
        <f t="shared" si="15"/>
        <v>237.44130999999999</v>
      </c>
      <c r="G27" s="60"/>
      <c r="H27" s="60"/>
      <c r="I27" s="187">
        <f>T111</f>
        <v>15.21913</v>
      </c>
      <c r="J27" s="60"/>
      <c r="K27" s="187">
        <v>0</v>
      </c>
      <c r="L27" s="186">
        <f t="shared" si="41"/>
        <v>15.21913</v>
      </c>
      <c r="M27" s="429"/>
      <c r="N27" s="62">
        <v>2</v>
      </c>
      <c r="O27" s="60"/>
      <c r="P27" s="20">
        <f t="shared" si="19"/>
        <v>250.66043999999999</v>
      </c>
      <c r="Q27" s="20">
        <f t="shared" si="17"/>
        <v>256.74530369763391</v>
      </c>
      <c r="S27" s="8">
        <v>2016</v>
      </c>
      <c r="T27" s="21">
        <f t="shared" ref="T27:AE27" si="54">($P40)*T$3</f>
        <v>228.91044201959591</v>
      </c>
      <c r="U27" s="21">
        <f t="shared" si="54"/>
        <v>245.79342854616124</v>
      </c>
      <c r="V27" s="21">
        <f t="shared" si="54"/>
        <v>243.99169429905723</v>
      </c>
      <c r="W27" s="21">
        <f t="shared" si="54"/>
        <v>269.01031210326062</v>
      </c>
      <c r="X27" s="21">
        <f t="shared" si="54"/>
        <v>266.52976394200851</v>
      </c>
      <c r="Y27" s="21">
        <f t="shared" si="54"/>
        <v>252.2172698804298</v>
      </c>
      <c r="Z27" s="21">
        <f t="shared" si="54"/>
        <v>258.16103933778732</v>
      </c>
      <c r="AA27" s="21">
        <f t="shared" si="54"/>
        <v>246.30347828082839</v>
      </c>
      <c r="AB27" s="21">
        <f t="shared" si="54"/>
        <v>250.76785977276754</v>
      </c>
      <c r="AC27" s="21">
        <f t="shared" si="54"/>
        <v>235.73661453338164</v>
      </c>
      <c r="AD27" s="21">
        <f t="shared" si="54"/>
        <v>238.94734795103591</v>
      </c>
      <c r="AE27" s="21">
        <f t="shared" si="54"/>
        <v>222.03874933368581</v>
      </c>
      <c r="AF27" s="1005">
        <f t="shared" si="13"/>
        <v>246.53399999999996</v>
      </c>
      <c r="AG27" s="85">
        <v>2016</v>
      </c>
      <c r="AH27" s="433">
        <f t="shared" ref="AH27:AS27" si="55">ROUND(T27/$R24,0)</f>
        <v>233</v>
      </c>
      <c r="AI27" s="434">
        <f t="shared" si="55"/>
        <v>250</v>
      </c>
      <c r="AJ27" s="434">
        <f t="shared" si="55"/>
        <v>248</v>
      </c>
      <c r="AK27" s="434">
        <f t="shared" si="55"/>
        <v>273</v>
      </c>
      <c r="AL27" s="434">
        <f t="shared" si="55"/>
        <v>271</v>
      </c>
      <c r="AM27" s="434">
        <f t="shared" si="55"/>
        <v>256</v>
      </c>
      <c r="AN27" s="434">
        <f t="shared" si="55"/>
        <v>262</v>
      </c>
      <c r="AO27" s="433">
        <f t="shared" si="55"/>
        <v>250</v>
      </c>
      <c r="AP27" s="434">
        <f t="shared" si="55"/>
        <v>255</v>
      </c>
      <c r="AQ27" s="434">
        <f t="shared" si="55"/>
        <v>239</v>
      </c>
      <c r="AR27" s="434">
        <f t="shared" si="55"/>
        <v>243</v>
      </c>
      <c r="AS27" s="434">
        <f t="shared" si="55"/>
        <v>226</v>
      </c>
      <c r="AT27" s="1005">
        <f t="shared" si="14"/>
        <v>250.5</v>
      </c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85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</row>
    <row r="28" spans="1:95" ht="11.25" customHeight="1">
      <c r="A28" s="38"/>
      <c r="B28" s="8">
        <v>2004</v>
      </c>
      <c r="C28" s="183">
        <f>T66</f>
        <v>296</v>
      </c>
      <c r="D28" s="65"/>
      <c r="E28" s="185">
        <v>0</v>
      </c>
      <c r="F28" s="60">
        <f t="shared" si="15"/>
        <v>296</v>
      </c>
      <c r="G28" s="567"/>
      <c r="H28" s="76"/>
      <c r="I28" s="187">
        <f>T112</f>
        <v>14</v>
      </c>
      <c r="J28" s="76"/>
      <c r="K28" s="187">
        <v>0</v>
      </c>
      <c r="L28" s="60">
        <f t="shared" ref="L28:L49" si="56">K28+I28</f>
        <v>14</v>
      </c>
      <c r="M28" s="429"/>
      <c r="N28" s="62">
        <v>12</v>
      </c>
      <c r="O28" s="76"/>
      <c r="P28" s="20">
        <f t="shared" si="19"/>
        <v>298</v>
      </c>
      <c r="Q28" s="20">
        <f t="shared" si="17"/>
        <v>305.23404691180991</v>
      </c>
      <c r="R28" s="20"/>
      <c r="S28" s="8">
        <v>2017</v>
      </c>
      <c r="T28" s="21">
        <f t="shared" ref="T28:AE28" si="57">($P41)*T$3</f>
        <v>229.83895671541717</v>
      </c>
      <c r="U28" s="21">
        <f t="shared" si="57"/>
        <v>246.79042461382801</v>
      </c>
      <c r="V28" s="21">
        <f t="shared" si="57"/>
        <v>244.98138210803717</v>
      </c>
      <c r="W28" s="21">
        <f t="shared" si="57"/>
        <v>270.10148132171838</v>
      </c>
      <c r="X28" s="21">
        <f t="shared" si="57"/>
        <v>267.61087147258041</v>
      </c>
      <c r="Y28" s="21">
        <f t="shared" si="57"/>
        <v>253.24032256233343</v>
      </c>
      <c r="Z28" s="21">
        <f t="shared" si="57"/>
        <v>259.20820134926561</v>
      </c>
      <c r="AA28" s="21">
        <f t="shared" si="57"/>
        <v>247.30254323041274</v>
      </c>
      <c r="AB28" s="21">
        <f t="shared" si="57"/>
        <v>251.78503330571948</v>
      </c>
      <c r="AC28" s="21">
        <f t="shared" si="57"/>
        <v>236.69281779351365</v>
      </c>
      <c r="AD28" s="21">
        <f t="shared" si="57"/>
        <v>239.91657470252267</v>
      </c>
      <c r="AE28" s="21">
        <f t="shared" si="57"/>
        <v>222.9393908246513</v>
      </c>
      <c r="AF28" s="1005">
        <f t="shared" si="13"/>
        <v>247.53399999999999</v>
      </c>
      <c r="AG28" s="85">
        <v>2017</v>
      </c>
      <c r="AH28" s="433">
        <f t="shared" ref="AH28:AS28" si="58">ROUND(T28/$R24,0)</f>
        <v>233</v>
      </c>
      <c r="AI28" s="434">
        <f t="shared" si="58"/>
        <v>251</v>
      </c>
      <c r="AJ28" s="434">
        <f t="shared" si="58"/>
        <v>249</v>
      </c>
      <c r="AK28" s="434">
        <f t="shared" si="58"/>
        <v>274</v>
      </c>
      <c r="AL28" s="434">
        <f t="shared" si="58"/>
        <v>272</v>
      </c>
      <c r="AM28" s="434">
        <f t="shared" si="58"/>
        <v>257</v>
      </c>
      <c r="AN28" s="434">
        <f t="shared" si="58"/>
        <v>263</v>
      </c>
      <c r="AO28" s="433">
        <f t="shared" si="58"/>
        <v>251</v>
      </c>
      <c r="AP28" s="434">
        <f t="shared" si="58"/>
        <v>256</v>
      </c>
      <c r="AQ28" s="434">
        <f t="shared" si="58"/>
        <v>240</v>
      </c>
      <c r="AR28" s="434">
        <f t="shared" si="58"/>
        <v>244</v>
      </c>
      <c r="AS28" s="434">
        <f t="shared" si="58"/>
        <v>226</v>
      </c>
      <c r="AT28" s="1005">
        <f t="shared" si="14"/>
        <v>251.33333333333334</v>
      </c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85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</row>
    <row r="29" spans="1:95" ht="11.25" customHeight="1">
      <c r="A29" s="38"/>
      <c r="B29" s="513">
        <v>2005</v>
      </c>
      <c r="C29" s="183">
        <f>T67</f>
        <v>272.5061</v>
      </c>
      <c r="D29" s="514"/>
      <c r="E29" s="185">
        <v>0</v>
      </c>
      <c r="F29" s="60">
        <f t="shared" si="15"/>
        <v>272.5061</v>
      </c>
      <c r="G29" s="567"/>
      <c r="H29" s="76"/>
      <c r="I29" s="187">
        <f>T113</f>
        <v>39.138529999999996</v>
      </c>
      <c r="J29" s="76"/>
      <c r="K29" s="187">
        <v>0</v>
      </c>
      <c r="L29" s="60">
        <f t="shared" si="56"/>
        <v>39.138529999999996</v>
      </c>
      <c r="M29" s="429"/>
      <c r="N29" s="62">
        <v>12</v>
      </c>
      <c r="O29" s="76"/>
      <c r="P29" s="20">
        <f t="shared" si="19"/>
        <v>299.64463000000001</v>
      </c>
      <c r="Q29" s="20">
        <f t="shared" si="17"/>
        <v>306.91860083990576</v>
      </c>
      <c r="R29" s="20"/>
      <c r="S29" s="8">
        <v>2018</v>
      </c>
      <c r="T29" s="21">
        <f t="shared" ref="T29:AE29" si="59">($P42)*T$3</f>
        <v>236.3385595861659</v>
      </c>
      <c r="U29" s="21">
        <f t="shared" si="59"/>
        <v>253.76939708749546</v>
      </c>
      <c r="V29" s="21">
        <f t="shared" si="59"/>
        <v>251.90919677089664</v>
      </c>
      <c r="W29" s="21">
        <f t="shared" si="59"/>
        <v>277.73966585092256</v>
      </c>
      <c r="X29" s="21">
        <f t="shared" si="59"/>
        <v>275.17862418658359</v>
      </c>
      <c r="Y29" s="21">
        <f t="shared" si="59"/>
        <v>260.40169133565882</v>
      </c>
      <c r="Z29" s="21">
        <f t="shared" si="59"/>
        <v>266.5383354296136</v>
      </c>
      <c r="AA29" s="21">
        <f t="shared" si="59"/>
        <v>254.2959978775032</v>
      </c>
      <c r="AB29" s="21">
        <f t="shared" si="59"/>
        <v>258.90524803638289</v>
      </c>
      <c r="AC29" s="21">
        <f t="shared" si="59"/>
        <v>243.38624061443761</v>
      </c>
      <c r="AD29" s="21">
        <f t="shared" si="59"/>
        <v>246.70116196292997</v>
      </c>
      <c r="AE29" s="21">
        <f t="shared" si="59"/>
        <v>229.24388126140974</v>
      </c>
      <c r="AF29" s="1005">
        <f t="shared" si="13"/>
        <v>254.53399999999999</v>
      </c>
      <c r="AG29" s="85">
        <v>2018</v>
      </c>
      <c r="AH29" s="433">
        <f t="shared" ref="AH29:AS29" si="60">ROUND(T29/$R24,0)</f>
        <v>240</v>
      </c>
      <c r="AI29" s="434">
        <f t="shared" si="60"/>
        <v>258</v>
      </c>
      <c r="AJ29" s="434">
        <f t="shared" si="60"/>
        <v>256</v>
      </c>
      <c r="AK29" s="434">
        <f t="shared" si="60"/>
        <v>282</v>
      </c>
      <c r="AL29" s="434">
        <f t="shared" si="60"/>
        <v>280</v>
      </c>
      <c r="AM29" s="434">
        <f t="shared" si="60"/>
        <v>265</v>
      </c>
      <c r="AN29" s="434">
        <f t="shared" si="60"/>
        <v>271</v>
      </c>
      <c r="AO29" s="433">
        <f t="shared" si="60"/>
        <v>258</v>
      </c>
      <c r="AP29" s="434">
        <f t="shared" si="60"/>
        <v>263</v>
      </c>
      <c r="AQ29" s="434">
        <f t="shared" si="60"/>
        <v>247</v>
      </c>
      <c r="AR29" s="434">
        <f t="shared" si="60"/>
        <v>251</v>
      </c>
      <c r="AS29" s="434">
        <f t="shared" si="60"/>
        <v>233</v>
      </c>
      <c r="AT29" s="1005">
        <f t="shared" si="14"/>
        <v>258.66666666666669</v>
      </c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85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</row>
    <row r="30" spans="1:95" ht="11.25" customHeight="1">
      <c r="A30" s="38"/>
      <c r="B30" s="8">
        <v>2006</v>
      </c>
      <c r="C30" s="183">
        <f>U68</f>
        <v>249.64815999999999</v>
      </c>
      <c r="D30" s="65"/>
      <c r="E30" s="185">
        <v>0</v>
      </c>
      <c r="F30" s="60">
        <f t="shared" si="15"/>
        <v>249.64815999999999</v>
      </c>
      <c r="G30" s="567"/>
      <c r="H30" s="76"/>
      <c r="I30" s="187">
        <f>U114</f>
        <v>29.521519999999999</v>
      </c>
      <c r="J30" s="76"/>
      <c r="K30" s="187">
        <v>0</v>
      </c>
      <c r="L30" s="60">
        <f t="shared" si="56"/>
        <v>29.521519999999999</v>
      </c>
      <c r="M30" s="429"/>
      <c r="N30" s="62">
        <v>3</v>
      </c>
      <c r="O30" s="76"/>
      <c r="P30" s="20">
        <f t="shared" si="19"/>
        <v>276.16967999999997</v>
      </c>
      <c r="Q30" s="20">
        <f t="shared" si="17"/>
        <v>282.87378879442792</v>
      </c>
      <c r="R30" s="20"/>
      <c r="S30" s="8">
        <v>2019</v>
      </c>
      <c r="T30" s="21">
        <f t="shared" ref="T30:AE30" si="61">($P43)*T$3</f>
        <v>279.0502355939434</v>
      </c>
      <c r="U30" s="21">
        <f t="shared" si="61"/>
        <v>299.63121620016722</v>
      </c>
      <c r="V30" s="21">
        <f t="shared" si="61"/>
        <v>297.4348359839733</v>
      </c>
      <c r="W30" s="21">
        <f t="shared" si="61"/>
        <v>327.9334498999786</v>
      </c>
      <c r="X30" s="21">
        <f t="shared" si="61"/>
        <v>324.90957059289019</v>
      </c>
      <c r="Y30" s="21">
        <f t="shared" si="61"/>
        <v>307.46211470322589</v>
      </c>
      <c r="Z30" s="21">
        <f t="shared" si="61"/>
        <v>314.7077879576147</v>
      </c>
      <c r="AA30" s="21">
        <f t="shared" si="61"/>
        <v>300.25298555838333</v>
      </c>
      <c r="AB30" s="21">
        <f t="shared" si="61"/>
        <v>305.69523055217098</v>
      </c>
      <c r="AC30" s="21">
        <f t="shared" si="61"/>
        <v>287.37159058050946</v>
      </c>
      <c r="AD30" s="21">
        <f t="shared" si="61"/>
        <v>291.28559253132073</v>
      </c>
      <c r="AE30" s="21">
        <f t="shared" si="61"/>
        <v>270.67338984582221</v>
      </c>
      <c r="AF30" s="1005">
        <f t="shared" si="13"/>
        <v>300.53399999999993</v>
      </c>
      <c r="AG30" s="85">
        <v>2019</v>
      </c>
      <c r="AH30" s="433">
        <f t="shared" ref="AH30:AS30" si="62">ROUND(T30/$R24,0)</f>
        <v>283</v>
      </c>
      <c r="AI30" s="434">
        <f t="shared" si="62"/>
        <v>304</v>
      </c>
      <c r="AJ30" s="434">
        <f t="shared" si="62"/>
        <v>302</v>
      </c>
      <c r="AK30" s="434">
        <f t="shared" si="62"/>
        <v>333</v>
      </c>
      <c r="AL30" s="434">
        <f t="shared" si="62"/>
        <v>330</v>
      </c>
      <c r="AM30" s="434">
        <f t="shared" si="62"/>
        <v>312</v>
      </c>
      <c r="AN30" s="434">
        <f t="shared" si="62"/>
        <v>320</v>
      </c>
      <c r="AO30" s="433">
        <f t="shared" si="62"/>
        <v>305</v>
      </c>
      <c r="AP30" s="434">
        <f t="shared" si="62"/>
        <v>311</v>
      </c>
      <c r="AQ30" s="434">
        <f t="shared" si="62"/>
        <v>292</v>
      </c>
      <c r="AR30" s="434">
        <f t="shared" si="62"/>
        <v>296</v>
      </c>
      <c r="AS30" s="434">
        <f t="shared" si="62"/>
        <v>275</v>
      </c>
      <c r="AT30" s="1005">
        <f t="shared" si="14"/>
        <v>305.25</v>
      </c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85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</row>
    <row r="31" spans="1:95" ht="11.25" customHeight="1">
      <c r="A31" s="38"/>
      <c r="B31" s="513">
        <v>2007</v>
      </c>
      <c r="C31" s="183">
        <f>U69</f>
        <v>266.52017999999998</v>
      </c>
      <c r="D31" s="65"/>
      <c r="E31" s="185">
        <v>54</v>
      </c>
      <c r="F31" s="60">
        <f t="shared" si="15"/>
        <v>320.52017999999998</v>
      </c>
      <c r="G31" s="567"/>
      <c r="H31" s="76"/>
      <c r="I31" s="187">
        <f>U115+9</f>
        <v>25.038019999999999</v>
      </c>
      <c r="J31" s="60"/>
      <c r="K31" s="187">
        <v>0</v>
      </c>
      <c r="L31" s="60">
        <f t="shared" si="56"/>
        <v>25.038019999999999</v>
      </c>
      <c r="M31" s="60"/>
      <c r="N31" s="62">
        <v>1</v>
      </c>
      <c r="O31" s="60"/>
      <c r="P31" s="20">
        <f t="shared" si="19"/>
        <v>344.5582</v>
      </c>
      <c r="Q31" s="20">
        <f>P31/$R$18</f>
        <v>352.74180999180999</v>
      </c>
      <c r="R31" s="20"/>
      <c r="S31" s="8">
        <v>2020</v>
      </c>
      <c r="T31" s="21">
        <f t="shared" ref="T31:AE31" si="63">($P44)*T$3</f>
        <v>299.47755890201086</v>
      </c>
      <c r="U31" s="21">
        <f t="shared" si="63"/>
        <v>321.56512968883629</v>
      </c>
      <c r="V31" s="21">
        <f t="shared" si="63"/>
        <v>319.20796778153169</v>
      </c>
      <c r="W31" s="21">
        <f t="shared" si="63"/>
        <v>351.93917270604891</v>
      </c>
      <c r="X31" s="21">
        <f t="shared" si="63"/>
        <v>348.69393626547162</v>
      </c>
      <c r="Y31" s="21">
        <f t="shared" si="63"/>
        <v>329.96927370510576</v>
      </c>
      <c r="Z31" s="21">
        <f t="shared" si="63"/>
        <v>337.7453522101369</v>
      </c>
      <c r="AA31" s="21">
        <f t="shared" si="63"/>
        <v>322.23241444923906</v>
      </c>
      <c r="AB31" s="21">
        <f t="shared" si="63"/>
        <v>328.07304827711312</v>
      </c>
      <c r="AC31" s="21">
        <f t="shared" si="63"/>
        <v>308.40806230341337</v>
      </c>
      <c r="AD31" s="21">
        <f t="shared" si="63"/>
        <v>312.60858106402935</v>
      </c>
      <c r="AE31" s="21">
        <f t="shared" si="63"/>
        <v>290.48750264706297</v>
      </c>
      <c r="AF31" s="1005">
        <f t="shared" si="13"/>
        <v>322.53399999999999</v>
      </c>
      <c r="AG31" s="85">
        <v>2020</v>
      </c>
      <c r="AH31" s="433">
        <f t="shared" ref="AH31:AS31" si="64">ROUND(T31/$R24,0)</f>
        <v>304</v>
      </c>
      <c r="AI31" s="434">
        <f t="shared" si="64"/>
        <v>327</v>
      </c>
      <c r="AJ31" s="434">
        <f t="shared" si="64"/>
        <v>324</v>
      </c>
      <c r="AK31" s="434">
        <f t="shared" si="64"/>
        <v>358</v>
      </c>
      <c r="AL31" s="434">
        <f t="shared" si="64"/>
        <v>354</v>
      </c>
      <c r="AM31" s="434">
        <f t="shared" si="64"/>
        <v>335</v>
      </c>
      <c r="AN31" s="434">
        <f t="shared" si="64"/>
        <v>343</v>
      </c>
      <c r="AO31" s="433">
        <f t="shared" si="64"/>
        <v>327</v>
      </c>
      <c r="AP31" s="434">
        <f t="shared" si="64"/>
        <v>333</v>
      </c>
      <c r="AQ31" s="434">
        <f t="shared" si="64"/>
        <v>313</v>
      </c>
      <c r="AR31" s="434">
        <f t="shared" si="64"/>
        <v>318</v>
      </c>
      <c r="AS31" s="434">
        <f t="shared" si="64"/>
        <v>295</v>
      </c>
      <c r="AT31" s="1005">
        <f t="shared" si="14"/>
        <v>327.58333333333331</v>
      </c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85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</row>
    <row r="32" spans="1:95" ht="11.25" customHeight="1">
      <c r="A32" s="38"/>
      <c r="B32" s="8">
        <v>2008</v>
      </c>
      <c r="C32" s="183">
        <f>T70</f>
        <v>218.732</v>
      </c>
      <c r="D32" s="65"/>
      <c r="E32" s="185">
        <f>'[13]2008'!$N$6</f>
        <v>46.828181818181775</v>
      </c>
      <c r="F32" s="60">
        <f t="shared" si="15"/>
        <v>265.56018181818177</v>
      </c>
      <c r="G32" s="76"/>
      <c r="H32" s="76"/>
      <c r="I32" s="806">
        <f>T116</f>
        <v>14.695</v>
      </c>
      <c r="J32" s="76"/>
      <c r="K32" s="185">
        <f>'[13]2008'!$P$6</f>
        <v>5.5577727272727273</v>
      </c>
      <c r="L32" s="60">
        <f t="shared" si="56"/>
        <v>20.252772727272728</v>
      </c>
      <c r="M32" s="429"/>
      <c r="N32" s="62">
        <v>1</v>
      </c>
      <c r="O32" s="76"/>
      <c r="P32" s="20">
        <f t="shared" si="19"/>
        <v>284.81295454545449</v>
      </c>
      <c r="Q32" s="20">
        <f>P32/$R$18</f>
        <v>291.57755379346281</v>
      </c>
      <c r="R32" s="20"/>
      <c r="S32" s="8">
        <v>2021</v>
      </c>
      <c r="T32" s="21">
        <f t="shared" ref="T32:AE32" si="65">($P45)*T$3</f>
        <v>300.40607359783212</v>
      </c>
      <c r="U32" s="21">
        <f t="shared" si="65"/>
        <v>322.56212575650306</v>
      </c>
      <c r="V32" s="21">
        <f t="shared" si="65"/>
        <v>320.1976555905116</v>
      </c>
      <c r="W32" s="21">
        <f t="shared" si="65"/>
        <v>353.03034192450667</v>
      </c>
      <c r="X32" s="21">
        <f t="shared" si="65"/>
        <v>349.77504379604346</v>
      </c>
      <c r="Y32" s="21">
        <f t="shared" si="65"/>
        <v>330.99232638700943</v>
      </c>
      <c r="Z32" s="21">
        <f t="shared" si="65"/>
        <v>338.79251422161519</v>
      </c>
      <c r="AA32" s="21">
        <f t="shared" si="65"/>
        <v>323.23147939882341</v>
      </c>
      <c r="AB32" s="21">
        <f t="shared" si="65"/>
        <v>329.09022181006503</v>
      </c>
      <c r="AC32" s="21">
        <f t="shared" si="65"/>
        <v>309.36426556354542</v>
      </c>
      <c r="AD32" s="21">
        <f t="shared" si="65"/>
        <v>313.57780781551611</v>
      </c>
      <c r="AE32" s="21">
        <f t="shared" si="65"/>
        <v>291.38814413802845</v>
      </c>
      <c r="AF32" s="1005">
        <f t="shared" si="13"/>
        <v>323.53400000000005</v>
      </c>
      <c r="AG32" s="85">
        <v>2021</v>
      </c>
      <c r="AH32" s="433">
        <f t="shared" ref="AH32:AS32" si="66">ROUND(T32/$R24,0)</f>
        <v>305</v>
      </c>
      <c r="AI32" s="434">
        <f t="shared" si="66"/>
        <v>328</v>
      </c>
      <c r="AJ32" s="434">
        <f t="shared" si="66"/>
        <v>325</v>
      </c>
      <c r="AK32" s="434">
        <f t="shared" si="66"/>
        <v>359</v>
      </c>
      <c r="AL32" s="434">
        <f t="shared" si="66"/>
        <v>355</v>
      </c>
      <c r="AM32" s="434">
        <f t="shared" si="66"/>
        <v>336</v>
      </c>
      <c r="AN32" s="434">
        <f t="shared" si="66"/>
        <v>344</v>
      </c>
      <c r="AO32" s="433">
        <f t="shared" si="66"/>
        <v>328</v>
      </c>
      <c r="AP32" s="434">
        <f t="shared" si="66"/>
        <v>334</v>
      </c>
      <c r="AQ32" s="434">
        <f t="shared" si="66"/>
        <v>314</v>
      </c>
      <c r="AR32" s="434">
        <f t="shared" si="66"/>
        <v>319</v>
      </c>
      <c r="AS32" s="434">
        <f t="shared" si="66"/>
        <v>296</v>
      </c>
      <c r="AT32" s="1005">
        <f t="shared" si="14"/>
        <v>328.58333333333331</v>
      </c>
    </row>
    <row r="33" spans="1:70" ht="11.25" customHeight="1">
      <c r="A33" s="38"/>
      <c r="B33" s="513">
        <v>2009</v>
      </c>
      <c r="C33" s="183">
        <f>U71</f>
        <v>238.40799999999999</v>
      </c>
      <c r="D33" s="514"/>
      <c r="E33" s="183">
        <f>'[14]2009'!$N$7</f>
        <v>0</v>
      </c>
      <c r="F33" s="60">
        <f t="shared" si="15"/>
        <v>238.40799999999999</v>
      </c>
      <c r="G33" s="931"/>
      <c r="H33" s="931"/>
      <c r="I33" s="62">
        <f>U117</f>
        <v>21.881</v>
      </c>
      <c r="J33" s="931"/>
      <c r="K33" s="187">
        <f>'[14]2009'!$P$7</f>
        <v>0</v>
      </c>
      <c r="L33" s="931">
        <f t="shared" si="56"/>
        <v>21.881</v>
      </c>
      <c r="M33" s="931"/>
      <c r="N33" s="62">
        <v>1</v>
      </c>
      <c r="O33" s="931"/>
      <c r="P33" s="932">
        <f>F33+L33-N33</f>
        <v>259.28899999999999</v>
      </c>
      <c r="Q33" s="932">
        <f>P33/$R20</f>
        <v>265.06747086485382</v>
      </c>
      <c r="R33" s="20"/>
      <c r="S33" s="8">
        <v>2022</v>
      </c>
      <c r="T33" s="21">
        <f t="shared" ref="T33:AE33" si="67">($P46)*T$3</f>
        <v>300.40607359783212</v>
      </c>
      <c r="U33" s="21">
        <f t="shared" si="67"/>
        <v>322.56212575650306</v>
      </c>
      <c r="V33" s="21">
        <f t="shared" si="67"/>
        <v>320.1976555905116</v>
      </c>
      <c r="W33" s="21">
        <f t="shared" si="67"/>
        <v>353.03034192450667</v>
      </c>
      <c r="X33" s="21">
        <f t="shared" si="67"/>
        <v>349.77504379604346</v>
      </c>
      <c r="Y33" s="21">
        <f t="shared" si="67"/>
        <v>330.99232638700943</v>
      </c>
      <c r="Z33" s="21">
        <f t="shared" si="67"/>
        <v>338.79251422161519</v>
      </c>
      <c r="AA33" s="21">
        <f t="shared" si="67"/>
        <v>323.23147939882341</v>
      </c>
      <c r="AB33" s="21">
        <f t="shared" si="67"/>
        <v>329.09022181006503</v>
      </c>
      <c r="AC33" s="21">
        <f t="shared" si="67"/>
        <v>309.36426556354542</v>
      </c>
      <c r="AD33" s="21">
        <f t="shared" si="67"/>
        <v>313.57780781551611</v>
      </c>
      <c r="AE33" s="21">
        <f t="shared" si="67"/>
        <v>291.38814413802845</v>
      </c>
      <c r="AF33" s="1005">
        <f t="shared" si="13"/>
        <v>323.53400000000005</v>
      </c>
      <c r="AG33" s="85">
        <v>2022</v>
      </c>
      <c r="AH33" s="433">
        <f t="shared" ref="AH33:AS33" si="68">ROUND(T33/$R24,0)</f>
        <v>305</v>
      </c>
      <c r="AI33" s="434">
        <f t="shared" si="68"/>
        <v>328</v>
      </c>
      <c r="AJ33" s="434">
        <f t="shared" si="68"/>
        <v>325</v>
      </c>
      <c r="AK33" s="434">
        <f t="shared" si="68"/>
        <v>359</v>
      </c>
      <c r="AL33" s="434">
        <f t="shared" si="68"/>
        <v>355</v>
      </c>
      <c r="AM33" s="434">
        <f t="shared" si="68"/>
        <v>336</v>
      </c>
      <c r="AN33" s="434">
        <f t="shared" si="68"/>
        <v>344</v>
      </c>
      <c r="AO33" s="433">
        <f t="shared" si="68"/>
        <v>328</v>
      </c>
      <c r="AP33" s="434">
        <f t="shared" si="68"/>
        <v>334</v>
      </c>
      <c r="AQ33" s="434">
        <f t="shared" si="68"/>
        <v>314</v>
      </c>
      <c r="AR33" s="434">
        <f t="shared" si="68"/>
        <v>319</v>
      </c>
      <c r="AS33" s="434">
        <f t="shared" si="68"/>
        <v>296</v>
      </c>
      <c r="AT33" s="1005">
        <f t="shared" si="14"/>
        <v>328.58333333333331</v>
      </c>
    </row>
    <row r="34" spans="1:70" ht="11.25" customHeight="1">
      <c r="A34" s="38"/>
      <c r="B34" s="8">
        <v>2010</v>
      </c>
      <c r="C34" s="183">
        <f>T72</f>
        <v>26.298999999999999</v>
      </c>
      <c r="D34" s="514"/>
      <c r="E34" s="183">
        <f>'[15]2010'!$N$6</f>
        <v>208.42073669152953</v>
      </c>
      <c r="F34" s="60">
        <f t="shared" si="15"/>
        <v>234.71973669152953</v>
      </c>
      <c r="G34" s="931"/>
      <c r="H34" s="931"/>
      <c r="I34" s="62">
        <f>T118</f>
        <v>3.3159999999999998</v>
      </c>
      <c r="J34" s="931"/>
      <c r="K34" s="187">
        <f>'[15]2010'!$P$6</f>
        <v>10.217635639113109</v>
      </c>
      <c r="L34" s="931">
        <f t="shared" si="56"/>
        <v>13.533635639113108</v>
      </c>
      <c r="M34" s="931"/>
      <c r="N34" s="62">
        <v>1</v>
      </c>
      <c r="O34" s="931"/>
      <c r="P34" s="932">
        <f t="shared" si="19"/>
        <v>247.25337233064263</v>
      </c>
      <c r="Q34" s="932">
        <f>P34/$R$21</f>
        <v>252.63448690164773</v>
      </c>
      <c r="R34" s="20"/>
      <c r="S34" s="8">
        <v>2023</v>
      </c>
      <c r="T34" s="21">
        <f t="shared" ref="T34:AE34" si="69">($P47)*T$3</f>
        <v>300.40607359783212</v>
      </c>
      <c r="U34" s="21">
        <f t="shared" si="69"/>
        <v>322.56212575650306</v>
      </c>
      <c r="V34" s="21">
        <f t="shared" si="69"/>
        <v>320.1976555905116</v>
      </c>
      <c r="W34" s="21">
        <f t="shared" si="69"/>
        <v>353.03034192450667</v>
      </c>
      <c r="X34" s="21">
        <f t="shared" si="69"/>
        <v>349.77504379604346</v>
      </c>
      <c r="Y34" s="21">
        <f t="shared" si="69"/>
        <v>330.99232638700943</v>
      </c>
      <c r="Z34" s="21">
        <f t="shared" si="69"/>
        <v>338.79251422161519</v>
      </c>
      <c r="AA34" s="21">
        <f t="shared" si="69"/>
        <v>323.23147939882341</v>
      </c>
      <c r="AB34" s="21">
        <f t="shared" si="69"/>
        <v>329.09022181006503</v>
      </c>
      <c r="AC34" s="21">
        <f t="shared" si="69"/>
        <v>309.36426556354542</v>
      </c>
      <c r="AD34" s="21">
        <f t="shared" si="69"/>
        <v>313.57780781551611</v>
      </c>
      <c r="AE34" s="21">
        <f t="shared" si="69"/>
        <v>291.38814413802845</v>
      </c>
      <c r="AF34" s="1005">
        <f t="shared" si="13"/>
        <v>323.53400000000005</v>
      </c>
      <c r="AG34" s="85">
        <v>2023</v>
      </c>
      <c r="AH34" s="433">
        <f t="shared" ref="AH34:AS34" si="70">ROUND(T34/$R24,0)</f>
        <v>305</v>
      </c>
      <c r="AI34" s="434">
        <f t="shared" si="70"/>
        <v>328</v>
      </c>
      <c r="AJ34" s="434">
        <f t="shared" si="70"/>
        <v>325</v>
      </c>
      <c r="AK34" s="434">
        <f t="shared" si="70"/>
        <v>359</v>
      </c>
      <c r="AL34" s="434">
        <f t="shared" si="70"/>
        <v>355</v>
      </c>
      <c r="AM34" s="434">
        <f t="shared" si="70"/>
        <v>336</v>
      </c>
      <c r="AN34" s="434">
        <f t="shared" si="70"/>
        <v>344</v>
      </c>
      <c r="AO34" s="433">
        <f t="shared" si="70"/>
        <v>328</v>
      </c>
      <c r="AP34" s="434">
        <f t="shared" si="70"/>
        <v>334</v>
      </c>
      <c r="AQ34" s="434">
        <f t="shared" si="70"/>
        <v>314</v>
      </c>
      <c r="AR34" s="434">
        <f t="shared" si="70"/>
        <v>319</v>
      </c>
      <c r="AS34" s="434">
        <f t="shared" si="70"/>
        <v>296</v>
      </c>
      <c r="AT34" s="1005">
        <f t="shared" si="14"/>
        <v>328.58333333333331</v>
      </c>
    </row>
    <row r="35" spans="1:70">
      <c r="A35" s="38"/>
      <c r="B35" s="513">
        <v>2011</v>
      </c>
      <c r="C35" s="996">
        <f>T73</f>
        <v>245.80199999999999</v>
      </c>
      <c r="D35" s="514"/>
      <c r="E35" s="183">
        <f>'[16]2011'!$N$6</f>
        <v>0</v>
      </c>
      <c r="F35" s="60">
        <f t="shared" si="15"/>
        <v>245.80199999999999</v>
      </c>
      <c r="G35" s="76"/>
      <c r="H35" s="76"/>
      <c r="I35" s="62">
        <f t="shared" ref="I35:I37" si="71">T119</f>
        <v>6.9790000000000001</v>
      </c>
      <c r="J35" s="76"/>
      <c r="K35" s="187">
        <f>'[16]2011'!$P$17</f>
        <v>0</v>
      </c>
      <c r="L35" s="931">
        <f t="shared" si="56"/>
        <v>6.9790000000000001</v>
      </c>
      <c r="M35" s="429"/>
      <c r="N35" s="62">
        <v>1</v>
      </c>
      <c r="O35" s="76"/>
      <c r="P35" s="932">
        <f>F35+L35-N35</f>
        <v>251.78100000000001</v>
      </c>
      <c r="Q35" s="932">
        <f>P35/$R$22</f>
        <v>256.68365786522583</v>
      </c>
      <c r="R35" s="20"/>
      <c r="S35" s="8">
        <v>2024</v>
      </c>
      <c r="T35" s="21">
        <f t="shared" ref="T35:AE35" si="72">($P48)*T$3</f>
        <v>299.47755890201086</v>
      </c>
      <c r="U35" s="21">
        <f t="shared" si="72"/>
        <v>321.56512968883629</v>
      </c>
      <c r="V35" s="21">
        <f t="shared" si="72"/>
        <v>319.20796778153169</v>
      </c>
      <c r="W35" s="21">
        <f t="shared" si="72"/>
        <v>351.93917270604891</v>
      </c>
      <c r="X35" s="21">
        <f t="shared" si="72"/>
        <v>348.69393626547162</v>
      </c>
      <c r="Y35" s="21">
        <f t="shared" si="72"/>
        <v>329.96927370510576</v>
      </c>
      <c r="Z35" s="21">
        <f t="shared" si="72"/>
        <v>337.7453522101369</v>
      </c>
      <c r="AA35" s="21">
        <f t="shared" si="72"/>
        <v>322.23241444923906</v>
      </c>
      <c r="AB35" s="21">
        <f t="shared" si="72"/>
        <v>328.07304827711312</v>
      </c>
      <c r="AC35" s="21">
        <f t="shared" si="72"/>
        <v>308.40806230341337</v>
      </c>
      <c r="AD35" s="21">
        <f t="shared" si="72"/>
        <v>312.60858106402935</v>
      </c>
      <c r="AE35" s="21">
        <f t="shared" si="72"/>
        <v>290.48750264706297</v>
      </c>
      <c r="AF35" s="1005">
        <f t="shared" si="13"/>
        <v>322.53399999999999</v>
      </c>
      <c r="AG35" s="85">
        <v>2024</v>
      </c>
      <c r="AH35" s="433">
        <f t="shared" ref="AH35:AS35" si="73">ROUND(T35/$R24,0)</f>
        <v>304</v>
      </c>
      <c r="AI35" s="434">
        <f t="shared" si="73"/>
        <v>327</v>
      </c>
      <c r="AJ35" s="434">
        <f t="shared" si="73"/>
        <v>324</v>
      </c>
      <c r="AK35" s="434">
        <f t="shared" si="73"/>
        <v>358</v>
      </c>
      <c r="AL35" s="434">
        <f t="shared" si="73"/>
        <v>354</v>
      </c>
      <c r="AM35" s="434">
        <f t="shared" si="73"/>
        <v>335</v>
      </c>
      <c r="AN35" s="434">
        <f t="shared" si="73"/>
        <v>343</v>
      </c>
      <c r="AO35" s="433">
        <f t="shared" si="73"/>
        <v>327</v>
      </c>
      <c r="AP35" s="434">
        <f t="shared" si="73"/>
        <v>333</v>
      </c>
      <c r="AQ35" s="434">
        <f t="shared" si="73"/>
        <v>313</v>
      </c>
      <c r="AR35" s="434">
        <f t="shared" si="73"/>
        <v>318</v>
      </c>
      <c r="AS35" s="434">
        <f t="shared" si="73"/>
        <v>295</v>
      </c>
      <c r="AT35" s="1005">
        <f t="shared" si="14"/>
        <v>327.58333333333331</v>
      </c>
    </row>
    <row r="36" spans="1:70">
      <c r="A36" s="38"/>
      <c r="B36" s="8">
        <v>2012</v>
      </c>
      <c r="C36" s="996">
        <f>T74</f>
        <v>175.226</v>
      </c>
      <c r="D36" s="514"/>
      <c r="E36" s="183">
        <f>'[17]2012'!$N$6</f>
        <v>0</v>
      </c>
      <c r="F36" s="60">
        <f t="shared" si="15"/>
        <v>175.226</v>
      </c>
      <c r="G36" s="76"/>
      <c r="H36" s="76"/>
      <c r="I36" s="62">
        <f t="shared" si="71"/>
        <v>5.4989999999999997</v>
      </c>
      <c r="J36" s="76"/>
      <c r="K36" s="187">
        <f>'[17]2012'!$P$6</f>
        <v>0</v>
      </c>
      <c r="L36" s="931">
        <f t="shared" si="56"/>
        <v>5.4989999999999997</v>
      </c>
      <c r="M36" s="429"/>
      <c r="N36" s="62">
        <v>1</v>
      </c>
      <c r="O36" s="76"/>
      <c r="P36" s="932">
        <f>F36+L36-N36</f>
        <v>179.72499999999999</v>
      </c>
      <c r="Q36" s="932">
        <f>P36/$R$23</f>
        <v>182.90759210258497</v>
      </c>
      <c r="R36" s="20"/>
      <c r="S36" s="8">
        <v>2025</v>
      </c>
      <c r="T36" s="21">
        <f t="shared" ref="T36:AE36" si="74">($P49)*T$3</f>
        <v>300.40607359783212</v>
      </c>
      <c r="U36" s="21">
        <f t="shared" si="74"/>
        <v>322.56212575650306</v>
      </c>
      <c r="V36" s="21">
        <f t="shared" si="74"/>
        <v>320.1976555905116</v>
      </c>
      <c r="W36" s="21">
        <f t="shared" si="74"/>
        <v>353.03034192450667</v>
      </c>
      <c r="X36" s="21">
        <f t="shared" si="74"/>
        <v>349.77504379604346</v>
      </c>
      <c r="Y36" s="21">
        <f t="shared" si="74"/>
        <v>330.99232638700943</v>
      </c>
      <c r="Z36" s="21">
        <f t="shared" si="74"/>
        <v>338.79251422161519</v>
      </c>
      <c r="AA36" s="21">
        <f t="shared" si="74"/>
        <v>323.23147939882341</v>
      </c>
      <c r="AB36" s="21">
        <f t="shared" si="74"/>
        <v>329.09022181006503</v>
      </c>
      <c r="AC36" s="21">
        <f t="shared" si="74"/>
        <v>309.36426556354542</v>
      </c>
      <c r="AD36" s="21">
        <f t="shared" si="74"/>
        <v>313.57780781551611</v>
      </c>
      <c r="AE36" s="21">
        <f t="shared" si="74"/>
        <v>291.38814413802845</v>
      </c>
      <c r="AF36" s="1005">
        <f t="shared" si="13"/>
        <v>323.53400000000005</v>
      </c>
      <c r="AG36" s="85">
        <v>2025</v>
      </c>
      <c r="AH36" s="433">
        <f t="shared" ref="AH36:AS36" si="75">ROUND(T36/$R24,0)</f>
        <v>305</v>
      </c>
      <c r="AI36" s="434">
        <f t="shared" si="75"/>
        <v>328</v>
      </c>
      <c r="AJ36" s="434">
        <f t="shared" si="75"/>
        <v>325</v>
      </c>
      <c r="AK36" s="434">
        <f t="shared" si="75"/>
        <v>359</v>
      </c>
      <c r="AL36" s="434">
        <f t="shared" si="75"/>
        <v>355</v>
      </c>
      <c r="AM36" s="434">
        <f t="shared" si="75"/>
        <v>336</v>
      </c>
      <c r="AN36" s="434">
        <f t="shared" si="75"/>
        <v>344</v>
      </c>
      <c r="AO36" s="433">
        <f t="shared" si="75"/>
        <v>328</v>
      </c>
      <c r="AP36" s="434">
        <f t="shared" si="75"/>
        <v>334</v>
      </c>
      <c r="AQ36" s="434">
        <f t="shared" si="75"/>
        <v>314</v>
      </c>
      <c r="AR36" s="434">
        <f t="shared" si="75"/>
        <v>319</v>
      </c>
      <c r="AS36" s="434">
        <f t="shared" si="75"/>
        <v>296</v>
      </c>
      <c r="AT36" s="1005">
        <f t="shared" si="14"/>
        <v>328.58333333333331</v>
      </c>
    </row>
    <row r="37" spans="1:70">
      <c r="A37" s="38"/>
      <c r="B37" s="513">
        <v>2013</v>
      </c>
      <c r="C37" s="996">
        <f>T75</f>
        <v>227.53399999999999</v>
      </c>
      <c r="D37" s="514"/>
      <c r="E37" s="1201">
        <f>'[18]2013'!$N$6</f>
        <v>0</v>
      </c>
      <c r="F37" s="931">
        <f t="shared" ref="F37:F47" si="76">C37+D37</f>
        <v>227.53399999999999</v>
      </c>
      <c r="G37" s="76"/>
      <c r="H37" s="76"/>
      <c r="I37" s="62">
        <f t="shared" si="71"/>
        <v>1.6379999999999999</v>
      </c>
      <c r="J37" s="76"/>
      <c r="K37" s="187">
        <f>'[18]2013'!$O$6</f>
        <v>2</v>
      </c>
      <c r="L37" s="931">
        <f t="shared" si="56"/>
        <v>3.6379999999999999</v>
      </c>
      <c r="M37" s="429"/>
      <c r="N37" s="62">
        <v>1</v>
      </c>
      <c r="O37" s="76"/>
      <c r="P37" s="932">
        <f>F37+L37-N37</f>
        <v>230.172</v>
      </c>
      <c r="Q37" s="932">
        <f>P37/$R$24</f>
        <v>233.81958553433563</v>
      </c>
      <c r="R37" s="20"/>
      <c r="S37" s="8">
        <v>2026</v>
      </c>
      <c r="T37" s="21">
        <f t="shared" ref="T37:AE37" si="77">($P50)*T$3</f>
        <v>300.40607359783212</v>
      </c>
      <c r="U37" s="21">
        <f t="shared" si="77"/>
        <v>322.56212575650306</v>
      </c>
      <c r="V37" s="21">
        <f t="shared" si="77"/>
        <v>320.1976555905116</v>
      </c>
      <c r="W37" s="21">
        <f t="shared" si="77"/>
        <v>353.03034192450667</v>
      </c>
      <c r="X37" s="21">
        <f t="shared" si="77"/>
        <v>349.77504379604346</v>
      </c>
      <c r="Y37" s="21">
        <f t="shared" si="77"/>
        <v>330.99232638700943</v>
      </c>
      <c r="Z37" s="21">
        <f t="shared" si="77"/>
        <v>338.79251422161519</v>
      </c>
      <c r="AA37" s="21">
        <f t="shared" si="77"/>
        <v>323.23147939882341</v>
      </c>
      <c r="AB37" s="21">
        <f t="shared" si="77"/>
        <v>329.09022181006503</v>
      </c>
      <c r="AC37" s="21">
        <f t="shared" si="77"/>
        <v>309.36426556354542</v>
      </c>
      <c r="AD37" s="21">
        <f t="shared" si="77"/>
        <v>313.57780781551611</v>
      </c>
      <c r="AE37" s="21">
        <f t="shared" si="77"/>
        <v>291.38814413802845</v>
      </c>
      <c r="AF37" s="1005">
        <f t="shared" si="13"/>
        <v>323.53400000000005</v>
      </c>
      <c r="AG37" s="85">
        <v>2026</v>
      </c>
      <c r="AH37" s="433">
        <f t="shared" ref="AH37:AS37" si="78">ROUND(T37/$R24,0)</f>
        <v>305</v>
      </c>
      <c r="AI37" s="434">
        <f t="shared" si="78"/>
        <v>328</v>
      </c>
      <c r="AJ37" s="434">
        <f t="shared" si="78"/>
        <v>325</v>
      </c>
      <c r="AK37" s="434">
        <f t="shared" si="78"/>
        <v>359</v>
      </c>
      <c r="AL37" s="434">
        <f t="shared" si="78"/>
        <v>355</v>
      </c>
      <c r="AM37" s="434">
        <f t="shared" si="78"/>
        <v>336</v>
      </c>
      <c r="AN37" s="434">
        <f t="shared" si="78"/>
        <v>344</v>
      </c>
      <c r="AO37" s="433">
        <f t="shared" si="78"/>
        <v>328</v>
      </c>
      <c r="AP37" s="434">
        <f t="shared" si="78"/>
        <v>334</v>
      </c>
      <c r="AQ37" s="434">
        <f t="shared" si="78"/>
        <v>314</v>
      </c>
      <c r="AR37" s="434">
        <f t="shared" si="78"/>
        <v>319</v>
      </c>
      <c r="AS37" s="434">
        <f t="shared" si="78"/>
        <v>296</v>
      </c>
      <c r="AT37" s="1005">
        <f t="shared" si="14"/>
        <v>328.58333333333331</v>
      </c>
    </row>
    <row r="38" spans="1:70">
      <c r="A38" s="47"/>
      <c r="B38" s="56">
        <v>2014</v>
      </c>
      <c r="C38" s="58">
        <f>C37+10</f>
        <v>237.53399999999999</v>
      </c>
      <c r="D38" s="65">
        <f t="shared" ref="D38" si="79">T169</f>
        <v>3</v>
      </c>
      <c r="E38" s="56"/>
      <c r="F38" s="61">
        <f t="shared" si="76"/>
        <v>240.53399999999999</v>
      </c>
      <c r="G38" s="76">
        <f t="shared" ref="G38:G64" si="80">F38/$R$23</f>
        <v>244.79340525137388</v>
      </c>
      <c r="H38" s="76"/>
      <c r="I38" s="64">
        <v>5</v>
      </c>
      <c r="J38" s="76">
        <f t="shared" ref="J38:J64" si="81">I38/$R$23</f>
        <v>5.0885406065540399</v>
      </c>
      <c r="K38" s="63"/>
      <c r="L38" s="61">
        <f t="shared" si="56"/>
        <v>5</v>
      </c>
      <c r="M38" s="429">
        <f t="shared" ref="M38:M64" si="82">(L38-N38)/$R$23</f>
        <v>5.0885406065540399</v>
      </c>
      <c r="N38" s="64"/>
      <c r="O38" s="76">
        <v>1</v>
      </c>
      <c r="P38" s="57">
        <f t="shared" si="19"/>
        <v>245.53399999999999</v>
      </c>
      <c r="Q38" s="432">
        <f t="shared" ref="Q38:Q47" si="83">G38+J38-O38</f>
        <v>248.88194585792792</v>
      </c>
      <c r="R38" s="20"/>
      <c r="S38" s="8">
        <v>2027</v>
      </c>
      <c r="T38" s="21">
        <f t="shared" ref="T38:AE38" si="84">($P51)*T$3</f>
        <v>300.40607359783212</v>
      </c>
      <c r="U38" s="21">
        <f t="shared" si="84"/>
        <v>322.56212575650306</v>
      </c>
      <c r="V38" s="21">
        <f t="shared" si="84"/>
        <v>320.1976555905116</v>
      </c>
      <c r="W38" s="21">
        <f t="shared" si="84"/>
        <v>353.03034192450667</v>
      </c>
      <c r="X38" s="21">
        <f t="shared" si="84"/>
        <v>349.77504379604346</v>
      </c>
      <c r="Y38" s="21">
        <f t="shared" si="84"/>
        <v>330.99232638700943</v>
      </c>
      <c r="Z38" s="21">
        <f t="shared" si="84"/>
        <v>338.79251422161519</v>
      </c>
      <c r="AA38" s="21">
        <f t="shared" si="84"/>
        <v>323.23147939882341</v>
      </c>
      <c r="AB38" s="21">
        <f t="shared" si="84"/>
        <v>329.09022181006503</v>
      </c>
      <c r="AC38" s="21">
        <f t="shared" si="84"/>
        <v>309.36426556354542</v>
      </c>
      <c r="AD38" s="21">
        <f t="shared" si="84"/>
        <v>313.57780781551611</v>
      </c>
      <c r="AE38" s="21">
        <f t="shared" si="84"/>
        <v>291.38814413802845</v>
      </c>
      <c r="AF38" s="1005">
        <f t="shared" si="13"/>
        <v>323.53400000000005</v>
      </c>
      <c r="AG38" s="85">
        <v>2027</v>
      </c>
      <c r="AH38" s="433">
        <f t="shared" ref="AH38:AS38" si="85">ROUND(T38/$R24,0)</f>
        <v>305</v>
      </c>
      <c r="AI38" s="434">
        <f t="shared" si="85"/>
        <v>328</v>
      </c>
      <c r="AJ38" s="434">
        <f t="shared" si="85"/>
        <v>325</v>
      </c>
      <c r="AK38" s="434">
        <f t="shared" si="85"/>
        <v>359</v>
      </c>
      <c r="AL38" s="434">
        <f t="shared" si="85"/>
        <v>355</v>
      </c>
      <c r="AM38" s="434">
        <f t="shared" si="85"/>
        <v>336</v>
      </c>
      <c r="AN38" s="434">
        <f t="shared" si="85"/>
        <v>344</v>
      </c>
      <c r="AO38" s="433">
        <f t="shared" si="85"/>
        <v>328</v>
      </c>
      <c r="AP38" s="434">
        <f t="shared" si="85"/>
        <v>334</v>
      </c>
      <c r="AQ38" s="434">
        <f t="shared" si="85"/>
        <v>314</v>
      </c>
      <c r="AR38" s="434">
        <f t="shared" si="85"/>
        <v>319</v>
      </c>
      <c r="AS38" s="434">
        <f t="shared" si="85"/>
        <v>296</v>
      </c>
      <c r="AT38" s="1005">
        <f t="shared" si="14"/>
        <v>328.58333333333331</v>
      </c>
    </row>
    <row r="39" spans="1:70" ht="11.25" customHeight="1">
      <c r="A39" s="47"/>
      <c r="B39" s="55">
        <v>2015</v>
      </c>
      <c r="C39" s="58">
        <f t="shared" ref="C39:C64" si="86">C38</f>
        <v>237.53399999999999</v>
      </c>
      <c r="D39" s="65">
        <f>T170-8</f>
        <v>5</v>
      </c>
      <c r="E39" s="56"/>
      <c r="F39" s="61">
        <f t="shared" si="76"/>
        <v>242.53399999999999</v>
      </c>
      <c r="G39" s="76">
        <f t="shared" si="80"/>
        <v>246.82882149399552</v>
      </c>
      <c r="H39" s="76"/>
      <c r="I39" s="64">
        <v>5</v>
      </c>
      <c r="J39" s="76">
        <f t="shared" si="81"/>
        <v>5.0885406065540399</v>
      </c>
      <c r="K39" s="63"/>
      <c r="L39" s="61">
        <f t="shared" si="56"/>
        <v>5</v>
      </c>
      <c r="M39" s="429">
        <f t="shared" si="82"/>
        <v>5.0885406065540399</v>
      </c>
      <c r="N39" s="64"/>
      <c r="O39" s="76">
        <f>O38</f>
        <v>1</v>
      </c>
      <c r="P39" s="57">
        <f t="shared" si="19"/>
        <v>247.53399999999999</v>
      </c>
      <c r="Q39" s="432">
        <f t="shared" si="83"/>
        <v>250.91736210054955</v>
      </c>
      <c r="R39" s="20"/>
      <c r="S39" s="8">
        <v>2028</v>
      </c>
      <c r="T39" s="21">
        <f t="shared" ref="T39:AE39" si="87">($P52)*T$3</f>
        <v>299.47755890201086</v>
      </c>
      <c r="U39" s="21">
        <f t="shared" si="87"/>
        <v>321.56512968883629</v>
      </c>
      <c r="V39" s="21">
        <f t="shared" si="87"/>
        <v>319.20796778153169</v>
      </c>
      <c r="W39" s="21">
        <f t="shared" si="87"/>
        <v>351.93917270604891</v>
      </c>
      <c r="X39" s="21">
        <f t="shared" si="87"/>
        <v>348.69393626547162</v>
      </c>
      <c r="Y39" s="21">
        <f t="shared" si="87"/>
        <v>329.96927370510576</v>
      </c>
      <c r="Z39" s="21">
        <f t="shared" si="87"/>
        <v>337.7453522101369</v>
      </c>
      <c r="AA39" s="21">
        <f t="shared" si="87"/>
        <v>322.23241444923906</v>
      </c>
      <c r="AB39" s="21">
        <f t="shared" si="87"/>
        <v>328.07304827711312</v>
      </c>
      <c r="AC39" s="21">
        <f t="shared" si="87"/>
        <v>308.40806230341337</v>
      </c>
      <c r="AD39" s="21">
        <f t="shared" si="87"/>
        <v>312.60858106402935</v>
      </c>
      <c r="AE39" s="21">
        <f t="shared" si="87"/>
        <v>290.48750264706297</v>
      </c>
      <c r="AF39" s="1005">
        <f t="shared" si="13"/>
        <v>322.53399999999999</v>
      </c>
      <c r="AG39" s="85">
        <v>2028</v>
      </c>
      <c r="AH39" s="433">
        <f t="shared" ref="AH39:AS39" si="88">ROUND(T39/$R24,0)</f>
        <v>304</v>
      </c>
      <c r="AI39" s="434">
        <f t="shared" si="88"/>
        <v>327</v>
      </c>
      <c r="AJ39" s="434">
        <f t="shared" si="88"/>
        <v>324</v>
      </c>
      <c r="AK39" s="434">
        <f t="shared" si="88"/>
        <v>358</v>
      </c>
      <c r="AL39" s="434">
        <f t="shared" si="88"/>
        <v>354</v>
      </c>
      <c r="AM39" s="434">
        <f t="shared" si="88"/>
        <v>335</v>
      </c>
      <c r="AN39" s="434">
        <f t="shared" si="88"/>
        <v>343</v>
      </c>
      <c r="AO39" s="433">
        <f t="shared" si="88"/>
        <v>327</v>
      </c>
      <c r="AP39" s="434">
        <f t="shared" si="88"/>
        <v>333</v>
      </c>
      <c r="AQ39" s="434">
        <f t="shared" si="88"/>
        <v>313</v>
      </c>
      <c r="AR39" s="434">
        <f t="shared" si="88"/>
        <v>318</v>
      </c>
      <c r="AS39" s="434">
        <f t="shared" si="88"/>
        <v>295</v>
      </c>
      <c r="AT39" s="1005">
        <f t="shared" si="14"/>
        <v>327.58333333333331</v>
      </c>
      <c r="BP39" s="40"/>
      <c r="BQ39" s="40"/>
      <c r="BR39" s="40"/>
    </row>
    <row r="40" spans="1:70" ht="11.25" customHeight="1">
      <c r="A40" s="47"/>
      <c r="B40" s="56">
        <v>2016</v>
      </c>
      <c r="C40" s="58">
        <f t="shared" si="86"/>
        <v>237.53399999999999</v>
      </c>
      <c r="D40" s="65">
        <f t="shared" ref="D40:D64" si="89">T171-8</f>
        <v>4</v>
      </c>
      <c r="E40" s="56"/>
      <c r="F40" s="61">
        <f t="shared" si="76"/>
        <v>241.53399999999999</v>
      </c>
      <c r="G40" s="76">
        <f t="shared" si="80"/>
        <v>245.8111133726847</v>
      </c>
      <c r="H40" s="76"/>
      <c r="I40" s="64">
        <v>5</v>
      </c>
      <c r="J40" s="76">
        <f t="shared" si="81"/>
        <v>5.0885406065540399</v>
      </c>
      <c r="K40" s="63"/>
      <c r="L40" s="61">
        <f t="shared" si="56"/>
        <v>5</v>
      </c>
      <c r="M40" s="429">
        <f t="shared" si="82"/>
        <v>5.0885406065540399</v>
      </c>
      <c r="N40" s="64"/>
      <c r="O40" s="76">
        <f>O39</f>
        <v>1</v>
      </c>
      <c r="P40" s="57">
        <f t="shared" si="19"/>
        <v>246.53399999999999</v>
      </c>
      <c r="Q40" s="432">
        <f t="shared" si="83"/>
        <v>249.89965397923874</v>
      </c>
      <c r="R40" s="20"/>
      <c r="S40" s="8">
        <v>2029</v>
      </c>
      <c r="T40" s="21">
        <f t="shared" ref="T40:AE40" si="90">($P53)*T$3</f>
        <v>300.40607359783212</v>
      </c>
      <c r="U40" s="21">
        <f t="shared" si="90"/>
        <v>322.56212575650306</v>
      </c>
      <c r="V40" s="21">
        <f t="shared" si="90"/>
        <v>320.1976555905116</v>
      </c>
      <c r="W40" s="21">
        <f t="shared" si="90"/>
        <v>353.03034192450667</v>
      </c>
      <c r="X40" s="21">
        <f t="shared" si="90"/>
        <v>349.77504379604346</v>
      </c>
      <c r="Y40" s="21">
        <f t="shared" si="90"/>
        <v>330.99232638700943</v>
      </c>
      <c r="Z40" s="21">
        <f t="shared" si="90"/>
        <v>338.79251422161519</v>
      </c>
      <c r="AA40" s="21">
        <f t="shared" si="90"/>
        <v>323.23147939882341</v>
      </c>
      <c r="AB40" s="21">
        <f t="shared" si="90"/>
        <v>329.09022181006503</v>
      </c>
      <c r="AC40" s="21">
        <f t="shared" si="90"/>
        <v>309.36426556354542</v>
      </c>
      <c r="AD40" s="21">
        <f t="shared" si="90"/>
        <v>313.57780781551611</v>
      </c>
      <c r="AE40" s="21">
        <f t="shared" si="90"/>
        <v>291.38814413802845</v>
      </c>
      <c r="AF40" s="1005">
        <f t="shared" si="13"/>
        <v>323.53400000000005</v>
      </c>
      <c r="AG40" s="85">
        <v>2029</v>
      </c>
      <c r="AH40" s="433">
        <f t="shared" ref="AH40:AS40" si="91">ROUND(T40/$R24,0)</f>
        <v>305</v>
      </c>
      <c r="AI40" s="434">
        <f t="shared" si="91"/>
        <v>328</v>
      </c>
      <c r="AJ40" s="434">
        <f t="shared" si="91"/>
        <v>325</v>
      </c>
      <c r="AK40" s="434">
        <f t="shared" si="91"/>
        <v>359</v>
      </c>
      <c r="AL40" s="434">
        <f t="shared" si="91"/>
        <v>355</v>
      </c>
      <c r="AM40" s="434">
        <f t="shared" si="91"/>
        <v>336</v>
      </c>
      <c r="AN40" s="434">
        <f t="shared" si="91"/>
        <v>344</v>
      </c>
      <c r="AO40" s="433">
        <f t="shared" si="91"/>
        <v>328</v>
      </c>
      <c r="AP40" s="434">
        <f t="shared" si="91"/>
        <v>334</v>
      </c>
      <c r="AQ40" s="434">
        <f t="shared" si="91"/>
        <v>314</v>
      </c>
      <c r="AR40" s="434">
        <f t="shared" si="91"/>
        <v>319</v>
      </c>
      <c r="AS40" s="434">
        <f t="shared" si="91"/>
        <v>296</v>
      </c>
      <c r="AT40" s="1005">
        <f t="shared" si="14"/>
        <v>328.58333333333331</v>
      </c>
      <c r="BP40" s="40"/>
      <c r="BQ40" s="40"/>
      <c r="BR40" s="40"/>
    </row>
    <row r="41" spans="1:70" ht="11.25" customHeight="1">
      <c r="B41" s="55">
        <v>2017</v>
      </c>
      <c r="C41" s="58">
        <f t="shared" si="86"/>
        <v>237.53399999999999</v>
      </c>
      <c r="D41" s="65">
        <f t="shared" si="89"/>
        <v>5</v>
      </c>
      <c r="E41" s="56"/>
      <c r="F41" s="61">
        <f t="shared" si="76"/>
        <v>242.53399999999999</v>
      </c>
      <c r="G41" s="76">
        <f t="shared" si="80"/>
        <v>246.82882149399552</v>
      </c>
      <c r="H41" s="76"/>
      <c r="I41" s="64">
        <v>5</v>
      </c>
      <c r="J41" s="76">
        <f t="shared" si="81"/>
        <v>5.0885406065540399</v>
      </c>
      <c r="K41" s="63"/>
      <c r="L41" s="61">
        <f t="shared" si="56"/>
        <v>5</v>
      </c>
      <c r="M41" s="429">
        <f t="shared" si="82"/>
        <v>5.0885406065540399</v>
      </c>
      <c r="N41" s="64"/>
      <c r="O41" s="76">
        <f t="shared" ref="O41:O64" si="92">O40</f>
        <v>1</v>
      </c>
      <c r="P41" s="57">
        <f t="shared" si="19"/>
        <v>247.53399999999999</v>
      </c>
      <c r="Q41" s="432">
        <f t="shared" si="83"/>
        <v>250.91736210054955</v>
      </c>
      <c r="R41" s="20"/>
      <c r="S41" s="8">
        <v>2030</v>
      </c>
      <c r="T41" s="21">
        <f t="shared" ref="T41:AE41" si="93">($P54)*T$3</f>
        <v>300.40607359783212</v>
      </c>
      <c r="U41" s="21">
        <f t="shared" si="93"/>
        <v>322.56212575650306</v>
      </c>
      <c r="V41" s="21">
        <f t="shared" si="93"/>
        <v>320.1976555905116</v>
      </c>
      <c r="W41" s="21">
        <f t="shared" si="93"/>
        <v>353.03034192450667</v>
      </c>
      <c r="X41" s="21">
        <f t="shared" si="93"/>
        <v>349.77504379604346</v>
      </c>
      <c r="Y41" s="21">
        <f t="shared" si="93"/>
        <v>330.99232638700943</v>
      </c>
      <c r="Z41" s="21">
        <f t="shared" si="93"/>
        <v>338.79251422161519</v>
      </c>
      <c r="AA41" s="21">
        <f t="shared" si="93"/>
        <v>323.23147939882341</v>
      </c>
      <c r="AB41" s="21">
        <f t="shared" si="93"/>
        <v>329.09022181006503</v>
      </c>
      <c r="AC41" s="21">
        <f t="shared" si="93"/>
        <v>309.36426556354542</v>
      </c>
      <c r="AD41" s="21">
        <f t="shared" si="93"/>
        <v>313.57780781551611</v>
      </c>
      <c r="AE41" s="21">
        <f t="shared" si="93"/>
        <v>291.38814413802845</v>
      </c>
      <c r="AF41" s="1005">
        <f t="shared" si="13"/>
        <v>323.53400000000005</v>
      </c>
      <c r="AG41" s="85">
        <v>2030</v>
      </c>
      <c r="AH41" s="433">
        <f t="shared" ref="AH41:AS41" si="94">ROUND(T41/$R24,0)</f>
        <v>305</v>
      </c>
      <c r="AI41" s="434">
        <f t="shared" si="94"/>
        <v>328</v>
      </c>
      <c r="AJ41" s="434">
        <f t="shared" si="94"/>
        <v>325</v>
      </c>
      <c r="AK41" s="434">
        <f t="shared" si="94"/>
        <v>359</v>
      </c>
      <c r="AL41" s="434">
        <f t="shared" si="94"/>
        <v>355</v>
      </c>
      <c r="AM41" s="434">
        <f t="shared" si="94"/>
        <v>336</v>
      </c>
      <c r="AN41" s="434">
        <f t="shared" si="94"/>
        <v>344</v>
      </c>
      <c r="AO41" s="433">
        <f t="shared" si="94"/>
        <v>328</v>
      </c>
      <c r="AP41" s="434">
        <f t="shared" si="94"/>
        <v>334</v>
      </c>
      <c r="AQ41" s="434">
        <f t="shared" si="94"/>
        <v>314</v>
      </c>
      <c r="AR41" s="434">
        <f t="shared" si="94"/>
        <v>319</v>
      </c>
      <c r="AS41" s="434">
        <f t="shared" si="94"/>
        <v>296</v>
      </c>
      <c r="AT41" s="1005">
        <f t="shared" si="14"/>
        <v>328.58333333333331</v>
      </c>
      <c r="BP41" s="40"/>
      <c r="BQ41" s="40"/>
      <c r="BR41" s="40"/>
    </row>
    <row r="42" spans="1:70" ht="11.25" customHeight="1">
      <c r="B42" s="56">
        <v>2018</v>
      </c>
      <c r="C42" s="58">
        <f t="shared" si="86"/>
        <v>237.53399999999999</v>
      </c>
      <c r="D42" s="65">
        <f t="shared" si="89"/>
        <v>12</v>
      </c>
      <c r="E42" s="56"/>
      <c r="F42" s="61">
        <f t="shared" si="76"/>
        <v>249.53399999999999</v>
      </c>
      <c r="G42" s="76">
        <f t="shared" si="80"/>
        <v>253.95277834317116</v>
      </c>
      <c r="H42" s="76"/>
      <c r="I42" s="64">
        <v>5</v>
      </c>
      <c r="J42" s="76">
        <f t="shared" si="81"/>
        <v>5.0885406065540399</v>
      </c>
      <c r="K42" s="63"/>
      <c r="L42" s="61">
        <f t="shared" si="56"/>
        <v>5</v>
      </c>
      <c r="M42" s="429">
        <f t="shared" si="82"/>
        <v>5.0885406065540399</v>
      </c>
      <c r="N42" s="64"/>
      <c r="O42" s="76">
        <f t="shared" si="92"/>
        <v>1</v>
      </c>
      <c r="P42" s="57">
        <f t="shared" si="19"/>
        <v>254.53399999999999</v>
      </c>
      <c r="Q42" s="432">
        <f t="shared" si="83"/>
        <v>258.04131894972522</v>
      </c>
      <c r="R42" s="20"/>
      <c r="S42" s="8">
        <v>2031</v>
      </c>
      <c r="T42" s="21">
        <f t="shared" ref="T42:AE42" si="95">($P55)*T$3</f>
        <v>285.54983846469213</v>
      </c>
      <c r="U42" s="21">
        <f t="shared" si="95"/>
        <v>306.61018867383467</v>
      </c>
      <c r="V42" s="21">
        <f t="shared" si="95"/>
        <v>304.36265064683278</v>
      </c>
      <c r="W42" s="21">
        <f t="shared" si="95"/>
        <v>335.57163442918278</v>
      </c>
      <c r="X42" s="21">
        <f t="shared" si="95"/>
        <v>332.47732330689337</v>
      </c>
      <c r="Y42" s="21">
        <f t="shared" si="95"/>
        <v>314.62348347655131</v>
      </c>
      <c r="Z42" s="21">
        <f t="shared" si="95"/>
        <v>322.03792203796269</v>
      </c>
      <c r="AA42" s="21">
        <f t="shared" si="95"/>
        <v>307.24644020547379</v>
      </c>
      <c r="AB42" s="21">
        <f t="shared" si="95"/>
        <v>312.81544528283439</v>
      </c>
      <c r="AC42" s="21">
        <f t="shared" si="95"/>
        <v>294.06501340143342</v>
      </c>
      <c r="AD42" s="21">
        <f t="shared" si="95"/>
        <v>298.07017979172804</v>
      </c>
      <c r="AE42" s="21">
        <f t="shared" si="95"/>
        <v>276.97788028258066</v>
      </c>
      <c r="AF42" s="1005">
        <f t="shared" ref="AF42:AF51" si="96">AVERAGE(T42:AE42)</f>
        <v>307.53400000000005</v>
      </c>
      <c r="AG42" s="85">
        <v>2031</v>
      </c>
      <c r="AH42" s="433">
        <f t="shared" ref="AH42:AS42" si="97">ROUND(T42/$R24,0)</f>
        <v>290</v>
      </c>
      <c r="AI42" s="434">
        <f t="shared" si="97"/>
        <v>311</v>
      </c>
      <c r="AJ42" s="434">
        <f t="shared" si="97"/>
        <v>309</v>
      </c>
      <c r="AK42" s="434">
        <f t="shared" si="97"/>
        <v>341</v>
      </c>
      <c r="AL42" s="434">
        <f t="shared" si="97"/>
        <v>338</v>
      </c>
      <c r="AM42" s="434">
        <f t="shared" si="97"/>
        <v>320</v>
      </c>
      <c r="AN42" s="434">
        <f t="shared" si="97"/>
        <v>327</v>
      </c>
      <c r="AO42" s="433">
        <f t="shared" si="97"/>
        <v>312</v>
      </c>
      <c r="AP42" s="434">
        <f t="shared" si="97"/>
        <v>318</v>
      </c>
      <c r="AQ42" s="434">
        <f t="shared" si="97"/>
        <v>299</v>
      </c>
      <c r="AR42" s="434">
        <f t="shared" si="97"/>
        <v>303</v>
      </c>
      <c r="AS42" s="434">
        <f t="shared" si="97"/>
        <v>281</v>
      </c>
      <c r="AT42" s="1005">
        <f t="shared" ref="AT42:AT51" si="98">AVERAGE(AH42:AS42)</f>
        <v>312.41666666666669</v>
      </c>
      <c r="BP42" s="40"/>
      <c r="BQ42" s="40"/>
      <c r="BR42" s="40"/>
    </row>
    <row r="43" spans="1:70" ht="11.25" customHeight="1">
      <c r="B43" s="55">
        <v>2019</v>
      </c>
      <c r="C43" s="58">
        <f t="shared" si="86"/>
        <v>237.53399999999999</v>
      </c>
      <c r="D43" s="65">
        <f t="shared" si="89"/>
        <v>58</v>
      </c>
      <c r="E43" s="56"/>
      <c r="F43" s="61">
        <f t="shared" si="76"/>
        <v>295.53399999999999</v>
      </c>
      <c r="G43" s="76">
        <f t="shared" si="80"/>
        <v>300.76735192346831</v>
      </c>
      <c r="H43" s="76"/>
      <c r="I43" s="64">
        <v>5</v>
      </c>
      <c r="J43" s="76">
        <f t="shared" si="81"/>
        <v>5.0885406065540399</v>
      </c>
      <c r="K43" s="63"/>
      <c r="L43" s="61">
        <f t="shared" si="56"/>
        <v>5</v>
      </c>
      <c r="M43" s="429">
        <f t="shared" si="82"/>
        <v>5.0885406065540399</v>
      </c>
      <c r="N43" s="64"/>
      <c r="O43" s="76">
        <f t="shared" si="92"/>
        <v>1</v>
      </c>
      <c r="P43" s="57">
        <f t="shared" si="19"/>
        <v>300.53399999999999</v>
      </c>
      <c r="Q43" s="432">
        <f t="shared" si="83"/>
        <v>304.85589253002234</v>
      </c>
      <c r="R43" s="20"/>
      <c r="S43" s="8">
        <v>2032</v>
      </c>
      <c r="T43" s="21">
        <f t="shared" ref="T43:AE43" si="99">($P56)*T$3</f>
        <v>271.6221180273734</v>
      </c>
      <c r="U43" s="21">
        <f t="shared" si="99"/>
        <v>291.65524765883299</v>
      </c>
      <c r="V43" s="21">
        <f t="shared" si="99"/>
        <v>289.51733351213386</v>
      </c>
      <c r="W43" s="21">
        <f t="shared" si="99"/>
        <v>319.20409615231671</v>
      </c>
      <c r="X43" s="21">
        <f t="shared" si="99"/>
        <v>316.26071034831511</v>
      </c>
      <c r="Y43" s="21">
        <f t="shared" si="99"/>
        <v>299.27769324799687</v>
      </c>
      <c r="Z43" s="21">
        <f t="shared" si="99"/>
        <v>306.33049186578842</v>
      </c>
      <c r="AA43" s="21">
        <f t="shared" si="99"/>
        <v>292.26046596170852</v>
      </c>
      <c r="AB43" s="21">
        <f t="shared" si="99"/>
        <v>297.55784228855566</v>
      </c>
      <c r="AC43" s="21">
        <f t="shared" si="99"/>
        <v>279.72196449945352</v>
      </c>
      <c r="AD43" s="21">
        <f t="shared" si="99"/>
        <v>283.53177851942667</v>
      </c>
      <c r="AE43" s="21">
        <f t="shared" si="99"/>
        <v>263.46825791809829</v>
      </c>
      <c r="AF43" s="1005">
        <f t="shared" si="96"/>
        <v>292.53399999999993</v>
      </c>
      <c r="AG43" s="85">
        <v>2032</v>
      </c>
      <c r="AH43" s="433">
        <f t="shared" ref="AH43:AS43" si="100">ROUND(T43/$R24,0)</f>
        <v>276</v>
      </c>
      <c r="AI43" s="434">
        <f t="shared" si="100"/>
        <v>296</v>
      </c>
      <c r="AJ43" s="434">
        <f t="shared" si="100"/>
        <v>294</v>
      </c>
      <c r="AK43" s="434">
        <f t="shared" si="100"/>
        <v>324</v>
      </c>
      <c r="AL43" s="434">
        <f t="shared" si="100"/>
        <v>321</v>
      </c>
      <c r="AM43" s="434">
        <f t="shared" si="100"/>
        <v>304</v>
      </c>
      <c r="AN43" s="434">
        <f t="shared" si="100"/>
        <v>311</v>
      </c>
      <c r="AO43" s="433">
        <f t="shared" si="100"/>
        <v>297</v>
      </c>
      <c r="AP43" s="434">
        <f t="shared" si="100"/>
        <v>302</v>
      </c>
      <c r="AQ43" s="434">
        <f t="shared" si="100"/>
        <v>284</v>
      </c>
      <c r="AR43" s="434">
        <f t="shared" si="100"/>
        <v>288</v>
      </c>
      <c r="AS43" s="434">
        <f t="shared" si="100"/>
        <v>268</v>
      </c>
      <c r="AT43" s="1005">
        <f t="shared" si="98"/>
        <v>297.08333333333331</v>
      </c>
      <c r="BP43" s="40"/>
      <c r="BQ43" s="40"/>
      <c r="BR43" s="40"/>
    </row>
    <row r="44" spans="1:70" ht="11.25" customHeight="1">
      <c r="B44" s="56">
        <v>2020</v>
      </c>
      <c r="C44" s="58">
        <f t="shared" si="86"/>
        <v>237.53399999999999</v>
      </c>
      <c r="D44" s="65">
        <f t="shared" si="89"/>
        <v>80</v>
      </c>
      <c r="E44" s="56"/>
      <c r="F44" s="61">
        <f t="shared" si="76"/>
        <v>317.53399999999999</v>
      </c>
      <c r="G44" s="76">
        <f t="shared" si="80"/>
        <v>323.15693059230608</v>
      </c>
      <c r="H44" s="76"/>
      <c r="I44" s="64">
        <v>5</v>
      </c>
      <c r="J44" s="76">
        <f t="shared" si="81"/>
        <v>5.0885406065540399</v>
      </c>
      <c r="K44" s="63"/>
      <c r="L44" s="61">
        <f t="shared" si="56"/>
        <v>5</v>
      </c>
      <c r="M44" s="429">
        <f t="shared" si="82"/>
        <v>5.0885406065540399</v>
      </c>
      <c r="N44" s="64"/>
      <c r="O44" s="76">
        <f t="shared" si="92"/>
        <v>1</v>
      </c>
      <c r="P44" s="57">
        <f t="shared" si="19"/>
        <v>322.53399999999999</v>
      </c>
      <c r="Q44" s="432">
        <f t="shared" si="83"/>
        <v>327.24547119886012</v>
      </c>
      <c r="R44" s="20"/>
      <c r="S44" s="8">
        <v>2033</v>
      </c>
      <c r="T44" s="21">
        <f t="shared" ref="T44:AE44" si="101">($P57)*T$3</f>
        <v>271.6221180273734</v>
      </c>
      <c r="U44" s="21">
        <f t="shared" si="101"/>
        <v>291.65524765883299</v>
      </c>
      <c r="V44" s="21">
        <f t="shared" si="101"/>
        <v>289.51733351213386</v>
      </c>
      <c r="W44" s="21">
        <f t="shared" si="101"/>
        <v>319.20409615231671</v>
      </c>
      <c r="X44" s="21">
        <f t="shared" si="101"/>
        <v>316.26071034831511</v>
      </c>
      <c r="Y44" s="21">
        <f t="shared" si="101"/>
        <v>299.27769324799687</v>
      </c>
      <c r="Z44" s="21">
        <f t="shared" si="101"/>
        <v>306.33049186578842</v>
      </c>
      <c r="AA44" s="21">
        <f t="shared" si="101"/>
        <v>292.26046596170852</v>
      </c>
      <c r="AB44" s="21">
        <f t="shared" si="101"/>
        <v>297.55784228855566</v>
      </c>
      <c r="AC44" s="21">
        <f t="shared" si="101"/>
        <v>279.72196449945352</v>
      </c>
      <c r="AD44" s="21">
        <f t="shared" si="101"/>
        <v>283.53177851942667</v>
      </c>
      <c r="AE44" s="21">
        <f t="shared" si="101"/>
        <v>263.46825791809829</v>
      </c>
      <c r="AF44" s="1005">
        <f t="shared" si="96"/>
        <v>292.53399999999993</v>
      </c>
      <c r="AG44" s="85">
        <v>2033</v>
      </c>
      <c r="AH44" s="433">
        <f t="shared" ref="AH44:AS44" si="102">ROUND(T44/$R24,0)</f>
        <v>276</v>
      </c>
      <c r="AI44" s="434">
        <f t="shared" si="102"/>
        <v>296</v>
      </c>
      <c r="AJ44" s="434">
        <f t="shared" si="102"/>
        <v>294</v>
      </c>
      <c r="AK44" s="434">
        <f t="shared" si="102"/>
        <v>324</v>
      </c>
      <c r="AL44" s="434">
        <f t="shared" si="102"/>
        <v>321</v>
      </c>
      <c r="AM44" s="434">
        <f t="shared" si="102"/>
        <v>304</v>
      </c>
      <c r="AN44" s="434">
        <f t="shared" si="102"/>
        <v>311</v>
      </c>
      <c r="AO44" s="433">
        <f t="shared" si="102"/>
        <v>297</v>
      </c>
      <c r="AP44" s="434">
        <f t="shared" si="102"/>
        <v>302</v>
      </c>
      <c r="AQ44" s="434">
        <f t="shared" si="102"/>
        <v>284</v>
      </c>
      <c r="AR44" s="434">
        <f t="shared" si="102"/>
        <v>288</v>
      </c>
      <c r="AS44" s="434">
        <f t="shared" si="102"/>
        <v>268</v>
      </c>
      <c r="AT44" s="1005">
        <f t="shared" si="98"/>
        <v>297.08333333333331</v>
      </c>
      <c r="BJ44" s="40"/>
      <c r="BK44" s="40"/>
      <c r="BL44" s="40"/>
      <c r="BM44" s="40"/>
      <c r="BN44" s="40"/>
      <c r="BO44" s="40"/>
      <c r="BP44" s="40"/>
      <c r="BQ44" s="40"/>
      <c r="BR44" s="40"/>
    </row>
    <row r="45" spans="1:70">
      <c r="A45" s="22"/>
      <c r="B45" s="55">
        <v>2021</v>
      </c>
      <c r="C45" s="58">
        <f t="shared" si="86"/>
        <v>237.53399999999999</v>
      </c>
      <c r="D45" s="65">
        <f t="shared" si="89"/>
        <v>81</v>
      </c>
      <c r="E45" s="56"/>
      <c r="F45" s="61">
        <f t="shared" si="76"/>
        <v>318.53399999999999</v>
      </c>
      <c r="G45" s="76">
        <f>F45/$R$23</f>
        <v>324.1746387136169</v>
      </c>
      <c r="H45" s="76"/>
      <c r="I45" s="64">
        <v>5</v>
      </c>
      <c r="J45" s="76">
        <f t="shared" si="81"/>
        <v>5.0885406065540399</v>
      </c>
      <c r="K45" s="63"/>
      <c r="L45" s="61">
        <f t="shared" si="56"/>
        <v>5</v>
      </c>
      <c r="M45" s="429">
        <f t="shared" si="82"/>
        <v>5.0885406065540399</v>
      </c>
      <c r="N45" s="64"/>
      <c r="O45" s="76">
        <f t="shared" si="92"/>
        <v>1</v>
      </c>
      <c r="P45" s="57">
        <f t="shared" si="19"/>
        <v>323.53399999999999</v>
      </c>
      <c r="Q45" s="432">
        <f t="shared" si="83"/>
        <v>328.26317932017093</v>
      </c>
      <c r="R45" s="20"/>
      <c r="S45" s="8">
        <v>2034</v>
      </c>
      <c r="T45" s="21">
        <f t="shared" ref="T45:AE45" si="103">($P58)*T$3</f>
        <v>271.6221180273734</v>
      </c>
      <c r="U45" s="21">
        <f t="shared" si="103"/>
        <v>291.65524765883299</v>
      </c>
      <c r="V45" s="21">
        <f t="shared" si="103"/>
        <v>289.51733351213386</v>
      </c>
      <c r="W45" s="21">
        <f t="shared" si="103"/>
        <v>319.20409615231671</v>
      </c>
      <c r="X45" s="21">
        <f t="shared" si="103"/>
        <v>316.26071034831511</v>
      </c>
      <c r="Y45" s="21">
        <f t="shared" si="103"/>
        <v>299.27769324799687</v>
      </c>
      <c r="Z45" s="21">
        <f t="shared" si="103"/>
        <v>306.33049186578842</v>
      </c>
      <c r="AA45" s="21">
        <f t="shared" si="103"/>
        <v>292.26046596170852</v>
      </c>
      <c r="AB45" s="21">
        <f t="shared" si="103"/>
        <v>297.55784228855566</v>
      </c>
      <c r="AC45" s="21">
        <f t="shared" si="103"/>
        <v>279.72196449945352</v>
      </c>
      <c r="AD45" s="21">
        <f t="shared" si="103"/>
        <v>283.53177851942667</v>
      </c>
      <c r="AE45" s="21">
        <f t="shared" si="103"/>
        <v>263.46825791809829</v>
      </c>
      <c r="AF45" s="1005">
        <f t="shared" si="96"/>
        <v>292.53399999999993</v>
      </c>
      <c r="AG45" s="85">
        <v>2034</v>
      </c>
      <c r="AH45" s="433">
        <f t="shared" ref="AH45:AS45" si="104">ROUND(T45/$R24,0)</f>
        <v>276</v>
      </c>
      <c r="AI45" s="434">
        <f t="shared" si="104"/>
        <v>296</v>
      </c>
      <c r="AJ45" s="434">
        <f t="shared" si="104"/>
        <v>294</v>
      </c>
      <c r="AK45" s="434">
        <f t="shared" si="104"/>
        <v>324</v>
      </c>
      <c r="AL45" s="434">
        <f t="shared" si="104"/>
        <v>321</v>
      </c>
      <c r="AM45" s="434">
        <f t="shared" si="104"/>
        <v>304</v>
      </c>
      <c r="AN45" s="434">
        <f t="shared" si="104"/>
        <v>311</v>
      </c>
      <c r="AO45" s="433">
        <f t="shared" si="104"/>
        <v>297</v>
      </c>
      <c r="AP45" s="434">
        <f t="shared" si="104"/>
        <v>302</v>
      </c>
      <c r="AQ45" s="434">
        <f t="shared" si="104"/>
        <v>284</v>
      </c>
      <c r="AR45" s="434">
        <f t="shared" si="104"/>
        <v>288</v>
      </c>
      <c r="AS45" s="434">
        <f t="shared" si="104"/>
        <v>268</v>
      </c>
      <c r="AT45" s="1005">
        <f t="shared" si="98"/>
        <v>297.08333333333331</v>
      </c>
      <c r="BJ45" s="40"/>
      <c r="BK45" s="40"/>
      <c r="BL45" s="40"/>
      <c r="BM45" s="40"/>
      <c r="BN45" s="40"/>
      <c r="BO45" s="40"/>
      <c r="BP45" s="40"/>
      <c r="BQ45" s="40"/>
      <c r="BR45" s="40"/>
    </row>
    <row r="46" spans="1:70">
      <c r="A46" s="22"/>
      <c r="B46" s="56">
        <v>2022</v>
      </c>
      <c r="C46" s="58">
        <f t="shared" si="86"/>
        <v>237.53399999999999</v>
      </c>
      <c r="D46" s="65">
        <f t="shared" si="89"/>
        <v>81</v>
      </c>
      <c r="E46" s="56"/>
      <c r="F46" s="61">
        <f t="shared" si="76"/>
        <v>318.53399999999999</v>
      </c>
      <c r="G46" s="76">
        <f t="shared" si="80"/>
        <v>324.1746387136169</v>
      </c>
      <c r="H46" s="76"/>
      <c r="I46" s="64">
        <v>5</v>
      </c>
      <c r="J46" s="76">
        <f t="shared" si="81"/>
        <v>5.0885406065540399</v>
      </c>
      <c r="K46" s="63"/>
      <c r="L46" s="61">
        <f t="shared" si="56"/>
        <v>5</v>
      </c>
      <c r="M46" s="429">
        <f t="shared" si="82"/>
        <v>5.0885406065540399</v>
      </c>
      <c r="N46" s="64"/>
      <c r="O46" s="76">
        <f t="shared" si="92"/>
        <v>1</v>
      </c>
      <c r="P46" s="57">
        <f t="shared" si="19"/>
        <v>323.53399999999999</v>
      </c>
      <c r="Q46" s="432">
        <f t="shared" si="83"/>
        <v>328.26317932017093</v>
      </c>
      <c r="R46" s="20"/>
      <c r="S46" s="8">
        <v>2035</v>
      </c>
      <c r="T46" s="21">
        <f t="shared" ref="T46:AE46" si="105">($P59)*T$3</f>
        <v>271.6221180273734</v>
      </c>
      <c r="U46" s="21">
        <f t="shared" si="105"/>
        <v>291.65524765883299</v>
      </c>
      <c r="V46" s="21">
        <f t="shared" si="105"/>
        <v>289.51733351213386</v>
      </c>
      <c r="W46" s="21">
        <f t="shared" si="105"/>
        <v>319.20409615231671</v>
      </c>
      <c r="X46" s="21">
        <f t="shared" si="105"/>
        <v>316.26071034831511</v>
      </c>
      <c r="Y46" s="21">
        <f t="shared" si="105"/>
        <v>299.27769324799687</v>
      </c>
      <c r="Z46" s="21">
        <f t="shared" si="105"/>
        <v>306.33049186578842</v>
      </c>
      <c r="AA46" s="21">
        <f t="shared" si="105"/>
        <v>292.26046596170852</v>
      </c>
      <c r="AB46" s="21">
        <f t="shared" si="105"/>
        <v>297.55784228855566</v>
      </c>
      <c r="AC46" s="21">
        <f t="shared" si="105"/>
        <v>279.72196449945352</v>
      </c>
      <c r="AD46" s="21">
        <f t="shared" si="105"/>
        <v>283.53177851942667</v>
      </c>
      <c r="AE46" s="21">
        <f t="shared" si="105"/>
        <v>263.46825791809829</v>
      </c>
      <c r="AF46" s="1005">
        <f t="shared" si="96"/>
        <v>292.53399999999993</v>
      </c>
      <c r="AG46" s="85">
        <v>2035</v>
      </c>
      <c r="AH46" s="433">
        <f t="shared" ref="AH46:AS46" si="106">ROUND(T46/$R24,0)</f>
        <v>276</v>
      </c>
      <c r="AI46" s="434">
        <f t="shared" si="106"/>
        <v>296</v>
      </c>
      <c r="AJ46" s="434">
        <f t="shared" si="106"/>
        <v>294</v>
      </c>
      <c r="AK46" s="434">
        <f t="shared" si="106"/>
        <v>324</v>
      </c>
      <c r="AL46" s="434">
        <f t="shared" si="106"/>
        <v>321</v>
      </c>
      <c r="AM46" s="434">
        <f t="shared" si="106"/>
        <v>304</v>
      </c>
      <c r="AN46" s="434">
        <f t="shared" si="106"/>
        <v>311</v>
      </c>
      <c r="AO46" s="433">
        <f t="shared" si="106"/>
        <v>297</v>
      </c>
      <c r="AP46" s="434">
        <f t="shared" si="106"/>
        <v>302</v>
      </c>
      <c r="AQ46" s="434">
        <f t="shared" si="106"/>
        <v>284</v>
      </c>
      <c r="AR46" s="434">
        <f t="shared" si="106"/>
        <v>288</v>
      </c>
      <c r="AS46" s="434">
        <f t="shared" si="106"/>
        <v>268</v>
      </c>
      <c r="AT46" s="1005">
        <f t="shared" si="98"/>
        <v>297.08333333333331</v>
      </c>
      <c r="BJ46" s="40"/>
      <c r="BK46" s="40"/>
      <c r="BL46" s="40"/>
      <c r="BM46" s="40"/>
      <c r="BN46" s="40"/>
      <c r="BO46" s="40"/>
      <c r="BP46" s="40"/>
      <c r="BQ46" s="40"/>
      <c r="BR46" s="40"/>
    </row>
    <row r="47" spans="1:70">
      <c r="A47" s="22"/>
      <c r="B47" s="55">
        <v>2023</v>
      </c>
      <c r="C47" s="58">
        <f t="shared" si="86"/>
        <v>237.53399999999999</v>
      </c>
      <c r="D47" s="65">
        <f t="shared" si="89"/>
        <v>81</v>
      </c>
      <c r="E47" s="56"/>
      <c r="F47" s="61">
        <f t="shared" si="76"/>
        <v>318.53399999999999</v>
      </c>
      <c r="G47" s="76">
        <f t="shared" si="80"/>
        <v>324.1746387136169</v>
      </c>
      <c r="H47" s="76"/>
      <c r="I47" s="64">
        <v>5</v>
      </c>
      <c r="J47" s="76">
        <f t="shared" si="81"/>
        <v>5.0885406065540399</v>
      </c>
      <c r="K47" s="63"/>
      <c r="L47" s="61">
        <f t="shared" si="56"/>
        <v>5</v>
      </c>
      <c r="M47" s="429">
        <f t="shared" si="82"/>
        <v>5.0885406065540399</v>
      </c>
      <c r="N47" s="64"/>
      <c r="O47" s="76">
        <f t="shared" si="92"/>
        <v>1</v>
      </c>
      <c r="P47" s="57">
        <f t="shared" si="19"/>
        <v>323.53399999999999</v>
      </c>
      <c r="Q47" s="432">
        <f t="shared" si="83"/>
        <v>328.26317932017093</v>
      </c>
      <c r="R47" s="20"/>
      <c r="S47" s="8">
        <v>2036</v>
      </c>
      <c r="T47" s="21">
        <f t="shared" ref="T47:AE47" si="107">($P60)*T$3</f>
        <v>271.6221180273734</v>
      </c>
      <c r="U47" s="21">
        <f t="shared" si="107"/>
        <v>291.65524765883299</v>
      </c>
      <c r="V47" s="21">
        <f t="shared" si="107"/>
        <v>289.51733351213386</v>
      </c>
      <c r="W47" s="21">
        <f t="shared" si="107"/>
        <v>319.20409615231671</v>
      </c>
      <c r="X47" s="21">
        <f t="shared" si="107"/>
        <v>316.26071034831511</v>
      </c>
      <c r="Y47" s="21">
        <f t="shared" si="107"/>
        <v>299.27769324799687</v>
      </c>
      <c r="Z47" s="21">
        <f t="shared" si="107"/>
        <v>306.33049186578842</v>
      </c>
      <c r="AA47" s="21">
        <f t="shared" si="107"/>
        <v>292.26046596170852</v>
      </c>
      <c r="AB47" s="21">
        <f t="shared" si="107"/>
        <v>297.55784228855566</v>
      </c>
      <c r="AC47" s="21">
        <f t="shared" si="107"/>
        <v>279.72196449945352</v>
      </c>
      <c r="AD47" s="21">
        <f t="shared" si="107"/>
        <v>283.53177851942667</v>
      </c>
      <c r="AE47" s="21">
        <f t="shared" si="107"/>
        <v>263.46825791809829</v>
      </c>
      <c r="AF47" s="1005">
        <f t="shared" si="96"/>
        <v>292.53399999999993</v>
      </c>
      <c r="AG47" s="85">
        <v>2036</v>
      </c>
      <c r="AH47" s="433">
        <f t="shared" ref="AH47:AS47" si="108">ROUND(T47/$R24,0)</f>
        <v>276</v>
      </c>
      <c r="AI47" s="434">
        <f t="shared" si="108"/>
        <v>296</v>
      </c>
      <c r="AJ47" s="434">
        <f t="shared" si="108"/>
        <v>294</v>
      </c>
      <c r="AK47" s="434">
        <f t="shared" si="108"/>
        <v>324</v>
      </c>
      <c r="AL47" s="434">
        <f t="shared" si="108"/>
        <v>321</v>
      </c>
      <c r="AM47" s="434">
        <f t="shared" si="108"/>
        <v>304</v>
      </c>
      <c r="AN47" s="434">
        <f t="shared" si="108"/>
        <v>311</v>
      </c>
      <c r="AO47" s="433">
        <f t="shared" si="108"/>
        <v>297</v>
      </c>
      <c r="AP47" s="434">
        <f t="shared" si="108"/>
        <v>302</v>
      </c>
      <c r="AQ47" s="434">
        <f t="shared" si="108"/>
        <v>284</v>
      </c>
      <c r="AR47" s="434">
        <f t="shared" si="108"/>
        <v>288</v>
      </c>
      <c r="AS47" s="434">
        <f t="shared" si="108"/>
        <v>268</v>
      </c>
      <c r="AT47" s="1005">
        <f t="shared" si="98"/>
        <v>297.08333333333331</v>
      </c>
      <c r="BJ47" s="40"/>
      <c r="BK47" s="40"/>
      <c r="BL47" s="40"/>
      <c r="BM47" s="40"/>
      <c r="BN47" s="40"/>
      <c r="BO47" s="40"/>
      <c r="BP47" s="40"/>
      <c r="BQ47" s="40"/>
      <c r="BR47" s="40"/>
    </row>
    <row r="48" spans="1:70">
      <c r="A48" s="22"/>
      <c r="B48" s="56">
        <v>2024</v>
      </c>
      <c r="C48" s="58">
        <f t="shared" si="86"/>
        <v>237.53399999999999</v>
      </c>
      <c r="D48" s="65">
        <f t="shared" si="89"/>
        <v>80</v>
      </c>
      <c r="E48" s="56"/>
      <c r="F48" s="61">
        <f t="shared" ref="F48:F54" si="109">C48+D48</f>
        <v>317.53399999999999</v>
      </c>
      <c r="G48" s="76">
        <f t="shared" si="80"/>
        <v>323.15693059230608</v>
      </c>
      <c r="I48" s="64">
        <v>5</v>
      </c>
      <c r="J48" s="76">
        <f t="shared" si="81"/>
        <v>5.0885406065540399</v>
      </c>
      <c r="L48" s="61">
        <f t="shared" si="56"/>
        <v>5</v>
      </c>
      <c r="M48" s="429">
        <f t="shared" si="82"/>
        <v>5.0885406065540399</v>
      </c>
      <c r="N48" s="64"/>
      <c r="O48" s="76">
        <f t="shared" si="92"/>
        <v>1</v>
      </c>
      <c r="P48" s="57">
        <f t="shared" ref="P48:P54" si="110">F48+L48-N48</f>
        <v>322.53399999999999</v>
      </c>
      <c r="Q48" s="432">
        <f t="shared" ref="Q48:Q54" si="111">G48+J48-O48</f>
        <v>327.24547119886012</v>
      </c>
      <c r="R48" s="20"/>
      <c r="S48" s="8">
        <v>2037</v>
      </c>
      <c r="T48" s="21">
        <f t="shared" ref="T48:AE48" si="112">($P61)*T$3</f>
        <v>271.6221180273734</v>
      </c>
      <c r="U48" s="21">
        <f t="shared" si="112"/>
        <v>291.65524765883299</v>
      </c>
      <c r="V48" s="21">
        <f t="shared" si="112"/>
        <v>289.51733351213386</v>
      </c>
      <c r="W48" s="21">
        <f t="shared" si="112"/>
        <v>319.20409615231671</v>
      </c>
      <c r="X48" s="21">
        <f t="shared" si="112"/>
        <v>316.26071034831511</v>
      </c>
      <c r="Y48" s="21">
        <f t="shared" si="112"/>
        <v>299.27769324799687</v>
      </c>
      <c r="Z48" s="21">
        <f t="shared" si="112"/>
        <v>306.33049186578842</v>
      </c>
      <c r="AA48" s="21">
        <f t="shared" si="112"/>
        <v>292.26046596170852</v>
      </c>
      <c r="AB48" s="21">
        <f t="shared" si="112"/>
        <v>297.55784228855566</v>
      </c>
      <c r="AC48" s="21">
        <f t="shared" si="112"/>
        <v>279.72196449945352</v>
      </c>
      <c r="AD48" s="21">
        <f t="shared" si="112"/>
        <v>283.53177851942667</v>
      </c>
      <c r="AE48" s="21">
        <f t="shared" si="112"/>
        <v>263.46825791809829</v>
      </c>
      <c r="AF48" s="1005">
        <f t="shared" si="96"/>
        <v>292.53399999999993</v>
      </c>
      <c r="AG48" s="85">
        <v>2037</v>
      </c>
      <c r="AH48" s="433">
        <f t="shared" ref="AH48:AS48" si="113">ROUND(T48/$R24,0)</f>
        <v>276</v>
      </c>
      <c r="AI48" s="434">
        <f t="shared" si="113"/>
        <v>296</v>
      </c>
      <c r="AJ48" s="434">
        <f t="shared" si="113"/>
        <v>294</v>
      </c>
      <c r="AK48" s="434">
        <f t="shared" si="113"/>
        <v>324</v>
      </c>
      <c r="AL48" s="434">
        <f t="shared" si="113"/>
        <v>321</v>
      </c>
      <c r="AM48" s="434">
        <f t="shared" si="113"/>
        <v>304</v>
      </c>
      <c r="AN48" s="434">
        <f t="shared" si="113"/>
        <v>311</v>
      </c>
      <c r="AO48" s="433">
        <f t="shared" si="113"/>
        <v>297</v>
      </c>
      <c r="AP48" s="434">
        <f t="shared" si="113"/>
        <v>302</v>
      </c>
      <c r="AQ48" s="434">
        <f t="shared" si="113"/>
        <v>284</v>
      </c>
      <c r="AR48" s="434">
        <f t="shared" si="113"/>
        <v>288</v>
      </c>
      <c r="AS48" s="434">
        <f t="shared" si="113"/>
        <v>268</v>
      </c>
      <c r="AT48" s="1005">
        <f t="shared" si="98"/>
        <v>297.08333333333331</v>
      </c>
      <c r="BJ48" s="40"/>
      <c r="BK48" s="40"/>
      <c r="BL48" s="40"/>
      <c r="BM48" s="40"/>
      <c r="BN48" s="40"/>
      <c r="BO48" s="40"/>
      <c r="BP48" s="40"/>
      <c r="BQ48" s="40"/>
      <c r="BR48" s="40"/>
    </row>
    <row r="49" spans="1:70">
      <c r="A49" s="22"/>
      <c r="B49" s="55">
        <v>2025</v>
      </c>
      <c r="C49" s="58">
        <f t="shared" si="86"/>
        <v>237.53399999999999</v>
      </c>
      <c r="D49" s="65">
        <f t="shared" si="89"/>
        <v>81</v>
      </c>
      <c r="E49" s="56"/>
      <c r="F49" s="61">
        <f t="shared" si="109"/>
        <v>318.53399999999999</v>
      </c>
      <c r="G49" s="76">
        <f t="shared" si="80"/>
        <v>324.1746387136169</v>
      </c>
      <c r="I49" s="64">
        <v>5</v>
      </c>
      <c r="J49" s="76">
        <f t="shared" si="81"/>
        <v>5.0885406065540399</v>
      </c>
      <c r="L49" s="61">
        <f t="shared" si="56"/>
        <v>5</v>
      </c>
      <c r="M49" s="429">
        <f t="shared" si="82"/>
        <v>5.0885406065540399</v>
      </c>
      <c r="N49" s="64"/>
      <c r="O49" s="76">
        <f t="shared" si="92"/>
        <v>1</v>
      </c>
      <c r="P49" s="57">
        <f t="shared" si="110"/>
        <v>323.53399999999999</v>
      </c>
      <c r="Q49" s="432">
        <f t="shared" si="111"/>
        <v>328.26317932017093</v>
      </c>
      <c r="R49" s="20"/>
      <c r="S49" s="8">
        <v>2038</v>
      </c>
      <c r="T49" s="21">
        <f t="shared" ref="T49:AE49" si="114">($P62)*T$3</f>
        <v>271.6221180273734</v>
      </c>
      <c r="U49" s="21">
        <f t="shared" si="114"/>
        <v>291.65524765883299</v>
      </c>
      <c r="V49" s="21">
        <f t="shared" si="114"/>
        <v>289.51733351213386</v>
      </c>
      <c r="W49" s="21">
        <f t="shared" si="114"/>
        <v>319.20409615231671</v>
      </c>
      <c r="X49" s="21">
        <f t="shared" si="114"/>
        <v>316.26071034831511</v>
      </c>
      <c r="Y49" s="21">
        <f t="shared" si="114"/>
        <v>299.27769324799687</v>
      </c>
      <c r="Z49" s="21">
        <f t="shared" si="114"/>
        <v>306.33049186578842</v>
      </c>
      <c r="AA49" s="21">
        <f t="shared" si="114"/>
        <v>292.26046596170852</v>
      </c>
      <c r="AB49" s="21">
        <f t="shared" si="114"/>
        <v>297.55784228855566</v>
      </c>
      <c r="AC49" s="21">
        <f t="shared" si="114"/>
        <v>279.72196449945352</v>
      </c>
      <c r="AD49" s="21">
        <f t="shared" si="114"/>
        <v>283.53177851942667</v>
      </c>
      <c r="AE49" s="21">
        <f t="shared" si="114"/>
        <v>263.46825791809829</v>
      </c>
      <c r="AF49" s="1005">
        <f t="shared" si="96"/>
        <v>292.53399999999993</v>
      </c>
      <c r="AG49" s="85">
        <v>2038</v>
      </c>
      <c r="AH49" s="433">
        <f t="shared" ref="AH49:AS49" si="115">ROUND(T49/$R24,0)</f>
        <v>276</v>
      </c>
      <c r="AI49" s="434">
        <f t="shared" si="115"/>
        <v>296</v>
      </c>
      <c r="AJ49" s="434">
        <f t="shared" si="115"/>
        <v>294</v>
      </c>
      <c r="AK49" s="434">
        <f t="shared" si="115"/>
        <v>324</v>
      </c>
      <c r="AL49" s="434">
        <f t="shared" si="115"/>
        <v>321</v>
      </c>
      <c r="AM49" s="434">
        <f t="shared" si="115"/>
        <v>304</v>
      </c>
      <c r="AN49" s="434">
        <f t="shared" si="115"/>
        <v>311</v>
      </c>
      <c r="AO49" s="433">
        <f t="shared" si="115"/>
        <v>297</v>
      </c>
      <c r="AP49" s="434">
        <f t="shared" si="115"/>
        <v>302</v>
      </c>
      <c r="AQ49" s="434">
        <f t="shared" si="115"/>
        <v>284</v>
      </c>
      <c r="AR49" s="434">
        <f t="shared" si="115"/>
        <v>288</v>
      </c>
      <c r="AS49" s="434">
        <f t="shared" si="115"/>
        <v>268</v>
      </c>
      <c r="AT49" s="1005">
        <f t="shared" si="98"/>
        <v>297.08333333333331</v>
      </c>
      <c r="BJ49" s="40"/>
      <c r="BK49" s="40"/>
      <c r="BL49" s="40"/>
      <c r="BM49" s="40"/>
      <c r="BN49" s="40"/>
      <c r="BO49" s="40"/>
      <c r="BP49" s="40"/>
      <c r="BQ49" s="40"/>
      <c r="BR49" s="40"/>
    </row>
    <row r="50" spans="1:70">
      <c r="A50" s="51"/>
      <c r="B50" s="56">
        <v>2026</v>
      </c>
      <c r="C50" s="58">
        <f t="shared" si="86"/>
        <v>237.53399999999999</v>
      </c>
      <c r="D50" s="65">
        <f t="shared" si="89"/>
        <v>81</v>
      </c>
      <c r="E50" s="56"/>
      <c r="F50" s="61">
        <f t="shared" si="109"/>
        <v>318.53399999999999</v>
      </c>
      <c r="G50" s="76">
        <f t="shared" si="80"/>
        <v>324.1746387136169</v>
      </c>
      <c r="I50" s="64">
        <v>5</v>
      </c>
      <c r="J50" s="76">
        <f t="shared" si="81"/>
        <v>5.0885406065540399</v>
      </c>
      <c r="L50" s="61">
        <f>K50+I50</f>
        <v>5</v>
      </c>
      <c r="M50" s="429">
        <f t="shared" si="82"/>
        <v>5.0885406065540399</v>
      </c>
      <c r="N50" s="64"/>
      <c r="O50" s="76">
        <f t="shared" si="92"/>
        <v>1</v>
      </c>
      <c r="P50" s="57">
        <f t="shared" si="110"/>
        <v>323.53399999999999</v>
      </c>
      <c r="Q50" s="432">
        <f t="shared" si="111"/>
        <v>328.26317932017093</v>
      </c>
      <c r="R50" s="20"/>
      <c r="S50" s="8">
        <v>2039</v>
      </c>
      <c r="T50" s="21">
        <f t="shared" ref="T50:AE50" si="116">($P63)*T$3</f>
        <v>271.6221180273734</v>
      </c>
      <c r="U50" s="21">
        <f t="shared" si="116"/>
        <v>291.65524765883299</v>
      </c>
      <c r="V50" s="21">
        <f t="shared" si="116"/>
        <v>289.51733351213386</v>
      </c>
      <c r="W50" s="21">
        <f t="shared" si="116"/>
        <v>319.20409615231671</v>
      </c>
      <c r="X50" s="21">
        <f t="shared" si="116"/>
        <v>316.26071034831511</v>
      </c>
      <c r="Y50" s="21">
        <f t="shared" si="116"/>
        <v>299.27769324799687</v>
      </c>
      <c r="Z50" s="21">
        <f t="shared" si="116"/>
        <v>306.33049186578842</v>
      </c>
      <c r="AA50" s="21">
        <f t="shared" si="116"/>
        <v>292.26046596170852</v>
      </c>
      <c r="AB50" s="21">
        <f t="shared" si="116"/>
        <v>297.55784228855566</v>
      </c>
      <c r="AC50" s="21">
        <f t="shared" si="116"/>
        <v>279.72196449945352</v>
      </c>
      <c r="AD50" s="21">
        <f t="shared" si="116"/>
        <v>283.53177851942667</v>
      </c>
      <c r="AE50" s="21">
        <f t="shared" si="116"/>
        <v>263.46825791809829</v>
      </c>
      <c r="AF50" s="1005">
        <f t="shared" si="96"/>
        <v>292.53399999999993</v>
      </c>
      <c r="AG50" s="85">
        <v>2039</v>
      </c>
      <c r="AH50" s="433">
        <f t="shared" ref="AH50:AS50" si="117">ROUND(T50/$R24,0)</f>
        <v>276</v>
      </c>
      <c r="AI50" s="434">
        <f t="shared" si="117"/>
        <v>296</v>
      </c>
      <c r="AJ50" s="434">
        <f t="shared" si="117"/>
        <v>294</v>
      </c>
      <c r="AK50" s="434">
        <f t="shared" si="117"/>
        <v>324</v>
      </c>
      <c r="AL50" s="434">
        <f t="shared" si="117"/>
        <v>321</v>
      </c>
      <c r="AM50" s="434">
        <f t="shared" si="117"/>
        <v>304</v>
      </c>
      <c r="AN50" s="434">
        <f t="shared" si="117"/>
        <v>311</v>
      </c>
      <c r="AO50" s="433">
        <f t="shared" si="117"/>
        <v>297</v>
      </c>
      <c r="AP50" s="434">
        <f t="shared" si="117"/>
        <v>302</v>
      </c>
      <c r="AQ50" s="434">
        <f t="shared" si="117"/>
        <v>284</v>
      </c>
      <c r="AR50" s="434">
        <f t="shared" si="117"/>
        <v>288</v>
      </c>
      <c r="AS50" s="434">
        <f t="shared" si="117"/>
        <v>268</v>
      </c>
      <c r="AT50" s="1005">
        <f t="shared" si="98"/>
        <v>297.08333333333331</v>
      </c>
      <c r="BJ50" s="40"/>
      <c r="BK50" s="40"/>
      <c r="BL50" s="40"/>
      <c r="BM50" s="40"/>
      <c r="BN50" s="40"/>
      <c r="BO50" s="40"/>
      <c r="BP50" s="40"/>
      <c r="BQ50" s="40"/>
      <c r="BR50" s="40"/>
    </row>
    <row r="51" spans="1:70">
      <c r="A51" s="52"/>
      <c r="B51" s="55">
        <v>2027</v>
      </c>
      <c r="C51" s="58">
        <f t="shared" si="86"/>
        <v>237.53399999999999</v>
      </c>
      <c r="D51" s="65">
        <f t="shared" si="89"/>
        <v>81</v>
      </c>
      <c r="E51" s="56"/>
      <c r="F51" s="61">
        <f t="shared" si="109"/>
        <v>318.53399999999999</v>
      </c>
      <c r="G51" s="76">
        <f t="shared" si="80"/>
        <v>324.1746387136169</v>
      </c>
      <c r="I51" s="64">
        <v>5</v>
      </c>
      <c r="J51" s="76">
        <f t="shared" si="81"/>
        <v>5.0885406065540399</v>
      </c>
      <c r="L51" s="61">
        <f>K51+I51</f>
        <v>5</v>
      </c>
      <c r="M51" s="429">
        <f t="shared" si="82"/>
        <v>5.0885406065540399</v>
      </c>
      <c r="N51" s="64"/>
      <c r="O51" s="76">
        <f t="shared" si="92"/>
        <v>1</v>
      </c>
      <c r="P51" s="57">
        <f t="shared" si="110"/>
        <v>323.53399999999999</v>
      </c>
      <c r="Q51" s="432">
        <f t="shared" si="111"/>
        <v>328.26317932017093</v>
      </c>
      <c r="R51" s="5"/>
      <c r="S51" s="8">
        <v>2040</v>
      </c>
      <c r="T51" s="21">
        <f t="shared" ref="T51:AE51" si="118">($P64)*T$3</f>
        <v>271.6221180273734</v>
      </c>
      <c r="U51" s="21">
        <f t="shared" si="118"/>
        <v>291.65524765883299</v>
      </c>
      <c r="V51" s="21">
        <f t="shared" si="118"/>
        <v>289.51733351213386</v>
      </c>
      <c r="W51" s="21">
        <f t="shared" si="118"/>
        <v>319.20409615231671</v>
      </c>
      <c r="X51" s="21">
        <f t="shared" si="118"/>
        <v>316.26071034831511</v>
      </c>
      <c r="Y51" s="21">
        <f t="shared" si="118"/>
        <v>299.27769324799687</v>
      </c>
      <c r="Z51" s="21">
        <f t="shared" si="118"/>
        <v>306.33049186578842</v>
      </c>
      <c r="AA51" s="21">
        <f t="shared" si="118"/>
        <v>292.26046596170852</v>
      </c>
      <c r="AB51" s="21">
        <f t="shared" si="118"/>
        <v>297.55784228855566</v>
      </c>
      <c r="AC51" s="21">
        <f t="shared" si="118"/>
        <v>279.72196449945352</v>
      </c>
      <c r="AD51" s="21">
        <f t="shared" si="118"/>
        <v>283.53177851942667</v>
      </c>
      <c r="AE51" s="21">
        <f t="shared" si="118"/>
        <v>263.46825791809829</v>
      </c>
      <c r="AF51" s="1005">
        <f t="shared" si="96"/>
        <v>292.53399999999993</v>
      </c>
      <c r="AG51" s="85">
        <v>2040</v>
      </c>
      <c r="AH51" s="433">
        <f t="shared" ref="AH51:AS51" si="119">ROUND(T51/$R24,0)</f>
        <v>276</v>
      </c>
      <c r="AI51" s="434">
        <f t="shared" si="119"/>
        <v>296</v>
      </c>
      <c r="AJ51" s="434">
        <f t="shared" si="119"/>
        <v>294</v>
      </c>
      <c r="AK51" s="434">
        <f t="shared" si="119"/>
        <v>324</v>
      </c>
      <c r="AL51" s="434">
        <f t="shared" si="119"/>
        <v>321</v>
      </c>
      <c r="AM51" s="434">
        <f t="shared" si="119"/>
        <v>304</v>
      </c>
      <c r="AN51" s="434">
        <f t="shared" si="119"/>
        <v>311</v>
      </c>
      <c r="AO51" s="433">
        <f t="shared" si="119"/>
        <v>297</v>
      </c>
      <c r="AP51" s="434">
        <f t="shared" si="119"/>
        <v>302</v>
      </c>
      <c r="AQ51" s="434">
        <f t="shared" si="119"/>
        <v>284</v>
      </c>
      <c r="AR51" s="434">
        <f t="shared" si="119"/>
        <v>288</v>
      </c>
      <c r="AS51" s="434">
        <f t="shared" si="119"/>
        <v>268</v>
      </c>
      <c r="AT51" s="1005">
        <f t="shared" si="98"/>
        <v>297.08333333333331</v>
      </c>
      <c r="BJ51" s="40"/>
      <c r="BK51" s="40"/>
      <c r="BL51" s="40"/>
      <c r="BM51" s="40"/>
      <c r="BN51" s="40"/>
      <c r="BO51" s="40"/>
    </row>
    <row r="52" spans="1:70">
      <c r="A52" s="41"/>
      <c r="B52" s="56">
        <v>2028</v>
      </c>
      <c r="C52" s="58">
        <f t="shared" si="86"/>
        <v>237.53399999999999</v>
      </c>
      <c r="D52" s="65">
        <f t="shared" si="89"/>
        <v>80</v>
      </c>
      <c r="E52" s="56"/>
      <c r="F52" s="61">
        <f t="shared" si="109"/>
        <v>317.53399999999999</v>
      </c>
      <c r="G52" s="76">
        <f t="shared" si="80"/>
        <v>323.15693059230608</v>
      </c>
      <c r="I52" s="64">
        <v>5</v>
      </c>
      <c r="J52" s="76">
        <f t="shared" si="81"/>
        <v>5.0885406065540399</v>
      </c>
      <c r="L52" s="61">
        <f>K52+I52</f>
        <v>5</v>
      </c>
      <c r="M52" s="429">
        <f t="shared" si="82"/>
        <v>5.0885406065540399</v>
      </c>
      <c r="N52" s="64"/>
      <c r="O52" s="76">
        <f t="shared" si="92"/>
        <v>1</v>
      </c>
      <c r="P52" s="57">
        <f t="shared" si="110"/>
        <v>322.53399999999999</v>
      </c>
      <c r="Q52" s="432">
        <f t="shared" si="111"/>
        <v>327.24547119886012</v>
      </c>
      <c r="R52" s="10"/>
      <c r="BJ52" s="40"/>
      <c r="BK52" s="40"/>
      <c r="BL52" s="40"/>
      <c r="BM52" s="40"/>
      <c r="BN52" s="40"/>
      <c r="BO52" s="40"/>
    </row>
    <row r="53" spans="1:70">
      <c r="A53" s="41"/>
      <c r="B53" s="55">
        <v>2029</v>
      </c>
      <c r="C53" s="58">
        <f t="shared" si="86"/>
        <v>237.53399999999999</v>
      </c>
      <c r="D53" s="65">
        <f t="shared" si="89"/>
        <v>81</v>
      </c>
      <c r="E53" s="56"/>
      <c r="F53" s="61">
        <f t="shared" si="109"/>
        <v>318.53399999999999</v>
      </c>
      <c r="G53" s="76">
        <f t="shared" si="80"/>
        <v>324.1746387136169</v>
      </c>
      <c r="I53" s="64">
        <v>5</v>
      </c>
      <c r="J53" s="76">
        <f t="shared" si="81"/>
        <v>5.0885406065540399</v>
      </c>
      <c r="L53" s="61">
        <f>K53+I53</f>
        <v>5</v>
      </c>
      <c r="M53" s="429">
        <f t="shared" si="82"/>
        <v>5.0885406065540399</v>
      </c>
      <c r="N53" s="64"/>
      <c r="O53" s="76">
        <f t="shared" si="92"/>
        <v>1</v>
      </c>
      <c r="P53" s="57">
        <f t="shared" si="110"/>
        <v>323.53399999999999</v>
      </c>
      <c r="Q53" s="432">
        <f t="shared" si="111"/>
        <v>328.26317932017093</v>
      </c>
      <c r="R53" s="12"/>
      <c r="BJ53" s="40"/>
      <c r="BK53" s="40"/>
      <c r="BL53" s="40"/>
      <c r="BM53" s="40"/>
      <c r="BN53" s="40"/>
      <c r="BO53" s="40"/>
    </row>
    <row r="54" spans="1:70">
      <c r="A54" s="41"/>
      <c r="B54" s="56">
        <v>2030</v>
      </c>
      <c r="C54" s="58">
        <f t="shared" si="86"/>
        <v>237.53399999999999</v>
      </c>
      <c r="D54" s="65">
        <f t="shared" si="89"/>
        <v>81</v>
      </c>
      <c r="E54" s="56"/>
      <c r="F54" s="61">
        <f t="shared" si="109"/>
        <v>318.53399999999999</v>
      </c>
      <c r="G54" s="76">
        <f t="shared" si="80"/>
        <v>324.1746387136169</v>
      </c>
      <c r="I54" s="64">
        <v>5</v>
      </c>
      <c r="J54" s="76">
        <f t="shared" si="81"/>
        <v>5.0885406065540399</v>
      </c>
      <c r="L54" s="61">
        <f>K54+I54</f>
        <v>5</v>
      </c>
      <c r="M54" s="429">
        <f t="shared" si="82"/>
        <v>5.0885406065540399</v>
      </c>
      <c r="N54" s="64"/>
      <c r="O54" s="76">
        <f t="shared" si="92"/>
        <v>1</v>
      </c>
      <c r="P54" s="57">
        <f t="shared" si="110"/>
        <v>323.53399999999999</v>
      </c>
      <c r="Q54" s="432">
        <f t="shared" si="111"/>
        <v>328.26317932017093</v>
      </c>
      <c r="R54" s="14"/>
      <c r="BJ54" s="40"/>
      <c r="BK54" s="40"/>
      <c r="BL54" s="40"/>
      <c r="BM54" s="40"/>
      <c r="BN54" s="40"/>
      <c r="BO54" s="40"/>
    </row>
    <row r="55" spans="1:70">
      <c r="A55" s="41"/>
      <c r="B55" s="55">
        <v>2031</v>
      </c>
      <c r="C55" s="58">
        <f t="shared" si="86"/>
        <v>237.53399999999999</v>
      </c>
      <c r="D55" s="65">
        <f t="shared" si="89"/>
        <v>65</v>
      </c>
      <c r="E55" s="41"/>
      <c r="F55" s="61">
        <f t="shared" ref="F55:F64" si="120">C55+D55</f>
        <v>302.53399999999999</v>
      </c>
      <c r="G55" s="76">
        <f t="shared" si="80"/>
        <v>307.89130877264398</v>
      </c>
      <c r="H55" s="40"/>
      <c r="I55" s="64">
        <v>5</v>
      </c>
      <c r="J55" s="76">
        <f t="shared" si="81"/>
        <v>5.0885406065540399</v>
      </c>
      <c r="K55" s="41"/>
      <c r="L55" s="61">
        <f t="shared" ref="L55:L64" si="121">K55+I55</f>
        <v>5</v>
      </c>
      <c r="M55" s="429">
        <f t="shared" si="82"/>
        <v>5.0885406065540399</v>
      </c>
      <c r="N55" s="64"/>
      <c r="O55" s="76">
        <f t="shared" si="92"/>
        <v>1</v>
      </c>
      <c r="P55" s="57">
        <f t="shared" ref="P55:P64" si="122">F55+L55-N55</f>
        <v>307.53399999999999</v>
      </c>
      <c r="Q55" s="432">
        <f t="shared" ref="Q55:Q64" si="123">G55+J55-O55</f>
        <v>311.97984937919801</v>
      </c>
      <c r="R55" s="16"/>
      <c r="BJ55" s="40"/>
      <c r="BK55" s="40"/>
      <c r="BL55" s="40"/>
      <c r="BM55" s="40"/>
      <c r="BN55" s="40"/>
      <c r="BO55" s="40"/>
    </row>
    <row r="56" spans="1:70">
      <c r="A56" s="41"/>
      <c r="B56" s="56">
        <v>2032</v>
      </c>
      <c r="C56" s="58">
        <f t="shared" si="86"/>
        <v>237.53399999999999</v>
      </c>
      <c r="D56" s="65">
        <f t="shared" si="89"/>
        <v>50</v>
      </c>
      <c r="E56" s="41"/>
      <c r="F56" s="61">
        <f t="shared" si="120"/>
        <v>287.53399999999999</v>
      </c>
      <c r="G56" s="76">
        <f t="shared" si="80"/>
        <v>292.62568695298188</v>
      </c>
      <c r="H56" s="40"/>
      <c r="I56" s="64">
        <v>5</v>
      </c>
      <c r="J56" s="76">
        <f t="shared" si="81"/>
        <v>5.0885406065540399</v>
      </c>
      <c r="K56" s="41"/>
      <c r="L56" s="61">
        <f t="shared" si="121"/>
        <v>5</v>
      </c>
      <c r="M56" s="429">
        <f t="shared" si="82"/>
        <v>5.0885406065540399</v>
      </c>
      <c r="N56" s="64"/>
      <c r="O56" s="76">
        <f t="shared" si="92"/>
        <v>1</v>
      </c>
      <c r="P56" s="57">
        <f t="shared" si="122"/>
        <v>292.53399999999999</v>
      </c>
      <c r="Q56" s="432">
        <f t="shared" si="123"/>
        <v>296.71422755953591</v>
      </c>
      <c r="R56" s="18"/>
      <c r="U56" s="8">
        <f t="shared" ref="U56:AE56" si="124">AVERAGE(U64:U67)/AVERAGE($T64:$T67)</f>
        <v>0.93187040344317962</v>
      </c>
      <c r="V56" s="8">
        <f t="shared" si="124"/>
        <v>1.173558571842451</v>
      </c>
      <c r="W56" s="8">
        <f t="shared" si="124"/>
        <v>0.95174872429167257</v>
      </c>
      <c r="X56" s="8">
        <f t="shared" si="124"/>
        <v>1.0022848221570753</v>
      </c>
      <c r="Y56" s="8">
        <f t="shared" si="124"/>
        <v>0.93295863397579781</v>
      </c>
      <c r="Z56" s="8">
        <f t="shared" si="124"/>
        <v>0.99198611260308733</v>
      </c>
      <c r="AA56" s="8">
        <f t="shared" si="124"/>
        <v>1.0441043214483361</v>
      </c>
      <c r="AB56" s="8">
        <f t="shared" si="124"/>
        <v>0.9889878621355791</v>
      </c>
      <c r="AC56" s="8">
        <f t="shared" si="124"/>
        <v>1.0113310957359649</v>
      </c>
      <c r="AD56" s="8">
        <f t="shared" si="124"/>
        <v>1.1409317795355383</v>
      </c>
      <c r="AE56" s="8">
        <f t="shared" si="124"/>
        <v>0.9381019655938011</v>
      </c>
    </row>
    <row r="57" spans="1:70">
      <c r="A57" s="41"/>
      <c r="B57" s="55">
        <v>2033</v>
      </c>
      <c r="C57" s="58">
        <f t="shared" si="86"/>
        <v>237.53399999999999</v>
      </c>
      <c r="D57" s="65">
        <f t="shared" si="89"/>
        <v>50</v>
      </c>
      <c r="E57" s="41"/>
      <c r="F57" s="61">
        <f t="shared" si="120"/>
        <v>287.53399999999999</v>
      </c>
      <c r="G57" s="76">
        <f t="shared" si="80"/>
        <v>292.62568695298188</v>
      </c>
      <c r="H57" s="40"/>
      <c r="I57" s="64">
        <v>5</v>
      </c>
      <c r="J57" s="76">
        <f t="shared" si="81"/>
        <v>5.0885406065540399</v>
      </c>
      <c r="K57" s="41"/>
      <c r="L57" s="61">
        <f t="shared" si="121"/>
        <v>5</v>
      </c>
      <c r="M57" s="429">
        <f t="shared" si="82"/>
        <v>5.0885406065540399</v>
      </c>
      <c r="N57" s="64"/>
      <c r="O57" s="76">
        <f t="shared" si="92"/>
        <v>1</v>
      </c>
      <c r="P57" s="57">
        <f t="shared" si="122"/>
        <v>292.53399999999999</v>
      </c>
      <c r="Q57" s="432">
        <f t="shared" si="123"/>
        <v>296.71422755953591</v>
      </c>
      <c r="R57" s="20"/>
      <c r="S57" s="314" t="s">
        <v>332</v>
      </c>
      <c r="AG57" s="87"/>
      <c r="AH57" s="88"/>
      <c r="AI57" s="88"/>
      <c r="AJ57" s="89"/>
      <c r="AK57" s="84"/>
      <c r="AL57" s="90"/>
      <c r="AM57" s="89"/>
      <c r="AN57" s="88"/>
      <c r="AO57" s="90"/>
      <c r="AP57" s="84"/>
      <c r="AQ57" s="89"/>
      <c r="AR57" s="84"/>
      <c r="AS57" s="89"/>
      <c r="AT57" s="40"/>
      <c r="AU57" s="41"/>
      <c r="AV57" s="41"/>
      <c r="AW57" s="41"/>
      <c r="AX57" s="41"/>
      <c r="AY57" s="16"/>
      <c r="AZ57" s="41"/>
      <c r="BA57" s="42"/>
      <c r="BB57" s="41"/>
      <c r="BC57" s="41"/>
      <c r="BD57" s="42"/>
      <c r="BE57" s="41"/>
      <c r="BF57" s="41"/>
      <c r="BG57" s="41"/>
      <c r="BH57" s="16"/>
      <c r="BI57" s="40"/>
    </row>
    <row r="58" spans="1:70" ht="11.25" customHeight="1">
      <c r="A58" s="41"/>
      <c r="B58" s="56">
        <v>2034</v>
      </c>
      <c r="C58" s="58">
        <f t="shared" si="86"/>
        <v>237.53399999999999</v>
      </c>
      <c r="D58" s="65">
        <f t="shared" si="89"/>
        <v>50</v>
      </c>
      <c r="E58" s="41"/>
      <c r="F58" s="61">
        <f t="shared" si="120"/>
        <v>287.53399999999999</v>
      </c>
      <c r="G58" s="76">
        <f t="shared" si="80"/>
        <v>292.62568695298188</v>
      </c>
      <c r="H58" s="40"/>
      <c r="I58" s="64">
        <v>5</v>
      </c>
      <c r="J58" s="76">
        <f t="shared" si="81"/>
        <v>5.0885406065540399</v>
      </c>
      <c r="K58" s="41"/>
      <c r="L58" s="61">
        <f t="shared" si="121"/>
        <v>5</v>
      </c>
      <c r="M58" s="429">
        <f t="shared" si="82"/>
        <v>5.0885406065540399</v>
      </c>
      <c r="N58" s="64"/>
      <c r="O58" s="76">
        <f t="shared" si="92"/>
        <v>1</v>
      </c>
      <c r="P58" s="57">
        <f t="shared" si="122"/>
        <v>292.53399999999999</v>
      </c>
      <c r="Q58" s="432">
        <f t="shared" si="123"/>
        <v>296.71422755953591</v>
      </c>
      <c r="R58" s="20"/>
      <c r="S58" s="935" t="s">
        <v>426</v>
      </c>
      <c r="T58" s="934"/>
      <c r="U58" s="934"/>
      <c r="V58" s="934"/>
      <c r="W58" s="934"/>
      <c r="Y58" s="23"/>
      <c r="Z58" s="23"/>
      <c r="AA58" s="23"/>
      <c r="AB58" s="23"/>
      <c r="AC58" s="23"/>
      <c r="AD58" s="23"/>
      <c r="AE58" s="23"/>
      <c r="AF58" s="23"/>
      <c r="AG58" s="13"/>
      <c r="AH58" s="41"/>
      <c r="AI58" s="41"/>
      <c r="AJ58" s="16"/>
      <c r="AK58" s="40"/>
      <c r="AL58" s="42"/>
      <c r="AM58" s="16"/>
      <c r="AN58" s="41"/>
      <c r="AO58" s="42"/>
      <c r="AP58" s="40"/>
      <c r="AQ58" s="16"/>
      <c r="AR58" s="40"/>
      <c r="AS58" s="16"/>
      <c r="AT58" s="40"/>
      <c r="AU58" s="41"/>
      <c r="AV58" s="41"/>
      <c r="AW58" s="41"/>
      <c r="AX58" s="41"/>
      <c r="AY58" s="16"/>
      <c r="AZ58" s="41"/>
      <c r="BA58" s="42"/>
      <c r="BB58" s="41"/>
      <c r="BC58" s="41"/>
      <c r="BD58" s="42"/>
      <c r="BE58" s="41"/>
      <c r="BF58" s="41"/>
      <c r="BG58" s="41"/>
      <c r="BH58" s="16"/>
      <c r="BI58" s="40"/>
    </row>
    <row r="59" spans="1:70" ht="11.25" customHeight="1">
      <c r="A59" s="41"/>
      <c r="B59" s="55">
        <v>2035</v>
      </c>
      <c r="C59" s="58">
        <f t="shared" si="86"/>
        <v>237.53399999999999</v>
      </c>
      <c r="D59" s="65">
        <f t="shared" si="89"/>
        <v>50</v>
      </c>
      <c r="E59" s="41"/>
      <c r="F59" s="61">
        <f t="shared" si="120"/>
        <v>287.53399999999999</v>
      </c>
      <c r="G59" s="76">
        <f t="shared" si="80"/>
        <v>292.62568695298188</v>
      </c>
      <c r="H59" s="40"/>
      <c r="I59" s="64">
        <v>5</v>
      </c>
      <c r="J59" s="76">
        <f t="shared" si="81"/>
        <v>5.0885406065540399</v>
      </c>
      <c r="K59" s="41"/>
      <c r="L59" s="61">
        <f t="shared" si="121"/>
        <v>5</v>
      </c>
      <c r="M59" s="429">
        <f t="shared" si="82"/>
        <v>5.0885406065540399</v>
      </c>
      <c r="N59" s="64"/>
      <c r="O59" s="76">
        <f t="shared" si="92"/>
        <v>1</v>
      </c>
      <c r="P59" s="57">
        <f t="shared" si="122"/>
        <v>292.53399999999999</v>
      </c>
      <c r="Q59" s="432">
        <f t="shared" si="123"/>
        <v>296.71422755953591</v>
      </c>
      <c r="R59" s="20"/>
      <c r="S59" s="319" t="s">
        <v>253</v>
      </c>
      <c r="T59" s="8" t="s">
        <v>28</v>
      </c>
      <c r="U59" s="8" t="s">
        <v>29</v>
      </c>
      <c r="V59" s="8" t="s">
        <v>30</v>
      </c>
      <c r="W59" s="8" t="s">
        <v>31</v>
      </c>
      <c r="X59" s="8" t="s">
        <v>32</v>
      </c>
      <c r="Y59" s="8" t="s">
        <v>33</v>
      </c>
      <c r="Z59" s="8" t="s">
        <v>34</v>
      </c>
      <c r="AA59" s="8" t="s">
        <v>35</v>
      </c>
      <c r="AB59" s="8" t="s">
        <v>36</v>
      </c>
      <c r="AC59" s="8" t="s">
        <v>37</v>
      </c>
      <c r="AD59" s="8" t="s">
        <v>38</v>
      </c>
      <c r="AE59" s="8" t="s">
        <v>39</v>
      </c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40"/>
      <c r="AU59" s="41"/>
      <c r="AV59" s="41"/>
      <c r="AW59" s="41"/>
      <c r="AX59" s="41"/>
      <c r="AY59" s="16"/>
      <c r="AZ59" s="41"/>
      <c r="BA59" s="42"/>
      <c r="BB59" s="41"/>
      <c r="BC59" s="41"/>
      <c r="BD59" s="42"/>
      <c r="BE59" s="41"/>
      <c r="BF59" s="41"/>
      <c r="BG59" s="41"/>
      <c r="BH59" s="16"/>
      <c r="BI59" s="40"/>
    </row>
    <row r="60" spans="1:70" ht="11.25" customHeight="1">
      <c r="A60" s="41"/>
      <c r="B60" s="56">
        <v>2036</v>
      </c>
      <c r="C60" s="58">
        <f t="shared" si="86"/>
        <v>237.53399999999999</v>
      </c>
      <c r="D60" s="65">
        <f t="shared" si="89"/>
        <v>50</v>
      </c>
      <c r="E60" s="41"/>
      <c r="F60" s="61">
        <f t="shared" si="120"/>
        <v>287.53399999999999</v>
      </c>
      <c r="G60" s="76">
        <f t="shared" si="80"/>
        <v>292.62568695298188</v>
      </c>
      <c r="H60" s="40"/>
      <c r="I60" s="64">
        <v>5</v>
      </c>
      <c r="J60" s="76">
        <f t="shared" si="81"/>
        <v>5.0885406065540399</v>
      </c>
      <c r="K60" s="41"/>
      <c r="L60" s="61">
        <f t="shared" si="121"/>
        <v>5</v>
      </c>
      <c r="M60" s="429">
        <f t="shared" si="82"/>
        <v>5.0885406065540399</v>
      </c>
      <c r="N60" s="64"/>
      <c r="O60" s="76">
        <f t="shared" si="92"/>
        <v>1</v>
      </c>
      <c r="P60" s="57">
        <f t="shared" si="122"/>
        <v>292.53399999999999</v>
      </c>
      <c r="Q60" s="432">
        <f t="shared" si="123"/>
        <v>296.71422755953591</v>
      </c>
      <c r="R60" s="20"/>
      <c r="S60" s="56">
        <f t="shared" ref="S60:S92" si="125">S9</f>
        <v>1998</v>
      </c>
      <c r="T60" s="313">
        <v>314.8</v>
      </c>
      <c r="U60" s="313">
        <v>314.9666666666667</v>
      </c>
      <c r="V60" s="671">
        <v>315.13333333333338</v>
      </c>
      <c r="W60" s="313">
        <v>315.30000000000007</v>
      </c>
      <c r="X60" s="313">
        <v>315.46666666666675</v>
      </c>
      <c r="Y60" s="313">
        <v>315.63333333333344</v>
      </c>
      <c r="Z60" s="313">
        <v>315.80000000000013</v>
      </c>
      <c r="AA60" s="313">
        <v>315.96666666666681</v>
      </c>
      <c r="AB60" s="313">
        <v>316.1333333333335</v>
      </c>
      <c r="AC60" s="313">
        <v>316.30000000000018</v>
      </c>
      <c r="AD60" s="313">
        <v>316.46666666666687</v>
      </c>
      <c r="AE60" s="313">
        <v>316.63333333333355</v>
      </c>
      <c r="AF60" s="17"/>
      <c r="AG60" s="8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40"/>
      <c r="AU60" s="41"/>
      <c r="AV60" s="41"/>
      <c r="AW60" s="41"/>
      <c r="AX60" s="41"/>
      <c r="AY60" s="16"/>
      <c r="AZ60" s="41"/>
      <c r="BA60" s="42"/>
      <c r="BB60" s="41"/>
      <c r="BC60" s="41"/>
      <c r="BD60" s="42"/>
      <c r="BE60" s="41"/>
      <c r="BF60" s="41"/>
      <c r="BG60" s="41"/>
      <c r="BH60" s="16"/>
      <c r="BI60" s="40"/>
    </row>
    <row r="61" spans="1:70" ht="11.25" customHeight="1">
      <c r="A61" s="41"/>
      <c r="B61" s="55">
        <v>2037</v>
      </c>
      <c r="C61" s="58">
        <f t="shared" si="86"/>
        <v>237.53399999999999</v>
      </c>
      <c r="D61" s="65">
        <f t="shared" si="89"/>
        <v>50</v>
      </c>
      <c r="E61" s="41"/>
      <c r="F61" s="61">
        <f t="shared" si="120"/>
        <v>287.53399999999999</v>
      </c>
      <c r="G61" s="76">
        <f t="shared" si="80"/>
        <v>292.62568695298188</v>
      </c>
      <c r="H61" s="40"/>
      <c r="I61" s="64">
        <v>5</v>
      </c>
      <c r="J61" s="76">
        <f t="shared" si="81"/>
        <v>5.0885406065540399</v>
      </c>
      <c r="K61" s="41"/>
      <c r="L61" s="61">
        <f t="shared" si="121"/>
        <v>5</v>
      </c>
      <c r="M61" s="429">
        <f t="shared" si="82"/>
        <v>5.0885406065540399</v>
      </c>
      <c r="N61" s="64"/>
      <c r="O61" s="76">
        <f t="shared" si="92"/>
        <v>1</v>
      </c>
      <c r="P61" s="57">
        <f t="shared" si="122"/>
        <v>292.53399999999999</v>
      </c>
      <c r="Q61" s="432">
        <f t="shared" si="123"/>
        <v>296.71422755953591</v>
      </c>
      <c r="R61" s="20"/>
      <c r="S61" s="56">
        <f t="shared" si="125"/>
        <v>1999</v>
      </c>
      <c r="T61" s="313">
        <v>316.8</v>
      </c>
      <c r="U61" s="313">
        <v>309.06666666666666</v>
      </c>
      <c r="V61" s="313">
        <v>301.33333333333331</v>
      </c>
      <c r="W61" s="313">
        <v>293.59999999999997</v>
      </c>
      <c r="X61" s="313">
        <v>285.86666666666662</v>
      </c>
      <c r="Y61" s="313">
        <v>278.13333333333327</v>
      </c>
      <c r="Z61" s="313">
        <v>270.39999999999992</v>
      </c>
      <c r="AA61" s="313">
        <v>262.66666666666657</v>
      </c>
      <c r="AB61" s="313">
        <v>254.93333333333322</v>
      </c>
      <c r="AC61" s="313">
        <v>247.19999999999987</v>
      </c>
      <c r="AD61" s="313">
        <v>239.46666666666653</v>
      </c>
      <c r="AE61" s="313">
        <v>231.73333333333318</v>
      </c>
      <c r="AF61" s="17"/>
      <c r="AG61" s="8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40"/>
      <c r="AU61" s="41"/>
      <c r="AV61" s="41"/>
      <c r="AW61" s="41"/>
      <c r="AX61" s="41"/>
      <c r="AY61" s="16"/>
      <c r="AZ61" s="41"/>
      <c r="BA61" s="42"/>
      <c r="BB61" s="41"/>
      <c r="BC61" s="41"/>
      <c r="BD61" s="42"/>
      <c r="BE61" s="41"/>
      <c r="BF61" s="41"/>
      <c r="BG61" s="41"/>
      <c r="BH61" s="16"/>
      <c r="BI61" s="40"/>
    </row>
    <row r="62" spans="1:70" ht="11.25" customHeight="1">
      <c r="A62" s="41"/>
      <c r="B62" s="56">
        <v>2038</v>
      </c>
      <c r="C62" s="58">
        <f t="shared" si="86"/>
        <v>237.53399999999999</v>
      </c>
      <c r="D62" s="65">
        <f t="shared" si="89"/>
        <v>50</v>
      </c>
      <c r="E62" s="41"/>
      <c r="F62" s="61">
        <f t="shared" si="120"/>
        <v>287.53399999999999</v>
      </c>
      <c r="G62" s="76">
        <f t="shared" si="80"/>
        <v>292.62568695298188</v>
      </c>
      <c r="H62" s="40"/>
      <c r="I62" s="64">
        <v>5</v>
      </c>
      <c r="J62" s="76">
        <f t="shared" si="81"/>
        <v>5.0885406065540399</v>
      </c>
      <c r="K62" s="41"/>
      <c r="L62" s="61">
        <f t="shared" si="121"/>
        <v>5</v>
      </c>
      <c r="M62" s="429">
        <f t="shared" si="82"/>
        <v>5.0885406065540399</v>
      </c>
      <c r="N62" s="64"/>
      <c r="O62" s="76">
        <f t="shared" si="92"/>
        <v>1</v>
      </c>
      <c r="P62" s="57">
        <f t="shared" si="122"/>
        <v>292.53399999999999</v>
      </c>
      <c r="Q62" s="432">
        <f t="shared" si="123"/>
        <v>296.71422755953591</v>
      </c>
      <c r="R62" s="20"/>
      <c r="S62" s="56">
        <f t="shared" si="125"/>
        <v>2000</v>
      </c>
      <c r="T62" s="671">
        <v>226</v>
      </c>
      <c r="U62" s="313">
        <v>284</v>
      </c>
      <c r="V62" s="313">
        <v>311</v>
      </c>
      <c r="W62" s="313">
        <v>288</v>
      </c>
      <c r="X62" s="313">
        <v>294</v>
      </c>
      <c r="Y62" s="313">
        <v>266</v>
      </c>
      <c r="Z62" s="313">
        <v>217</v>
      </c>
      <c r="AA62" s="313">
        <v>282</v>
      </c>
      <c r="AB62" s="313">
        <v>289</v>
      </c>
      <c r="AC62" s="313">
        <v>233</v>
      </c>
      <c r="AD62" s="313">
        <v>289</v>
      </c>
      <c r="AE62" s="313">
        <v>212</v>
      </c>
      <c r="AF62" s="17"/>
      <c r="AG62" s="8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40"/>
      <c r="AU62" s="41"/>
      <c r="AV62" s="41"/>
      <c r="AW62" s="41"/>
      <c r="AX62" s="41"/>
      <c r="AY62" s="16"/>
      <c r="AZ62" s="41"/>
      <c r="BA62" s="42"/>
      <c r="BB62" s="41"/>
      <c r="BC62" s="41"/>
      <c r="BD62" s="42"/>
      <c r="BE62" s="41"/>
      <c r="BF62" s="41"/>
      <c r="BG62" s="41"/>
      <c r="BH62" s="16"/>
      <c r="BI62" s="40"/>
    </row>
    <row r="63" spans="1:70" ht="11.25" customHeight="1">
      <c r="A63" s="41"/>
      <c r="B63" s="55">
        <v>2039</v>
      </c>
      <c r="C63" s="58">
        <f t="shared" si="86"/>
        <v>237.53399999999999</v>
      </c>
      <c r="D63" s="65">
        <f t="shared" si="89"/>
        <v>50</v>
      </c>
      <c r="E63" s="41"/>
      <c r="F63" s="61">
        <f t="shared" si="120"/>
        <v>287.53399999999999</v>
      </c>
      <c r="G63" s="76">
        <f t="shared" si="80"/>
        <v>292.62568695298188</v>
      </c>
      <c r="H63" s="40"/>
      <c r="I63" s="64">
        <v>5</v>
      </c>
      <c r="J63" s="76">
        <f t="shared" si="81"/>
        <v>5.0885406065540399</v>
      </c>
      <c r="K63" s="41"/>
      <c r="L63" s="61">
        <f t="shared" si="121"/>
        <v>5</v>
      </c>
      <c r="M63" s="429">
        <f t="shared" si="82"/>
        <v>5.0885406065540399</v>
      </c>
      <c r="N63" s="64"/>
      <c r="O63" s="76">
        <f t="shared" si="92"/>
        <v>1</v>
      </c>
      <c r="P63" s="57">
        <f t="shared" si="122"/>
        <v>292.53399999999999</v>
      </c>
      <c r="Q63" s="432">
        <f t="shared" si="123"/>
        <v>296.71422755953591</v>
      </c>
      <c r="R63" s="20"/>
      <c r="S63" s="56">
        <f t="shared" si="125"/>
        <v>2001</v>
      </c>
      <c r="T63" s="671">
        <v>60.557519999999997</v>
      </c>
      <c r="U63" s="313">
        <v>290.41343000000001</v>
      </c>
      <c r="V63" s="313">
        <v>287.66907000000003</v>
      </c>
      <c r="W63" s="313">
        <v>266.52168999999998</v>
      </c>
      <c r="X63" s="313">
        <v>283.31709999999998</v>
      </c>
      <c r="Y63" s="313">
        <v>277.75183000000004</v>
      </c>
      <c r="Z63" s="313">
        <v>189.88022000000001</v>
      </c>
      <c r="AA63" s="313">
        <v>255.20636999999999</v>
      </c>
      <c r="AB63" s="313">
        <v>279.03359999999998</v>
      </c>
      <c r="AC63" s="313">
        <v>201.90697</v>
      </c>
      <c r="AD63" s="313">
        <v>302.30781000000002</v>
      </c>
      <c r="AE63" s="313">
        <v>233.30064000000002</v>
      </c>
      <c r="AF63" s="17"/>
      <c r="AG63" s="8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40"/>
      <c r="AU63" s="41"/>
      <c r="AV63" s="41"/>
      <c r="AW63" s="41"/>
      <c r="AX63" s="41"/>
      <c r="AY63" s="16"/>
      <c r="AZ63" s="41"/>
      <c r="BA63" s="42"/>
      <c r="BB63" s="41"/>
      <c r="BC63" s="41"/>
      <c r="BD63" s="42"/>
      <c r="BE63" s="41"/>
      <c r="BF63" s="41"/>
      <c r="BG63" s="41"/>
      <c r="BH63" s="16"/>
      <c r="BI63" s="40"/>
    </row>
    <row r="64" spans="1:70" ht="11.25" customHeight="1">
      <c r="A64" s="41"/>
      <c r="B64" s="56">
        <v>2040</v>
      </c>
      <c r="C64" s="58">
        <f t="shared" si="86"/>
        <v>237.53399999999999</v>
      </c>
      <c r="D64" s="65">
        <f t="shared" si="89"/>
        <v>50</v>
      </c>
      <c r="E64" s="41"/>
      <c r="F64" s="61">
        <f t="shared" si="120"/>
        <v>287.53399999999999</v>
      </c>
      <c r="G64" s="76">
        <f t="shared" si="80"/>
        <v>292.62568695298188</v>
      </c>
      <c r="H64" s="40"/>
      <c r="I64" s="64">
        <v>5</v>
      </c>
      <c r="J64" s="76">
        <f t="shared" si="81"/>
        <v>5.0885406065540399</v>
      </c>
      <c r="K64" s="41"/>
      <c r="L64" s="61">
        <f t="shared" si="121"/>
        <v>5</v>
      </c>
      <c r="M64" s="429">
        <f t="shared" si="82"/>
        <v>5.0885406065540399</v>
      </c>
      <c r="N64" s="64"/>
      <c r="O64" s="76">
        <f t="shared" si="92"/>
        <v>1</v>
      </c>
      <c r="P64" s="57">
        <f t="shared" si="122"/>
        <v>292.53399999999999</v>
      </c>
      <c r="Q64" s="432">
        <f t="shared" si="123"/>
        <v>296.71422755953591</v>
      </c>
      <c r="R64" s="20"/>
      <c r="S64" s="56">
        <f t="shared" si="125"/>
        <v>2002</v>
      </c>
      <c r="T64" s="313">
        <v>269.89999999999998</v>
      </c>
      <c r="U64" s="313">
        <v>277.5</v>
      </c>
      <c r="V64" s="313">
        <v>312.60000000000002</v>
      </c>
      <c r="W64" s="313">
        <v>257</v>
      </c>
      <c r="X64" s="313">
        <v>318.60000000000002</v>
      </c>
      <c r="Y64" s="313">
        <v>258.10000000000002</v>
      </c>
      <c r="Z64" s="313">
        <v>273.2</v>
      </c>
      <c r="AA64" s="313">
        <v>237</v>
      </c>
      <c r="AB64" s="313">
        <v>226.5</v>
      </c>
      <c r="AC64" s="313">
        <v>221.8</v>
      </c>
      <c r="AD64" s="313">
        <v>295.3</v>
      </c>
      <c r="AE64" s="313">
        <v>248.2</v>
      </c>
      <c r="AF64" s="17"/>
      <c r="AG64" s="8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40"/>
      <c r="AU64" s="41"/>
      <c r="AV64" s="41"/>
      <c r="AW64" s="41"/>
      <c r="AX64" s="41"/>
      <c r="AY64" s="16"/>
      <c r="AZ64" s="41"/>
      <c r="BA64" s="42"/>
      <c r="BB64" s="41"/>
      <c r="BC64" s="41"/>
      <c r="BD64" s="42"/>
      <c r="BE64" s="41"/>
      <c r="BF64" s="41"/>
      <c r="BG64" s="41"/>
      <c r="BH64" s="16"/>
      <c r="BI64" s="40"/>
    </row>
    <row r="65" spans="1:61" ht="11.25" customHeight="1">
      <c r="A65" s="41"/>
      <c r="B65" s="41"/>
      <c r="C65" s="41"/>
      <c r="D65" s="40"/>
      <c r="E65" s="41"/>
      <c r="F65" s="40"/>
      <c r="G65" s="40"/>
      <c r="H65" s="40"/>
      <c r="I65" s="40"/>
      <c r="J65" s="40"/>
      <c r="K65" s="41"/>
      <c r="L65" s="41"/>
      <c r="M65" s="41"/>
      <c r="N65" s="40"/>
      <c r="O65" s="40"/>
      <c r="P65" s="53"/>
      <c r="Q65" s="53"/>
      <c r="R65" s="20"/>
      <c r="S65" s="56">
        <f t="shared" si="125"/>
        <v>2003</v>
      </c>
      <c r="T65" s="313">
        <v>237.44130999999999</v>
      </c>
      <c r="U65" s="313">
        <v>218.47255999999999</v>
      </c>
      <c r="V65" s="313">
        <v>291.39598000000001</v>
      </c>
      <c r="W65" s="313">
        <v>206.24360999999999</v>
      </c>
      <c r="X65" s="313">
        <v>241.57883999999999</v>
      </c>
      <c r="Y65" s="313">
        <v>216.98237</v>
      </c>
      <c r="Z65" s="313">
        <v>235.49893</v>
      </c>
      <c r="AA65" s="313">
        <v>252.67121</v>
      </c>
      <c r="AB65" s="313">
        <v>242.80566000000002</v>
      </c>
      <c r="AC65" s="313">
        <v>256.87876999999997</v>
      </c>
      <c r="AD65" s="313">
        <v>291.49516999999997</v>
      </c>
      <c r="AE65" s="313">
        <v>223.01527999999999</v>
      </c>
      <c r="AF65" s="17"/>
      <c r="AG65" s="8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40"/>
      <c r="AU65" s="41"/>
      <c r="AV65" s="41"/>
      <c r="AW65" s="41"/>
      <c r="AX65" s="41"/>
      <c r="AY65" s="16"/>
      <c r="AZ65" s="41"/>
      <c r="BA65" s="42"/>
      <c r="BB65" s="41"/>
      <c r="BC65" s="41"/>
      <c r="BD65" s="42"/>
      <c r="BE65" s="41"/>
      <c r="BF65" s="41"/>
      <c r="BG65" s="41"/>
      <c r="BH65" s="16"/>
      <c r="BI65" s="40"/>
    </row>
    <row r="66" spans="1:61" ht="11.25" customHeight="1">
      <c r="A66" s="41"/>
      <c r="B66" s="41"/>
      <c r="C66" s="41"/>
      <c r="D66" s="40"/>
      <c r="E66" s="41"/>
      <c r="F66" s="40"/>
      <c r="G66" s="40"/>
      <c r="H66" s="40"/>
      <c r="I66" s="40"/>
      <c r="J66" s="40"/>
      <c r="K66" s="41"/>
      <c r="L66" s="41"/>
      <c r="M66" s="41"/>
      <c r="N66" s="40"/>
      <c r="O66" s="40"/>
      <c r="P66" s="53"/>
      <c r="Q66" s="53"/>
      <c r="S66" s="56">
        <f t="shared" si="125"/>
        <v>2004</v>
      </c>
      <c r="T66" s="313">
        <v>296</v>
      </c>
      <c r="U66" s="313">
        <v>253</v>
      </c>
      <c r="V66" s="313">
        <v>320</v>
      </c>
      <c r="W66" s="313">
        <v>221.76485</v>
      </c>
      <c r="X66" s="313">
        <v>249.88807999999997</v>
      </c>
      <c r="Y66" s="313">
        <v>220.83745000000002</v>
      </c>
      <c r="Z66" s="313">
        <v>260.65418</v>
      </c>
      <c r="AA66" s="313">
        <v>329.04073999999997</v>
      </c>
      <c r="AB66" s="313">
        <v>271.81660999999997</v>
      </c>
      <c r="AC66" s="313">
        <v>287.27744999999999</v>
      </c>
      <c r="AD66" s="313">
        <v>332.19585999999998</v>
      </c>
      <c r="AE66" s="313">
        <v>250.90350000000001</v>
      </c>
      <c r="AF66" s="17"/>
      <c r="AG66" s="8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40"/>
      <c r="AU66" s="41"/>
      <c r="AV66" s="41"/>
      <c r="AW66" s="41"/>
      <c r="AX66" s="41"/>
      <c r="AY66" s="16"/>
      <c r="AZ66" s="41"/>
      <c r="BA66" s="42"/>
      <c r="BB66" s="41"/>
      <c r="BC66" s="41"/>
      <c r="BD66" s="42"/>
      <c r="BE66" s="41"/>
      <c r="BF66" s="41"/>
      <c r="BG66" s="41"/>
      <c r="BH66" s="16"/>
      <c r="BI66" s="40"/>
    </row>
    <row r="67" spans="1:61" ht="11.25" customHeight="1">
      <c r="A67" s="41"/>
      <c r="B67" s="41"/>
      <c r="C67" s="41"/>
      <c r="D67" s="40"/>
      <c r="E67" s="41"/>
      <c r="F67" s="40"/>
      <c r="G67" s="40"/>
      <c r="H67" s="40"/>
      <c r="I67" s="40"/>
      <c r="J67" s="40"/>
      <c r="K67" s="41"/>
      <c r="L67" s="41"/>
      <c r="M67" s="41"/>
      <c r="N67" s="40"/>
      <c r="O67" s="40"/>
      <c r="P67" s="48"/>
      <c r="Q67" s="48"/>
      <c r="S67" s="56">
        <f t="shared" si="125"/>
        <v>2005</v>
      </c>
      <c r="T67" s="313">
        <v>272.5061</v>
      </c>
      <c r="U67" s="313">
        <v>253.5778</v>
      </c>
      <c r="V67" s="313">
        <v>338.57396999999997</v>
      </c>
      <c r="W67" s="313">
        <v>338.92793999999998</v>
      </c>
      <c r="X67" s="313">
        <v>268.23860999999999</v>
      </c>
      <c r="Y67" s="313">
        <v>307.80131</v>
      </c>
      <c r="Z67" s="313">
        <v>297.87258000000003</v>
      </c>
      <c r="AA67" s="313">
        <v>304.58497999999997</v>
      </c>
      <c r="AB67" s="313">
        <v>322.87776000000002</v>
      </c>
      <c r="AC67" s="313">
        <v>322.08171999999996</v>
      </c>
      <c r="AD67" s="313">
        <v>308.47746999999998</v>
      </c>
      <c r="AE67" s="313">
        <v>287.13578999999999</v>
      </c>
      <c r="AF67" s="17"/>
      <c r="AG67" s="8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40"/>
      <c r="AU67" s="41"/>
      <c r="AV67" s="40"/>
      <c r="AW67" s="40"/>
      <c r="AX67" s="40"/>
      <c r="AY67" s="40"/>
      <c r="AZ67" s="40"/>
      <c r="BA67" s="43"/>
      <c r="BB67" s="40"/>
      <c r="BC67" s="40"/>
      <c r="BD67" s="40"/>
      <c r="BE67" s="40"/>
      <c r="BF67" s="40"/>
      <c r="BG67" s="40"/>
      <c r="BH67" s="40"/>
      <c r="BI67" s="40"/>
    </row>
    <row r="68" spans="1:61" ht="11.25" customHeight="1">
      <c r="A68" s="41"/>
      <c r="B68" s="41"/>
      <c r="C68" s="41"/>
      <c r="D68" s="40"/>
      <c r="E68" s="41"/>
      <c r="F68" s="40"/>
      <c r="G68" s="40"/>
      <c r="H68" s="40"/>
      <c r="I68" s="40"/>
      <c r="J68" s="40"/>
      <c r="K68" s="41"/>
      <c r="L68" s="41"/>
      <c r="M68" s="41"/>
      <c r="N68" s="40"/>
      <c r="O68" s="40"/>
      <c r="P68" s="48"/>
      <c r="Q68" s="48"/>
      <c r="S68" s="56">
        <f t="shared" si="125"/>
        <v>2006</v>
      </c>
      <c r="T68" s="313">
        <v>226.01998</v>
      </c>
      <c r="U68" s="671">
        <v>249.64815999999999</v>
      </c>
      <c r="V68" s="313">
        <v>300.05759</v>
      </c>
      <c r="W68" s="313">
        <v>335.63094999999998</v>
      </c>
      <c r="X68" s="313">
        <v>256.89690000000002</v>
      </c>
      <c r="Y68" s="313">
        <v>302.91730999999999</v>
      </c>
      <c r="Z68" s="313">
        <v>276.40133000000003</v>
      </c>
      <c r="AA68" s="671">
        <v>290.11653999999999</v>
      </c>
      <c r="AB68" s="313">
        <v>266.85390999999998</v>
      </c>
      <c r="AC68" s="313">
        <v>238.55304999999998</v>
      </c>
      <c r="AD68" s="313">
        <v>303.82024999999999</v>
      </c>
      <c r="AE68" s="313">
        <v>284.41343999999998</v>
      </c>
      <c r="AF68" s="17"/>
      <c r="AG68" s="8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40"/>
      <c r="AU68" s="41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</row>
    <row r="69" spans="1:61" ht="11.25" customHeight="1">
      <c r="A69" s="41"/>
      <c r="B69" s="41"/>
      <c r="C69" s="41"/>
      <c r="D69" s="40"/>
      <c r="E69" s="41"/>
      <c r="F69" s="40"/>
      <c r="G69" s="40"/>
      <c r="H69" s="40"/>
      <c r="I69" s="40"/>
      <c r="J69" s="40"/>
      <c r="K69" s="41"/>
      <c r="L69" s="41"/>
      <c r="M69" s="41"/>
      <c r="N69" s="40"/>
      <c r="O69" s="40"/>
      <c r="P69" s="48"/>
      <c r="Q69" s="48"/>
      <c r="S69" s="804">
        <f t="shared" si="125"/>
        <v>2007</v>
      </c>
      <c r="T69" s="774">
        <v>266.33253000000002</v>
      </c>
      <c r="U69" s="775">
        <v>266.52017999999998</v>
      </c>
      <c r="V69" s="313">
        <v>264.54674999999997</v>
      </c>
      <c r="W69" s="313">
        <v>265.34310999999997</v>
      </c>
      <c r="X69" s="313">
        <v>269.63013000000001</v>
      </c>
      <c r="Y69" s="313">
        <v>240.02107999999998</v>
      </c>
      <c r="Z69" s="313">
        <v>246.29182</v>
      </c>
      <c r="AA69" s="671">
        <v>259.50389999999999</v>
      </c>
      <c r="AB69" s="313">
        <v>278.06289000000004</v>
      </c>
      <c r="AC69" s="313">
        <v>275.05407000000002</v>
      </c>
      <c r="AD69" s="313">
        <v>328.90877</v>
      </c>
      <c r="AE69" s="313">
        <v>321.67712</v>
      </c>
      <c r="AF69" s="17"/>
      <c r="AG69" s="8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U69" s="8"/>
    </row>
    <row r="70" spans="1:61" ht="11.25" customHeight="1">
      <c r="A70" s="41"/>
      <c r="B70" s="41"/>
      <c r="C70" s="41"/>
      <c r="D70" s="40"/>
      <c r="E70" s="41"/>
      <c r="F70" s="40"/>
      <c r="G70" s="40"/>
      <c r="H70" s="40"/>
      <c r="I70" s="40"/>
      <c r="J70" s="40"/>
      <c r="K70" s="41"/>
      <c r="L70" s="41"/>
      <c r="M70" s="41"/>
      <c r="N70" s="40"/>
      <c r="O70" s="40"/>
      <c r="P70" s="48"/>
      <c r="Q70" s="48"/>
      <c r="S70" s="804">
        <f t="shared" si="125"/>
        <v>2008</v>
      </c>
      <c r="T70" s="775">
        <f>[19]IS!$AJ$3</f>
        <v>218.732</v>
      </c>
      <c r="U70" s="774">
        <f>[19]IS!$AJ$4</f>
        <v>272.28500000000003</v>
      </c>
      <c r="V70" s="774">
        <f>[19]IS!$AJ$5</f>
        <v>240.28</v>
      </c>
      <c r="W70" s="774">
        <f>[19]IS!$AJ$6</f>
        <v>286.79899999999998</v>
      </c>
      <c r="X70" s="774">
        <f>[19]IS!$AJ$7</f>
        <v>259.33300000000003</v>
      </c>
      <c r="Y70" s="774">
        <f>[19]IS!$AJ$8</f>
        <v>307.21699999999998</v>
      </c>
      <c r="Z70" s="774">
        <f>[19]IS!$AJ$9</f>
        <v>298.065</v>
      </c>
      <c r="AA70" s="775">
        <f>[19]IS!$AJ$10</f>
        <v>307.21699999999998</v>
      </c>
      <c r="AB70" s="774">
        <f>[19]IS!$AJ$11</f>
        <v>313.29300000000001</v>
      </c>
      <c r="AC70" s="774">
        <f>[19]IS!$AJ$12</f>
        <v>243.70400000000001</v>
      </c>
      <c r="AD70" s="774">
        <f>[19]IS!$AJ$13</f>
        <v>202.41499999999999</v>
      </c>
      <c r="AE70" s="774">
        <f>[19]IS!$AJ$14</f>
        <v>228.57300000000001</v>
      </c>
      <c r="AF70" s="17"/>
      <c r="AG70" s="8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U70" s="8"/>
    </row>
    <row r="71" spans="1:61" ht="11.25" customHeight="1">
      <c r="A71" s="52"/>
      <c r="B71" s="41"/>
      <c r="C71" s="41"/>
      <c r="D71" s="40"/>
      <c r="E71" s="41"/>
      <c r="F71" s="40"/>
      <c r="G71" s="40"/>
      <c r="H71" s="40"/>
      <c r="I71" s="40"/>
      <c r="J71" s="40"/>
      <c r="K71" s="41"/>
      <c r="L71" s="41"/>
      <c r="M71" s="41"/>
      <c r="N71" s="40"/>
      <c r="O71" s="40"/>
      <c r="P71" s="48"/>
      <c r="Q71" s="48"/>
      <c r="S71" s="804">
        <f t="shared" si="125"/>
        <v>2009</v>
      </c>
      <c r="T71" s="774">
        <f>[20]IS!$AJ$3</f>
        <v>217.79599999999999</v>
      </c>
      <c r="U71" s="775">
        <f>[20]IS!$AJ$4</f>
        <v>238.40799999999999</v>
      </c>
      <c r="V71" s="965">
        <f>[20]IS!$AJ$5</f>
        <v>199.68299999999999</v>
      </c>
      <c r="W71" s="805">
        <f>[20]IS!$AJ$6</f>
        <v>245.18600000000001</v>
      </c>
      <c r="X71" s="805">
        <f>[20]IS!$AJ$7</f>
        <v>274.83</v>
      </c>
      <c r="Y71" s="966">
        <f>[20]IS!$AJ$8</f>
        <v>224.19399999999999</v>
      </c>
      <c r="Z71" s="805">
        <f>[20]IS!$AJ$9</f>
        <v>296.62400000000002</v>
      </c>
      <c r="AA71" s="805">
        <f>[20]IS!$AJ$10</f>
        <v>227.83600000000001</v>
      </c>
      <c r="AB71" s="805">
        <f>[20]IS!$AJ$11</f>
        <v>227.58600000000001</v>
      </c>
      <c r="AC71" s="805">
        <f>[20]IS!$AJ$12</f>
        <v>213.91</v>
      </c>
      <c r="AD71" s="805">
        <f>[20]IS!$AJ$13</f>
        <v>220.38499999999999</v>
      </c>
      <c r="AE71" s="805">
        <f>[20]IS!$AJ$14</f>
        <v>119.36799999999999</v>
      </c>
      <c r="AF71" s="17"/>
      <c r="AG71" s="8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U71" s="8"/>
    </row>
    <row r="72" spans="1:61" ht="11.25" customHeight="1">
      <c r="A72" s="41"/>
      <c r="B72" s="41"/>
      <c r="C72" s="41"/>
      <c r="D72" s="40"/>
      <c r="E72" s="41"/>
      <c r="F72" s="40"/>
      <c r="G72" s="40"/>
      <c r="H72" s="40"/>
      <c r="I72" s="40"/>
      <c r="J72" s="40"/>
      <c r="K72" s="41"/>
      <c r="L72" s="41"/>
      <c r="M72" s="41"/>
      <c r="N72" s="40"/>
      <c r="O72" s="40"/>
      <c r="P72" s="48"/>
      <c r="Q72" s="48"/>
      <c r="S72" s="804">
        <f t="shared" si="125"/>
        <v>2010</v>
      </c>
      <c r="T72" s="775">
        <f>[21]IS!$AJ$3</f>
        <v>26.298999999999999</v>
      </c>
      <c r="U72" s="774">
        <f>[21]IS!$AJ$4</f>
        <v>234.26</v>
      </c>
      <c r="V72" s="965">
        <f>[21]IS!$AJ$5</f>
        <v>202.447</v>
      </c>
      <c r="W72" s="805">
        <f>[21]IS!$AJ$6</f>
        <v>278.86500000000001</v>
      </c>
      <c r="X72" s="805">
        <f>[21]IS!$AJ$7</f>
        <v>301.04700000000003</v>
      </c>
      <c r="Y72" s="805">
        <f>[21]IS!$AJ$8</f>
        <v>256.47199999999998</v>
      </c>
      <c r="Z72" s="966">
        <f>[21]IS!$AJ$9</f>
        <v>235.27600000000001</v>
      </c>
      <c r="AA72" s="805">
        <f>[21]IS!$AJ$10</f>
        <v>203.047</v>
      </c>
      <c r="AB72" s="805">
        <f>[21]IS!$AJ$11</f>
        <v>201.76400000000001</v>
      </c>
      <c r="AC72" s="805">
        <f>[21]IS!$AJ$12</f>
        <v>214.136</v>
      </c>
      <c r="AD72" s="805">
        <f>[21]IS!$AJ$13</f>
        <v>169.04</v>
      </c>
      <c r="AE72" s="966">
        <f>[21]IS!$AJ$14</f>
        <v>182.876</v>
      </c>
      <c r="AF72" s="17"/>
      <c r="AG72" s="8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U72" s="8"/>
    </row>
    <row r="73" spans="1:61" ht="11.25" customHeight="1">
      <c r="A73" s="41"/>
      <c r="B73" s="41"/>
      <c r="C73" s="41"/>
      <c r="D73" s="40"/>
      <c r="E73" s="41"/>
      <c r="F73" s="40"/>
      <c r="G73" s="40"/>
      <c r="H73" s="40"/>
      <c r="I73" s="40"/>
      <c r="J73" s="40"/>
      <c r="K73" s="41"/>
      <c r="L73" s="41"/>
      <c r="M73" s="41"/>
      <c r="N73" s="40"/>
      <c r="O73" s="40"/>
      <c r="P73" s="48"/>
      <c r="Q73" s="48"/>
      <c r="S73" s="804">
        <f t="shared" si="125"/>
        <v>2011</v>
      </c>
      <c r="T73" s="966">
        <f>[22]IS!$AJ$3</f>
        <v>245.80199999999999</v>
      </c>
      <c r="U73" s="805">
        <f>[22]IS!$AJ$4</f>
        <v>245.63900000000001</v>
      </c>
      <c r="V73" s="805">
        <f>[22]IS!$AJ$5</f>
        <v>275.67099999999999</v>
      </c>
      <c r="W73" s="805">
        <f>[22]IS!$AJ$6</f>
        <v>231.101</v>
      </c>
      <c r="X73" s="805">
        <f>[22]IS!$AJ$7</f>
        <v>266.95299999999997</v>
      </c>
      <c r="Y73" s="805">
        <f>[22]IS!$AJ$8</f>
        <v>212.304</v>
      </c>
      <c r="Z73" s="805">
        <f>[22]IS!$AJ$9</f>
        <v>226.47</v>
      </c>
      <c r="AA73" s="805">
        <f>[22]IS!$AJ$10</f>
        <v>221.14</v>
      </c>
      <c r="AB73" s="805">
        <f>[22]IS!$AJ$11</f>
        <v>248.005</v>
      </c>
      <c r="AC73" s="805">
        <f>[22]IS!$AJ$12</f>
        <v>251.55500000000001</v>
      </c>
      <c r="AD73" s="805">
        <f>[22]IS!$AJ$13</f>
        <v>242.078</v>
      </c>
      <c r="AE73" s="805">
        <f>[22]IS!$AJ$14</f>
        <v>188.65899999999999</v>
      </c>
      <c r="AF73" s="17"/>
      <c r="AG73" s="8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U73" s="8"/>
    </row>
    <row r="74" spans="1:61" ht="11.25" customHeight="1">
      <c r="A74" s="41"/>
      <c r="B74" s="40"/>
      <c r="C74" s="40"/>
      <c r="D74" s="40"/>
      <c r="E74" s="41"/>
      <c r="F74" s="40"/>
      <c r="G74" s="40"/>
      <c r="H74" s="40"/>
      <c r="I74" s="40"/>
      <c r="J74" s="40"/>
      <c r="K74" s="41"/>
      <c r="L74" s="40"/>
      <c r="M74" s="40"/>
      <c r="N74" s="40"/>
      <c r="O74" s="40"/>
      <c r="P74" s="48"/>
      <c r="Q74" s="48"/>
      <c r="S74" s="804">
        <f t="shared" si="125"/>
        <v>2012</v>
      </c>
      <c r="T74" s="966">
        <f>[23]IS!$AJ$3</f>
        <v>175.226</v>
      </c>
      <c r="U74" s="805">
        <f>[23]IS!$AJ$4</f>
        <v>229.64400000000001</v>
      </c>
      <c r="V74" s="805">
        <f>[23]IS!$AJ$5</f>
        <v>221.464</v>
      </c>
      <c r="W74" s="805">
        <f>[23]IS!$AJ$6</f>
        <v>233.904</v>
      </c>
      <c r="X74" s="805">
        <f>[23]IS!$AJ$7</f>
        <v>222.959</v>
      </c>
      <c r="Y74" s="805">
        <f>[23]IS!$AJ$8</f>
        <v>233.459</v>
      </c>
      <c r="Z74" s="805">
        <f>[23]IS!$AJ$9</f>
        <v>242.49799999999999</v>
      </c>
      <c r="AA74" s="805">
        <f>[23]IS!$AJ$10</f>
        <v>221.71199999999999</v>
      </c>
      <c r="AB74" s="805">
        <f>[23]IS!$AJ$11</f>
        <v>212.34100000000001</v>
      </c>
      <c r="AC74" s="805">
        <f>[23]IS!$AJ$12</f>
        <v>201.09200000000001</v>
      </c>
      <c r="AD74" s="805">
        <f>[23]IS!$AJ$13</f>
        <v>261.97899999999998</v>
      </c>
      <c r="AE74" s="805">
        <f>[23]IS!$AJ$14</f>
        <v>177.898</v>
      </c>
      <c r="AF74" s="17"/>
      <c r="AG74" s="8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U74" s="8"/>
    </row>
    <row r="75" spans="1:61" ht="11.25" customHeight="1">
      <c r="A75" s="41"/>
      <c r="B75" s="40"/>
      <c r="C75" s="40"/>
      <c r="D75" s="40"/>
      <c r="E75" s="41"/>
      <c r="F75" s="40"/>
      <c r="G75" s="40"/>
      <c r="H75" s="40"/>
      <c r="I75" s="40"/>
      <c r="J75" s="40"/>
      <c r="K75" s="41"/>
      <c r="L75" s="40"/>
      <c r="M75" s="40"/>
      <c r="N75" s="40"/>
      <c r="O75" s="40"/>
      <c r="P75" s="48"/>
      <c r="Q75" s="48"/>
      <c r="S75" s="804">
        <f t="shared" si="125"/>
        <v>2013</v>
      </c>
      <c r="T75" s="805">
        <f>[24]IS!$AJ$3</f>
        <v>227.53399999999999</v>
      </c>
      <c r="U75" s="966">
        <f>[24]IS!$AJ$4</f>
        <v>224.24299999999999</v>
      </c>
      <c r="V75" s="805">
        <f>[24]IS!$AJ$5</f>
        <v>229.71100000000001</v>
      </c>
      <c r="W75" s="805">
        <f>[24]IS!$AJ$6</f>
        <v>216.37299999999999</v>
      </c>
      <c r="X75" s="805">
        <f>[24]IS!$AJ$7</f>
        <v>270.63</v>
      </c>
      <c r="Y75" s="805">
        <f>[24]IS!$AJ$8</f>
        <v>255.75299999999999</v>
      </c>
      <c r="Z75" s="805">
        <f>[24]IS!$AJ$9</f>
        <v>238.75200000000001</v>
      </c>
      <c r="AA75" s="17">
        <f>AVERAGE($T$75:$Z$75)</f>
        <v>237.57085714285714</v>
      </c>
      <c r="AB75" s="17">
        <f t="shared" ref="AB75:AE75" si="126">AVERAGE($T$75:$Z$75)</f>
        <v>237.57085714285714</v>
      </c>
      <c r="AC75" s="17">
        <f t="shared" si="126"/>
        <v>237.57085714285714</v>
      </c>
      <c r="AD75" s="17">
        <f t="shared" si="126"/>
        <v>237.57085714285714</v>
      </c>
      <c r="AE75" s="17">
        <f t="shared" si="126"/>
        <v>237.57085714285714</v>
      </c>
      <c r="AF75" s="17"/>
      <c r="AG75" s="8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U75" s="8"/>
    </row>
    <row r="76" spans="1:61" ht="11.25" customHeight="1">
      <c r="A76" s="41"/>
      <c r="B76" s="40"/>
      <c r="C76" s="40"/>
      <c r="D76" s="40"/>
      <c r="E76" s="41"/>
      <c r="F76" s="40"/>
      <c r="G76" s="40"/>
      <c r="H76" s="40"/>
      <c r="I76" s="40"/>
      <c r="J76" s="40"/>
      <c r="K76" s="41"/>
      <c r="L76" s="40"/>
      <c r="M76" s="40"/>
      <c r="N76" s="40"/>
      <c r="O76" s="40"/>
      <c r="P76" s="48"/>
      <c r="Q76" s="48"/>
      <c r="S76" s="8">
        <f t="shared" si="125"/>
        <v>2014</v>
      </c>
      <c r="T76" s="19">
        <f t="shared" ref="T76:T92" si="127">F38</f>
        <v>240.53399999999999</v>
      </c>
      <c r="U76" s="17">
        <f t="shared" ref="U76:AE99" si="128">$T76</f>
        <v>240.53399999999999</v>
      </c>
      <c r="V76" s="17">
        <f t="shared" ref="V76:AE82" si="129">$T76</f>
        <v>240.53399999999999</v>
      </c>
      <c r="W76" s="17">
        <f t="shared" si="129"/>
        <v>240.53399999999999</v>
      </c>
      <c r="X76" s="17">
        <f t="shared" si="129"/>
        <v>240.53399999999999</v>
      </c>
      <c r="Y76" s="17">
        <f t="shared" si="129"/>
        <v>240.53399999999999</v>
      </c>
      <c r="Z76" s="17">
        <f t="shared" si="129"/>
        <v>240.53399999999999</v>
      </c>
      <c r="AA76" s="17">
        <f t="shared" si="129"/>
        <v>240.53399999999999</v>
      </c>
      <c r="AB76" s="17">
        <f t="shared" si="129"/>
        <v>240.53399999999999</v>
      </c>
      <c r="AC76" s="17">
        <f t="shared" si="129"/>
        <v>240.53399999999999</v>
      </c>
      <c r="AD76" s="17">
        <f t="shared" si="129"/>
        <v>240.53399999999999</v>
      </c>
      <c r="AE76" s="17">
        <f t="shared" si="129"/>
        <v>240.53399999999999</v>
      </c>
      <c r="AF76" s="17"/>
      <c r="AG76" s="8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U76" s="8"/>
    </row>
    <row r="77" spans="1:61" ht="11.25" customHeight="1">
      <c r="A77" s="41"/>
      <c r="B77" s="40"/>
      <c r="C77" s="40"/>
      <c r="D77" s="40"/>
      <c r="E77" s="41"/>
      <c r="F77" s="40"/>
      <c r="G77" s="40"/>
      <c r="H77" s="40"/>
      <c r="I77" s="40"/>
      <c r="J77" s="40"/>
      <c r="K77" s="41"/>
      <c r="L77" s="40"/>
      <c r="M77" s="40"/>
      <c r="N77" s="40"/>
      <c r="O77" s="40"/>
      <c r="P77" s="48"/>
      <c r="Q77" s="48"/>
      <c r="S77" s="8">
        <f t="shared" si="125"/>
        <v>2015</v>
      </c>
      <c r="T77" s="19">
        <f t="shared" si="127"/>
        <v>242.53399999999999</v>
      </c>
      <c r="U77" s="17">
        <f t="shared" si="128"/>
        <v>242.53399999999999</v>
      </c>
      <c r="V77" s="17">
        <f t="shared" si="129"/>
        <v>242.53399999999999</v>
      </c>
      <c r="W77" s="17">
        <f t="shared" si="129"/>
        <v>242.53399999999999</v>
      </c>
      <c r="X77" s="17">
        <f t="shared" si="129"/>
        <v>242.53399999999999</v>
      </c>
      <c r="Y77" s="17">
        <f t="shared" si="129"/>
        <v>242.53399999999999</v>
      </c>
      <c r="Z77" s="17">
        <f t="shared" si="129"/>
        <v>242.53399999999999</v>
      </c>
      <c r="AA77" s="17">
        <f t="shared" si="129"/>
        <v>242.53399999999999</v>
      </c>
      <c r="AB77" s="17">
        <f t="shared" si="129"/>
        <v>242.53399999999999</v>
      </c>
      <c r="AC77" s="17">
        <f t="shared" si="129"/>
        <v>242.53399999999999</v>
      </c>
      <c r="AD77" s="17">
        <f t="shared" si="129"/>
        <v>242.53399999999999</v>
      </c>
      <c r="AE77" s="17">
        <f t="shared" si="129"/>
        <v>242.53399999999999</v>
      </c>
      <c r="AF77" s="17"/>
      <c r="AG77" s="8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U77" s="8"/>
    </row>
    <row r="78" spans="1:61" ht="11.25" customHeight="1">
      <c r="A78" s="41"/>
      <c r="B78" s="40"/>
      <c r="C78" s="40"/>
      <c r="D78" s="40"/>
      <c r="E78" s="41"/>
      <c r="F78" s="40"/>
      <c r="G78" s="40"/>
      <c r="H78" s="40"/>
      <c r="I78" s="40"/>
      <c r="J78" s="40"/>
      <c r="K78" s="41"/>
      <c r="L78" s="40"/>
      <c r="M78" s="40"/>
      <c r="N78" s="40"/>
      <c r="O78" s="40"/>
      <c r="P78" s="48"/>
      <c r="Q78" s="48"/>
      <c r="S78" s="8">
        <f t="shared" si="125"/>
        <v>2016</v>
      </c>
      <c r="T78" s="19">
        <f t="shared" si="127"/>
        <v>241.53399999999999</v>
      </c>
      <c r="U78" s="17">
        <f t="shared" si="128"/>
        <v>241.53399999999999</v>
      </c>
      <c r="V78" s="17">
        <f t="shared" si="129"/>
        <v>241.53399999999999</v>
      </c>
      <c r="W78" s="17">
        <f t="shared" si="129"/>
        <v>241.53399999999999</v>
      </c>
      <c r="X78" s="17">
        <f t="shared" si="129"/>
        <v>241.53399999999999</v>
      </c>
      <c r="Y78" s="17">
        <f t="shared" si="129"/>
        <v>241.53399999999999</v>
      </c>
      <c r="Z78" s="17">
        <f t="shared" si="129"/>
        <v>241.53399999999999</v>
      </c>
      <c r="AA78" s="17">
        <f t="shared" si="129"/>
        <v>241.53399999999999</v>
      </c>
      <c r="AB78" s="17">
        <f t="shared" si="129"/>
        <v>241.53399999999999</v>
      </c>
      <c r="AC78" s="17">
        <f t="shared" si="129"/>
        <v>241.53399999999999</v>
      </c>
      <c r="AD78" s="17">
        <f t="shared" si="129"/>
        <v>241.53399999999999</v>
      </c>
      <c r="AE78" s="17">
        <f t="shared" si="129"/>
        <v>241.53399999999999</v>
      </c>
      <c r="AF78" s="17"/>
      <c r="AG78" s="8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U78" s="8"/>
    </row>
    <row r="79" spans="1:61" ht="11.25" customHeight="1">
      <c r="A79" s="41"/>
      <c r="B79" s="40"/>
      <c r="C79" s="40"/>
      <c r="D79" s="40"/>
      <c r="E79" s="41"/>
      <c r="F79" s="40"/>
      <c r="G79" s="40"/>
      <c r="H79" s="40"/>
      <c r="I79" s="40"/>
      <c r="J79" s="40"/>
      <c r="K79" s="41"/>
      <c r="L79" s="40"/>
      <c r="M79" s="40"/>
      <c r="N79" s="40"/>
      <c r="O79" s="40"/>
      <c r="P79" s="48"/>
      <c r="Q79" s="48"/>
      <c r="S79" s="8">
        <f t="shared" si="125"/>
        <v>2017</v>
      </c>
      <c r="T79" s="19">
        <f t="shared" si="127"/>
        <v>242.53399999999999</v>
      </c>
      <c r="U79" s="17">
        <f t="shared" si="128"/>
        <v>242.53399999999999</v>
      </c>
      <c r="V79" s="17">
        <f t="shared" si="129"/>
        <v>242.53399999999999</v>
      </c>
      <c r="W79" s="17">
        <f t="shared" si="129"/>
        <v>242.53399999999999</v>
      </c>
      <c r="X79" s="17">
        <f t="shared" si="129"/>
        <v>242.53399999999999</v>
      </c>
      <c r="Y79" s="17">
        <f t="shared" si="129"/>
        <v>242.53399999999999</v>
      </c>
      <c r="Z79" s="17">
        <f t="shared" si="129"/>
        <v>242.53399999999999</v>
      </c>
      <c r="AA79" s="17">
        <f t="shared" si="129"/>
        <v>242.53399999999999</v>
      </c>
      <c r="AB79" s="17">
        <f t="shared" si="129"/>
        <v>242.53399999999999</v>
      </c>
      <c r="AC79" s="17">
        <f t="shared" si="129"/>
        <v>242.53399999999999</v>
      </c>
      <c r="AD79" s="17">
        <f t="shared" si="129"/>
        <v>242.53399999999999</v>
      </c>
      <c r="AE79" s="17">
        <f t="shared" si="129"/>
        <v>242.53399999999999</v>
      </c>
      <c r="AF79" s="17"/>
      <c r="AG79" s="8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U79" s="8"/>
    </row>
    <row r="80" spans="1:61" ht="11.25" customHeight="1">
      <c r="A80" s="41"/>
      <c r="B80" s="40"/>
      <c r="C80" s="40"/>
      <c r="D80" s="40"/>
      <c r="E80" s="41"/>
      <c r="F80" s="40"/>
      <c r="G80" s="40"/>
      <c r="H80" s="40"/>
      <c r="I80" s="40"/>
      <c r="J80" s="40"/>
      <c r="K80" s="41"/>
      <c r="L80" s="40"/>
      <c r="M80" s="40"/>
      <c r="N80" s="40"/>
      <c r="O80" s="40"/>
      <c r="P80" s="48"/>
      <c r="Q80" s="48"/>
      <c r="S80" s="8">
        <f t="shared" si="125"/>
        <v>2018</v>
      </c>
      <c r="T80" s="19">
        <f t="shared" si="127"/>
        <v>249.53399999999999</v>
      </c>
      <c r="U80" s="17">
        <f t="shared" si="128"/>
        <v>249.53399999999999</v>
      </c>
      <c r="V80" s="17">
        <f t="shared" si="129"/>
        <v>249.53399999999999</v>
      </c>
      <c r="W80" s="17">
        <f t="shared" si="129"/>
        <v>249.53399999999999</v>
      </c>
      <c r="X80" s="17">
        <f t="shared" si="129"/>
        <v>249.53399999999999</v>
      </c>
      <c r="Y80" s="17">
        <f t="shared" si="129"/>
        <v>249.53399999999999</v>
      </c>
      <c r="Z80" s="17">
        <f t="shared" si="129"/>
        <v>249.53399999999999</v>
      </c>
      <c r="AA80" s="17">
        <f t="shared" si="129"/>
        <v>249.53399999999999</v>
      </c>
      <c r="AB80" s="17">
        <f t="shared" si="129"/>
        <v>249.53399999999999</v>
      </c>
      <c r="AC80" s="17">
        <f t="shared" si="129"/>
        <v>249.53399999999999</v>
      </c>
      <c r="AD80" s="17">
        <f t="shared" si="129"/>
        <v>249.53399999999999</v>
      </c>
      <c r="AE80" s="17">
        <f t="shared" si="129"/>
        <v>249.53399999999999</v>
      </c>
      <c r="AF80" s="17"/>
      <c r="AG80" s="8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U80" s="8"/>
    </row>
    <row r="81" spans="1:47" ht="11.25" customHeight="1">
      <c r="A81" s="41"/>
      <c r="B81" s="40"/>
      <c r="C81" s="40"/>
      <c r="D81" s="40"/>
      <c r="E81" s="41"/>
      <c r="F81" s="40"/>
      <c r="G81" s="40"/>
      <c r="H81" s="40"/>
      <c r="I81" s="40"/>
      <c r="J81" s="40"/>
      <c r="K81" s="41"/>
      <c r="L81" s="40"/>
      <c r="M81" s="40"/>
      <c r="N81" s="40"/>
      <c r="O81" s="40"/>
      <c r="P81" s="48"/>
      <c r="Q81" s="48"/>
      <c r="S81" s="8">
        <f t="shared" si="125"/>
        <v>2019</v>
      </c>
      <c r="T81" s="19">
        <f t="shared" si="127"/>
        <v>295.53399999999999</v>
      </c>
      <c r="U81" s="17">
        <f t="shared" si="128"/>
        <v>295.53399999999999</v>
      </c>
      <c r="V81" s="17">
        <f t="shared" si="129"/>
        <v>295.53399999999999</v>
      </c>
      <c r="W81" s="17">
        <f t="shared" si="129"/>
        <v>295.53399999999999</v>
      </c>
      <c r="X81" s="17">
        <f t="shared" si="129"/>
        <v>295.53399999999999</v>
      </c>
      <c r="Y81" s="17">
        <f t="shared" si="129"/>
        <v>295.53399999999999</v>
      </c>
      <c r="Z81" s="17">
        <f t="shared" si="129"/>
        <v>295.53399999999999</v>
      </c>
      <c r="AA81" s="17">
        <f t="shared" si="129"/>
        <v>295.53399999999999</v>
      </c>
      <c r="AB81" s="17">
        <f t="shared" si="129"/>
        <v>295.53399999999999</v>
      </c>
      <c r="AC81" s="17">
        <f t="shared" si="129"/>
        <v>295.53399999999999</v>
      </c>
      <c r="AD81" s="17">
        <f t="shared" si="129"/>
        <v>295.53399999999999</v>
      </c>
      <c r="AE81" s="17">
        <f t="shared" si="129"/>
        <v>295.53399999999999</v>
      </c>
      <c r="AF81" s="17"/>
      <c r="AG81" s="8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U81" s="8"/>
    </row>
    <row r="82" spans="1:47" ht="11.25" customHeight="1">
      <c r="A82" s="41"/>
      <c r="B82" s="40"/>
      <c r="C82" s="40"/>
      <c r="D82" s="40"/>
      <c r="E82" s="41"/>
      <c r="F82" s="40"/>
      <c r="G82" s="40"/>
      <c r="H82" s="40"/>
      <c r="I82" s="40"/>
      <c r="J82" s="40"/>
      <c r="K82" s="41"/>
      <c r="L82" s="40"/>
      <c r="M82" s="40"/>
      <c r="N82" s="40"/>
      <c r="O82" s="40"/>
      <c r="P82" s="48"/>
      <c r="Q82" s="48"/>
      <c r="S82" s="8">
        <f t="shared" si="125"/>
        <v>2020</v>
      </c>
      <c r="T82" s="19">
        <f t="shared" si="127"/>
        <v>317.53399999999999</v>
      </c>
      <c r="U82" s="17">
        <f t="shared" si="128"/>
        <v>317.53399999999999</v>
      </c>
      <c r="V82" s="17">
        <f t="shared" si="129"/>
        <v>317.53399999999999</v>
      </c>
      <c r="W82" s="17">
        <f t="shared" si="129"/>
        <v>317.53399999999999</v>
      </c>
      <c r="X82" s="17">
        <f t="shared" si="129"/>
        <v>317.53399999999999</v>
      </c>
      <c r="Y82" s="17">
        <f t="shared" si="129"/>
        <v>317.53399999999999</v>
      </c>
      <c r="Z82" s="17">
        <f t="shared" si="129"/>
        <v>317.53399999999999</v>
      </c>
      <c r="AA82" s="17">
        <f t="shared" si="129"/>
        <v>317.53399999999999</v>
      </c>
      <c r="AB82" s="17">
        <f t="shared" si="129"/>
        <v>317.53399999999999</v>
      </c>
      <c r="AC82" s="17">
        <f t="shared" si="129"/>
        <v>317.53399999999999</v>
      </c>
      <c r="AD82" s="17">
        <f t="shared" si="129"/>
        <v>317.53399999999999</v>
      </c>
      <c r="AE82" s="17">
        <f t="shared" si="129"/>
        <v>317.53399999999999</v>
      </c>
      <c r="AF82" s="17"/>
      <c r="AG82" s="8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</row>
    <row r="83" spans="1:47" ht="11.25" customHeight="1">
      <c r="A83" s="41"/>
      <c r="B83" s="40"/>
      <c r="C83" s="40"/>
      <c r="D83" s="40"/>
      <c r="E83" s="41"/>
      <c r="F83" s="40"/>
      <c r="G83" s="40"/>
      <c r="H83" s="40"/>
      <c r="I83" s="40"/>
      <c r="J83" s="40"/>
      <c r="K83" s="41"/>
      <c r="L83" s="40"/>
      <c r="M83" s="40"/>
      <c r="N83" s="40"/>
      <c r="O83" s="40"/>
      <c r="P83" s="48"/>
      <c r="Q83" s="48"/>
      <c r="S83" s="8">
        <f t="shared" si="125"/>
        <v>2021</v>
      </c>
      <c r="T83" s="19">
        <f t="shared" si="127"/>
        <v>318.53399999999999</v>
      </c>
      <c r="U83" s="17">
        <f t="shared" si="128"/>
        <v>318.53399999999999</v>
      </c>
      <c r="V83" s="17">
        <f t="shared" ref="V83:AE98" si="130">$T83</f>
        <v>318.53399999999999</v>
      </c>
      <c r="W83" s="17">
        <f t="shared" si="130"/>
        <v>318.53399999999999</v>
      </c>
      <c r="X83" s="17">
        <f t="shared" si="130"/>
        <v>318.53399999999999</v>
      </c>
      <c r="Y83" s="17">
        <f t="shared" si="130"/>
        <v>318.53399999999999</v>
      </c>
      <c r="Z83" s="17">
        <f t="shared" si="130"/>
        <v>318.53399999999999</v>
      </c>
      <c r="AA83" s="17">
        <f t="shared" si="130"/>
        <v>318.53399999999999</v>
      </c>
      <c r="AB83" s="17">
        <f t="shared" si="130"/>
        <v>318.53399999999999</v>
      </c>
      <c r="AC83" s="17">
        <f t="shared" si="130"/>
        <v>318.53399999999999</v>
      </c>
      <c r="AD83" s="17">
        <f t="shared" si="130"/>
        <v>318.53399999999999</v>
      </c>
      <c r="AE83" s="17">
        <f t="shared" si="130"/>
        <v>318.53399999999999</v>
      </c>
      <c r="AG83" s="8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8"/>
    </row>
    <row r="84" spans="1:47" ht="11.25" customHeight="1">
      <c r="A84" s="41"/>
      <c r="B84" s="40"/>
      <c r="C84" s="40"/>
      <c r="D84" s="40"/>
      <c r="E84" s="41"/>
      <c r="F84" s="40"/>
      <c r="G84" s="40"/>
      <c r="H84" s="40"/>
      <c r="I84" s="40"/>
      <c r="J84" s="40"/>
      <c r="K84" s="41"/>
      <c r="L84" s="40"/>
      <c r="M84" s="40"/>
      <c r="N84" s="40"/>
      <c r="O84" s="40"/>
      <c r="P84" s="48"/>
      <c r="Q84" s="48"/>
      <c r="S84" s="8">
        <f t="shared" si="125"/>
        <v>2022</v>
      </c>
      <c r="T84" s="19">
        <f t="shared" si="127"/>
        <v>318.53399999999999</v>
      </c>
      <c r="U84" s="17">
        <f t="shared" si="128"/>
        <v>318.53399999999999</v>
      </c>
      <c r="V84" s="17">
        <f t="shared" si="130"/>
        <v>318.53399999999999</v>
      </c>
      <c r="W84" s="17">
        <f t="shared" si="130"/>
        <v>318.53399999999999</v>
      </c>
      <c r="X84" s="17">
        <f t="shared" si="130"/>
        <v>318.53399999999999</v>
      </c>
      <c r="Y84" s="17">
        <f t="shared" si="130"/>
        <v>318.53399999999999</v>
      </c>
      <c r="Z84" s="17">
        <f t="shared" si="130"/>
        <v>318.53399999999999</v>
      </c>
      <c r="AA84" s="17">
        <f t="shared" si="130"/>
        <v>318.53399999999999</v>
      </c>
      <c r="AB84" s="17">
        <f t="shared" si="130"/>
        <v>318.53399999999999</v>
      </c>
      <c r="AC84" s="17">
        <f t="shared" si="130"/>
        <v>318.53399999999999</v>
      </c>
      <c r="AD84" s="17">
        <f t="shared" si="130"/>
        <v>318.53399999999999</v>
      </c>
      <c r="AE84" s="17">
        <f t="shared" si="130"/>
        <v>318.53399999999999</v>
      </c>
      <c r="AG84" s="8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8"/>
    </row>
    <row r="85" spans="1:47" ht="11.25" customHeight="1">
      <c r="A85" s="41"/>
      <c r="B85" s="40"/>
      <c r="C85" s="40"/>
      <c r="D85" s="40"/>
      <c r="E85" s="41"/>
      <c r="F85" s="40"/>
      <c r="G85" s="40"/>
      <c r="H85" s="40"/>
      <c r="I85" s="40"/>
      <c r="J85" s="40"/>
      <c r="K85" s="41"/>
      <c r="L85" s="40"/>
      <c r="M85" s="40"/>
      <c r="N85" s="40"/>
      <c r="O85" s="40"/>
      <c r="P85" s="48"/>
      <c r="Q85" s="48"/>
      <c r="S85" s="8">
        <f t="shared" si="125"/>
        <v>2023</v>
      </c>
      <c r="T85" s="19">
        <f t="shared" si="127"/>
        <v>318.53399999999999</v>
      </c>
      <c r="U85" s="17">
        <f t="shared" si="128"/>
        <v>318.53399999999999</v>
      </c>
      <c r="V85" s="17">
        <f t="shared" si="130"/>
        <v>318.53399999999999</v>
      </c>
      <c r="W85" s="17">
        <f t="shared" si="130"/>
        <v>318.53399999999999</v>
      </c>
      <c r="X85" s="17">
        <f t="shared" si="130"/>
        <v>318.53399999999999</v>
      </c>
      <c r="Y85" s="17">
        <f t="shared" si="130"/>
        <v>318.53399999999999</v>
      </c>
      <c r="Z85" s="17">
        <f t="shared" si="130"/>
        <v>318.53399999999999</v>
      </c>
      <c r="AA85" s="17">
        <f t="shared" si="130"/>
        <v>318.53399999999999</v>
      </c>
      <c r="AB85" s="17">
        <f t="shared" si="130"/>
        <v>318.53399999999999</v>
      </c>
      <c r="AC85" s="17">
        <f t="shared" si="130"/>
        <v>318.53399999999999</v>
      </c>
      <c r="AD85" s="17">
        <f t="shared" si="130"/>
        <v>318.53399999999999</v>
      </c>
      <c r="AE85" s="17">
        <f t="shared" si="130"/>
        <v>318.53399999999999</v>
      </c>
      <c r="AG85" s="8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8"/>
    </row>
    <row r="86" spans="1:47" ht="11.25" customHeight="1">
      <c r="A86" s="41"/>
      <c r="B86" s="40"/>
      <c r="C86" s="40"/>
      <c r="D86" s="40"/>
      <c r="E86" s="41"/>
      <c r="F86" s="40"/>
      <c r="G86" s="40"/>
      <c r="H86" s="40"/>
      <c r="I86" s="40"/>
      <c r="J86" s="40"/>
      <c r="K86" s="41"/>
      <c r="L86" s="40"/>
      <c r="M86" s="40"/>
      <c r="N86" s="40"/>
      <c r="O86" s="40"/>
      <c r="P86" s="48"/>
      <c r="Q86" s="48"/>
      <c r="S86" s="8">
        <f t="shared" si="125"/>
        <v>2024</v>
      </c>
      <c r="T86" s="19">
        <f t="shared" si="127"/>
        <v>317.53399999999999</v>
      </c>
      <c r="U86" s="17">
        <f t="shared" si="128"/>
        <v>317.53399999999999</v>
      </c>
      <c r="V86" s="17">
        <f t="shared" si="130"/>
        <v>317.53399999999999</v>
      </c>
      <c r="W86" s="17">
        <f t="shared" si="130"/>
        <v>317.53399999999999</v>
      </c>
      <c r="X86" s="17">
        <f t="shared" si="130"/>
        <v>317.53399999999999</v>
      </c>
      <c r="Y86" s="17">
        <f t="shared" si="130"/>
        <v>317.53399999999999</v>
      </c>
      <c r="Z86" s="17">
        <f t="shared" si="130"/>
        <v>317.53399999999999</v>
      </c>
      <c r="AA86" s="17">
        <f t="shared" si="130"/>
        <v>317.53399999999999</v>
      </c>
      <c r="AB86" s="17">
        <f t="shared" si="130"/>
        <v>317.53399999999999</v>
      </c>
      <c r="AC86" s="17">
        <f t="shared" si="130"/>
        <v>317.53399999999999</v>
      </c>
      <c r="AD86" s="17">
        <f t="shared" si="130"/>
        <v>317.53399999999999</v>
      </c>
      <c r="AE86" s="17">
        <f t="shared" si="130"/>
        <v>317.53399999999999</v>
      </c>
      <c r="AG86" s="8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8"/>
    </row>
    <row r="87" spans="1:47" ht="11.25" customHeight="1">
      <c r="A87" s="41"/>
      <c r="B87" s="40"/>
      <c r="C87" s="40"/>
      <c r="D87" s="40"/>
      <c r="E87" s="41"/>
      <c r="F87" s="40"/>
      <c r="G87" s="40"/>
      <c r="H87" s="40"/>
      <c r="I87" s="40"/>
      <c r="J87" s="40"/>
      <c r="K87" s="41"/>
      <c r="L87" s="40"/>
      <c r="M87" s="40"/>
      <c r="N87" s="40"/>
      <c r="O87" s="40"/>
      <c r="P87" s="48"/>
      <c r="Q87" s="48"/>
      <c r="S87" s="8">
        <f t="shared" si="125"/>
        <v>2025</v>
      </c>
      <c r="T87" s="19">
        <f t="shared" si="127"/>
        <v>318.53399999999999</v>
      </c>
      <c r="U87" s="17">
        <f t="shared" si="128"/>
        <v>318.53399999999999</v>
      </c>
      <c r="V87" s="17">
        <f t="shared" si="130"/>
        <v>318.53399999999999</v>
      </c>
      <c r="W87" s="17">
        <f t="shared" si="130"/>
        <v>318.53399999999999</v>
      </c>
      <c r="X87" s="17">
        <f t="shared" si="130"/>
        <v>318.53399999999999</v>
      </c>
      <c r="Y87" s="17">
        <f t="shared" si="130"/>
        <v>318.53399999999999</v>
      </c>
      <c r="Z87" s="17">
        <f t="shared" si="130"/>
        <v>318.53399999999999</v>
      </c>
      <c r="AA87" s="17">
        <f t="shared" si="130"/>
        <v>318.53399999999999</v>
      </c>
      <c r="AB87" s="17">
        <f t="shared" si="130"/>
        <v>318.53399999999999</v>
      </c>
      <c r="AC87" s="17">
        <f t="shared" si="130"/>
        <v>318.53399999999999</v>
      </c>
      <c r="AD87" s="17">
        <f t="shared" si="130"/>
        <v>318.53399999999999</v>
      </c>
      <c r="AE87" s="17">
        <f t="shared" si="130"/>
        <v>318.53399999999999</v>
      </c>
      <c r="AG87" s="8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8"/>
    </row>
    <row r="88" spans="1:47" ht="11.25" customHeight="1">
      <c r="A88" s="41"/>
      <c r="B88" s="40"/>
      <c r="C88" s="40"/>
      <c r="D88" s="40"/>
      <c r="E88" s="41"/>
      <c r="F88" s="40"/>
      <c r="G88" s="40"/>
      <c r="H88" s="40"/>
      <c r="I88" s="40"/>
      <c r="J88" s="40"/>
      <c r="K88" s="41"/>
      <c r="L88" s="40"/>
      <c r="M88" s="40"/>
      <c r="N88" s="40"/>
      <c r="O88" s="40"/>
      <c r="P88" s="48"/>
      <c r="Q88" s="48"/>
      <c r="S88" s="8">
        <f t="shared" si="125"/>
        <v>2026</v>
      </c>
      <c r="T88" s="19">
        <f t="shared" si="127"/>
        <v>318.53399999999999</v>
      </c>
      <c r="U88" s="17">
        <f t="shared" si="128"/>
        <v>318.53399999999999</v>
      </c>
      <c r="V88" s="17">
        <f t="shared" si="130"/>
        <v>318.53399999999999</v>
      </c>
      <c r="W88" s="17">
        <f t="shared" si="130"/>
        <v>318.53399999999999</v>
      </c>
      <c r="X88" s="17">
        <f t="shared" si="130"/>
        <v>318.53399999999999</v>
      </c>
      <c r="Y88" s="17">
        <f t="shared" si="130"/>
        <v>318.53399999999999</v>
      </c>
      <c r="Z88" s="17">
        <f t="shared" si="130"/>
        <v>318.53399999999999</v>
      </c>
      <c r="AA88" s="17">
        <f t="shared" si="130"/>
        <v>318.53399999999999</v>
      </c>
      <c r="AB88" s="17">
        <f t="shared" si="130"/>
        <v>318.53399999999999</v>
      </c>
      <c r="AC88" s="17">
        <f t="shared" si="130"/>
        <v>318.53399999999999</v>
      </c>
      <c r="AD88" s="17">
        <f t="shared" si="130"/>
        <v>318.53399999999999</v>
      </c>
      <c r="AE88" s="17">
        <f t="shared" si="130"/>
        <v>318.53399999999999</v>
      </c>
    </row>
    <row r="89" spans="1:47" ht="11.25" customHeight="1">
      <c r="A89" s="41"/>
      <c r="B89" s="40"/>
      <c r="C89" s="40"/>
      <c r="D89" s="40"/>
      <c r="E89" s="41"/>
      <c r="F89" s="40"/>
      <c r="G89" s="40"/>
      <c r="H89" s="40"/>
      <c r="I89" s="40"/>
      <c r="J89" s="40"/>
      <c r="K89" s="41"/>
      <c r="L89" s="40"/>
      <c r="M89" s="40"/>
      <c r="N89" s="40"/>
      <c r="O89" s="40"/>
      <c r="P89" s="48"/>
      <c r="Q89" s="48"/>
      <c r="S89" s="8">
        <f t="shared" si="125"/>
        <v>2027</v>
      </c>
      <c r="T89" s="19">
        <f t="shared" si="127"/>
        <v>318.53399999999999</v>
      </c>
      <c r="U89" s="17">
        <f t="shared" si="128"/>
        <v>318.53399999999999</v>
      </c>
      <c r="V89" s="17">
        <f t="shared" si="130"/>
        <v>318.53399999999999</v>
      </c>
      <c r="W89" s="17">
        <f t="shared" si="130"/>
        <v>318.53399999999999</v>
      </c>
      <c r="X89" s="17">
        <f t="shared" si="130"/>
        <v>318.53399999999999</v>
      </c>
      <c r="Y89" s="17">
        <f t="shared" si="130"/>
        <v>318.53399999999999</v>
      </c>
      <c r="Z89" s="17">
        <f t="shared" si="130"/>
        <v>318.53399999999999</v>
      </c>
      <c r="AA89" s="17">
        <f t="shared" si="130"/>
        <v>318.53399999999999</v>
      </c>
      <c r="AB89" s="17">
        <f t="shared" si="130"/>
        <v>318.53399999999999</v>
      </c>
      <c r="AC89" s="17">
        <f t="shared" si="130"/>
        <v>318.53399999999999</v>
      </c>
      <c r="AD89" s="17">
        <f t="shared" si="130"/>
        <v>318.53399999999999</v>
      </c>
      <c r="AE89" s="17">
        <f t="shared" si="130"/>
        <v>318.53399999999999</v>
      </c>
    </row>
    <row r="90" spans="1:47" ht="11.25" customHeight="1">
      <c r="B90" s="7"/>
      <c r="C90" s="7"/>
      <c r="L90" s="7"/>
      <c r="M90" s="7"/>
      <c r="S90" s="8">
        <f t="shared" si="125"/>
        <v>2028</v>
      </c>
      <c r="T90" s="19">
        <f t="shared" si="127"/>
        <v>317.53399999999999</v>
      </c>
      <c r="U90" s="17">
        <f t="shared" si="128"/>
        <v>317.53399999999999</v>
      </c>
      <c r="V90" s="17">
        <f t="shared" si="130"/>
        <v>317.53399999999999</v>
      </c>
      <c r="W90" s="17">
        <f t="shared" si="130"/>
        <v>317.53399999999999</v>
      </c>
      <c r="X90" s="17">
        <f t="shared" si="130"/>
        <v>317.53399999999999</v>
      </c>
      <c r="Y90" s="17">
        <f t="shared" si="130"/>
        <v>317.53399999999999</v>
      </c>
      <c r="Z90" s="17">
        <f t="shared" si="130"/>
        <v>317.53399999999999</v>
      </c>
      <c r="AA90" s="17">
        <f t="shared" si="130"/>
        <v>317.53399999999999</v>
      </c>
      <c r="AB90" s="17">
        <f t="shared" si="130"/>
        <v>317.53399999999999</v>
      </c>
      <c r="AC90" s="17">
        <f t="shared" si="130"/>
        <v>317.53399999999999</v>
      </c>
      <c r="AD90" s="17">
        <f t="shared" si="130"/>
        <v>317.53399999999999</v>
      </c>
      <c r="AE90" s="17">
        <f t="shared" si="130"/>
        <v>317.53399999999999</v>
      </c>
    </row>
    <row r="91" spans="1:47" ht="11.25" customHeight="1">
      <c r="B91" s="7"/>
      <c r="C91" s="7"/>
      <c r="L91" s="7"/>
      <c r="M91" s="7"/>
      <c r="S91" s="8">
        <f t="shared" si="125"/>
        <v>2029</v>
      </c>
      <c r="T91" s="19">
        <f t="shared" si="127"/>
        <v>318.53399999999999</v>
      </c>
      <c r="U91" s="17">
        <f t="shared" si="128"/>
        <v>318.53399999999999</v>
      </c>
      <c r="V91" s="17">
        <f t="shared" si="130"/>
        <v>318.53399999999999</v>
      </c>
      <c r="W91" s="17">
        <f t="shared" si="130"/>
        <v>318.53399999999999</v>
      </c>
      <c r="X91" s="17">
        <f t="shared" si="130"/>
        <v>318.53399999999999</v>
      </c>
      <c r="Y91" s="17">
        <f t="shared" si="130"/>
        <v>318.53399999999999</v>
      </c>
      <c r="Z91" s="17">
        <f t="shared" si="130"/>
        <v>318.53399999999999</v>
      </c>
      <c r="AA91" s="17">
        <f t="shared" si="130"/>
        <v>318.53399999999999</v>
      </c>
      <c r="AB91" s="17">
        <f t="shared" si="130"/>
        <v>318.53399999999999</v>
      </c>
      <c r="AC91" s="17">
        <f t="shared" si="130"/>
        <v>318.53399999999999</v>
      </c>
      <c r="AD91" s="17">
        <f t="shared" si="130"/>
        <v>318.53399999999999</v>
      </c>
      <c r="AE91" s="17">
        <f t="shared" si="130"/>
        <v>318.53399999999999</v>
      </c>
    </row>
    <row r="92" spans="1:47" ht="11.25" customHeight="1">
      <c r="B92" s="7"/>
      <c r="C92" s="7"/>
      <c r="L92" s="7"/>
      <c r="M92" s="7"/>
      <c r="S92" s="8">
        <f t="shared" si="125"/>
        <v>2030</v>
      </c>
      <c r="T92" s="19">
        <f t="shared" si="127"/>
        <v>318.53399999999999</v>
      </c>
      <c r="U92" s="17">
        <f t="shared" si="128"/>
        <v>318.53399999999999</v>
      </c>
      <c r="V92" s="17">
        <f t="shared" si="130"/>
        <v>318.53399999999999</v>
      </c>
      <c r="W92" s="17">
        <f t="shared" si="130"/>
        <v>318.53399999999999</v>
      </c>
      <c r="X92" s="17">
        <f t="shared" si="130"/>
        <v>318.53399999999999</v>
      </c>
      <c r="Y92" s="17">
        <f t="shared" si="130"/>
        <v>318.53399999999999</v>
      </c>
      <c r="Z92" s="17">
        <f t="shared" si="130"/>
        <v>318.53399999999999</v>
      </c>
      <c r="AA92" s="17">
        <f t="shared" si="130"/>
        <v>318.53399999999999</v>
      </c>
      <c r="AB92" s="17">
        <f t="shared" si="130"/>
        <v>318.53399999999999</v>
      </c>
      <c r="AC92" s="17">
        <f t="shared" si="130"/>
        <v>318.53399999999999</v>
      </c>
      <c r="AD92" s="17">
        <f t="shared" si="130"/>
        <v>318.53399999999999</v>
      </c>
      <c r="AE92" s="17">
        <f t="shared" si="130"/>
        <v>318.53399999999999</v>
      </c>
    </row>
    <row r="93" spans="1:47" ht="11.25" customHeight="1">
      <c r="B93" s="7"/>
      <c r="C93" s="7"/>
      <c r="L93" s="7"/>
      <c r="M93" s="7"/>
      <c r="S93" s="8">
        <f t="shared" ref="S93:S101" si="131">S42</f>
        <v>2031</v>
      </c>
      <c r="T93" s="19">
        <f t="shared" ref="T93:T102" si="132">F55</f>
        <v>302.53399999999999</v>
      </c>
      <c r="U93" s="17">
        <f t="shared" si="128"/>
        <v>302.53399999999999</v>
      </c>
      <c r="V93" s="17">
        <f t="shared" si="130"/>
        <v>302.53399999999999</v>
      </c>
      <c r="W93" s="17">
        <f t="shared" si="130"/>
        <v>302.53399999999999</v>
      </c>
      <c r="X93" s="17">
        <f t="shared" si="130"/>
        <v>302.53399999999999</v>
      </c>
      <c r="Y93" s="17">
        <f t="shared" si="130"/>
        <v>302.53399999999999</v>
      </c>
      <c r="Z93" s="17">
        <f t="shared" si="130"/>
        <v>302.53399999999999</v>
      </c>
      <c r="AA93" s="17">
        <f t="shared" si="130"/>
        <v>302.53399999999999</v>
      </c>
      <c r="AB93" s="17">
        <f t="shared" si="130"/>
        <v>302.53399999999999</v>
      </c>
      <c r="AC93" s="17">
        <f t="shared" si="130"/>
        <v>302.53399999999999</v>
      </c>
      <c r="AD93" s="17">
        <f t="shared" si="130"/>
        <v>302.53399999999999</v>
      </c>
      <c r="AE93" s="17">
        <f t="shared" si="130"/>
        <v>302.53399999999999</v>
      </c>
    </row>
    <row r="94" spans="1:47" ht="11.25" customHeight="1">
      <c r="B94" s="7"/>
      <c r="C94" s="7"/>
      <c r="L94" s="7"/>
      <c r="M94" s="7"/>
      <c r="S94" s="8">
        <f t="shared" si="131"/>
        <v>2032</v>
      </c>
      <c r="T94" s="19">
        <f t="shared" si="132"/>
        <v>287.53399999999999</v>
      </c>
      <c r="U94" s="17">
        <f t="shared" si="128"/>
        <v>287.53399999999999</v>
      </c>
      <c r="V94" s="17">
        <f t="shared" si="130"/>
        <v>287.53399999999999</v>
      </c>
      <c r="W94" s="17">
        <f t="shared" si="130"/>
        <v>287.53399999999999</v>
      </c>
      <c r="X94" s="17">
        <f t="shared" si="130"/>
        <v>287.53399999999999</v>
      </c>
      <c r="Y94" s="17">
        <f t="shared" si="130"/>
        <v>287.53399999999999</v>
      </c>
      <c r="Z94" s="17">
        <f t="shared" si="130"/>
        <v>287.53399999999999</v>
      </c>
      <c r="AA94" s="17">
        <f t="shared" si="130"/>
        <v>287.53399999999999</v>
      </c>
      <c r="AB94" s="17">
        <f t="shared" si="130"/>
        <v>287.53399999999999</v>
      </c>
      <c r="AC94" s="17">
        <f t="shared" si="130"/>
        <v>287.53399999999999</v>
      </c>
      <c r="AD94" s="17">
        <f t="shared" si="130"/>
        <v>287.53399999999999</v>
      </c>
      <c r="AE94" s="17">
        <f t="shared" si="130"/>
        <v>287.53399999999999</v>
      </c>
    </row>
    <row r="95" spans="1:47" ht="11.25" customHeight="1">
      <c r="B95" s="7"/>
      <c r="C95" s="7"/>
      <c r="L95" s="7"/>
      <c r="M95" s="7"/>
      <c r="S95" s="8">
        <f t="shared" si="131"/>
        <v>2033</v>
      </c>
      <c r="T95" s="19">
        <f t="shared" si="132"/>
        <v>287.53399999999999</v>
      </c>
      <c r="U95" s="17">
        <f t="shared" si="128"/>
        <v>287.53399999999999</v>
      </c>
      <c r="V95" s="17">
        <f t="shared" si="130"/>
        <v>287.53399999999999</v>
      </c>
      <c r="W95" s="17">
        <f t="shared" si="130"/>
        <v>287.53399999999999</v>
      </c>
      <c r="X95" s="17">
        <f t="shared" si="130"/>
        <v>287.53399999999999</v>
      </c>
      <c r="Y95" s="17">
        <f t="shared" si="130"/>
        <v>287.53399999999999</v>
      </c>
      <c r="Z95" s="17">
        <f t="shared" si="130"/>
        <v>287.53399999999999</v>
      </c>
      <c r="AA95" s="17">
        <f t="shared" si="130"/>
        <v>287.53399999999999</v>
      </c>
      <c r="AB95" s="17">
        <f t="shared" si="130"/>
        <v>287.53399999999999</v>
      </c>
      <c r="AC95" s="17">
        <f t="shared" si="130"/>
        <v>287.53399999999999</v>
      </c>
      <c r="AD95" s="17">
        <f t="shared" si="130"/>
        <v>287.53399999999999</v>
      </c>
      <c r="AE95" s="17">
        <f t="shared" si="130"/>
        <v>287.53399999999999</v>
      </c>
    </row>
    <row r="96" spans="1:47" ht="11.25" customHeight="1">
      <c r="B96" s="7"/>
      <c r="C96" s="7"/>
      <c r="L96" s="7"/>
      <c r="M96" s="7"/>
      <c r="S96" s="8">
        <f t="shared" si="131"/>
        <v>2034</v>
      </c>
      <c r="T96" s="19">
        <f t="shared" si="132"/>
        <v>287.53399999999999</v>
      </c>
      <c r="U96" s="17">
        <f t="shared" si="128"/>
        <v>287.53399999999999</v>
      </c>
      <c r="V96" s="17">
        <f t="shared" si="130"/>
        <v>287.53399999999999</v>
      </c>
      <c r="W96" s="17">
        <f t="shared" si="130"/>
        <v>287.53399999999999</v>
      </c>
      <c r="X96" s="17">
        <f t="shared" si="130"/>
        <v>287.53399999999999</v>
      </c>
      <c r="Y96" s="17">
        <f t="shared" si="130"/>
        <v>287.53399999999999</v>
      </c>
      <c r="Z96" s="17">
        <f t="shared" si="130"/>
        <v>287.53399999999999</v>
      </c>
      <c r="AA96" s="17">
        <f t="shared" si="130"/>
        <v>287.53399999999999</v>
      </c>
      <c r="AB96" s="17">
        <f t="shared" si="130"/>
        <v>287.53399999999999</v>
      </c>
      <c r="AC96" s="17">
        <f t="shared" si="130"/>
        <v>287.53399999999999</v>
      </c>
      <c r="AD96" s="17">
        <f t="shared" si="130"/>
        <v>287.53399999999999</v>
      </c>
      <c r="AE96" s="17">
        <f t="shared" si="130"/>
        <v>287.53399999999999</v>
      </c>
    </row>
    <row r="97" spans="2:45" ht="11.25" customHeight="1">
      <c r="B97" s="7"/>
      <c r="C97" s="7"/>
      <c r="L97" s="7"/>
      <c r="M97" s="7"/>
      <c r="S97" s="8">
        <f t="shared" si="131"/>
        <v>2035</v>
      </c>
      <c r="T97" s="19">
        <f t="shared" si="132"/>
        <v>287.53399999999999</v>
      </c>
      <c r="U97" s="17">
        <f t="shared" si="128"/>
        <v>287.53399999999999</v>
      </c>
      <c r="V97" s="17">
        <f t="shared" si="130"/>
        <v>287.53399999999999</v>
      </c>
      <c r="W97" s="17">
        <f t="shared" si="130"/>
        <v>287.53399999999999</v>
      </c>
      <c r="X97" s="17">
        <f t="shared" si="130"/>
        <v>287.53399999999999</v>
      </c>
      <c r="Y97" s="17">
        <f t="shared" si="130"/>
        <v>287.53399999999999</v>
      </c>
      <c r="Z97" s="17">
        <f t="shared" si="130"/>
        <v>287.53399999999999</v>
      </c>
      <c r="AA97" s="17">
        <f t="shared" si="130"/>
        <v>287.53399999999999</v>
      </c>
      <c r="AB97" s="17">
        <f t="shared" si="130"/>
        <v>287.53399999999999</v>
      </c>
      <c r="AC97" s="17">
        <f t="shared" si="130"/>
        <v>287.53399999999999</v>
      </c>
      <c r="AD97" s="17">
        <f t="shared" si="130"/>
        <v>287.53399999999999</v>
      </c>
      <c r="AE97" s="17">
        <f t="shared" si="130"/>
        <v>287.53399999999999</v>
      </c>
    </row>
    <row r="98" spans="2:45" ht="11.25" customHeight="1">
      <c r="B98" s="7"/>
      <c r="C98" s="7"/>
      <c r="L98" s="7"/>
      <c r="M98" s="7"/>
      <c r="S98" s="8">
        <f t="shared" si="131"/>
        <v>2036</v>
      </c>
      <c r="T98" s="19">
        <f t="shared" si="132"/>
        <v>287.53399999999999</v>
      </c>
      <c r="U98" s="17">
        <f t="shared" si="128"/>
        <v>287.53399999999999</v>
      </c>
      <c r="V98" s="17">
        <f t="shared" si="130"/>
        <v>287.53399999999999</v>
      </c>
      <c r="W98" s="17">
        <f t="shared" si="130"/>
        <v>287.53399999999999</v>
      </c>
      <c r="X98" s="17">
        <f t="shared" si="130"/>
        <v>287.53399999999999</v>
      </c>
      <c r="Y98" s="17">
        <f t="shared" si="130"/>
        <v>287.53399999999999</v>
      </c>
      <c r="Z98" s="17">
        <f t="shared" si="130"/>
        <v>287.53399999999999</v>
      </c>
      <c r="AA98" s="17">
        <f t="shared" si="130"/>
        <v>287.53399999999999</v>
      </c>
      <c r="AB98" s="17">
        <f t="shared" si="130"/>
        <v>287.53399999999999</v>
      </c>
      <c r="AC98" s="17">
        <f t="shared" si="130"/>
        <v>287.53399999999999</v>
      </c>
      <c r="AD98" s="17">
        <f t="shared" si="130"/>
        <v>287.53399999999999</v>
      </c>
      <c r="AE98" s="17">
        <f t="shared" si="130"/>
        <v>287.53399999999999</v>
      </c>
    </row>
    <row r="99" spans="2:45" ht="11.25" customHeight="1">
      <c r="B99" s="7"/>
      <c r="C99" s="7"/>
      <c r="L99" s="7"/>
      <c r="M99" s="7"/>
      <c r="S99" s="8">
        <f t="shared" si="131"/>
        <v>2037</v>
      </c>
      <c r="T99" s="19">
        <f t="shared" si="132"/>
        <v>287.53399999999999</v>
      </c>
      <c r="U99" s="17">
        <f t="shared" si="128"/>
        <v>287.53399999999999</v>
      </c>
      <c r="V99" s="17">
        <f t="shared" si="128"/>
        <v>287.53399999999999</v>
      </c>
      <c r="W99" s="17">
        <f t="shared" si="128"/>
        <v>287.53399999999999</v>
      </c>
      <c r="X99" s="17">
        <f t="shared" si="128"/>
        <v>287.53399999999999</v>
      </c>
      <c r="Y99" s="17">
        <f t="shared" si="128"/>
        <v>287.53399999999999</v>
      </c>
      <c r="Z99" s="17">
        <f t="shared" si="128"/>
        <v>287.53399999999999</v>
      </c>
      <c r="AA99" s="17">
        <f t="shared" si="128"/>
        <v>287.53399999999999</v>
      </c>
      <c r="AB99" s="17">
        <f t="shared" si="128"/>
        <v>287.53399999999999</v>
      </c>
      <c r="AC99" s="17">
        <f t="shared" si="128"/>
        <v>287.53399999999999</v>
      </c>
      <c r="AD99" s="17">
        <f t="shared" si="128"/>
        <v>287.53399999999999</v>
      </c>
      <c r="AE99" s="17">
        <f t="shared" si="128"/>
        <v>287.53399999999999</v>
      </c>
    </row>
    <row r="100" spans="2:45" ht="11.25" customHeight="1">
      <c r="B100" s="7"/>
      <c r="C100" s="7"/>
      <c r="L100" s="7"/>
      <c r="M100" s="7"/>
      <c r="S100" s="8">
        <f t="shared" si="131"/>
        <v>2038</v>
      </c>
      <c r="T100" s="19">
        <f t="shared" si="132"/>
        <v>287.53399999999999</v>
      </c>
      <c r="U100" s="17">
        <f t="shared" ref="U100:AE102" si="133">$T100</f>
        <v>287.53399999999999</v>
      </c>
      <c r="V100" s="17">
        <f t="shared" si="133"/>
        <v>287.53399999999999</v>
      </c>
      <c r="W100" s="17">
        <f t="shared" si="133"/>
        <v>287.53399999999999</v>
      </c>
      <c r="X100" s="17">
        <f t="shared" si="133"/>
        <v>287.53399999999999</v>
      </c>
      <c r="Y100" s="17">
        <f t="shared" si="133"/>
        <v>287.53399999999999</v>
      </c>
      <c r="Z100" s="17">
        <f t="shared" si="133"/>
        <v>287.53399999999999</v>
      </c>
      <c r="AA100" s="17">
        <f t="shared" si="133"/>
        <v>287.53399999999999</v>
      </c>
      <c r="AB100" s="17">
        <f t="shared" si="133"/>
        <v>287.53399999999999</v>
      </c>
      <c r="AC100" s="17">
        <f t="shared" si="133"/>
        <v>287.53399999999999</v>
      </c>
      <c r="AD100" s="17">
        <f t="shared" si="133"/>
        <v>287.53399999999999</v>
      </c>
      <c r="AE100" s="17">
        <f t="shared" si="133"/>
        <v>287.53399999999999</v>
      </c>
    </row>
    <row r="101" spans="2:45" ht="11.25" customHeight="1">
      <c r="B101" s="7"/>
      <c r="C101" s="7"/>
      <c r="L101" s="7"/>
      <c r="M101" s="7"/>
      <c r="S101" s="8">
        <f t="shared" si="131"/>
        <v>2039</v>
      </c>
      <c r="T101" s="19">
        <f t="shared" si="132"/>
        <v>287.53399999999999</v>
      </c>
      <c r="U101" s="17">
        <f t="shared" si="133"/>
        <v>287.53399999999999</v>
      </c>
      <c r="V101" s="17">
        <f t="shared" si="133"/>
        <v>287.53399999999999</v>
      </c>
      <c r="W101" s="17">
        <f t="shared" si="133"/>
        <v>287.53399999999999</v>
      </c>
      <c r="X101" s="17">
        <f t="shared" si="133"/>
        <v>287.53399999999999</v>
      </c>
      <c r="Y101" s="17">
        <f t="shared" si="133"/>
        <v>287.53399999999999</v>
      </c>
      <c r="Z101" s="17">
        <f t="shared" si="133"/>
        <v>287.53399999999999</v>
      </c>
      <c r="AA101" s="17">
        <f t="shared" si="133"/>
        <v>287.53399999999999</v>
      </c>
      <c r="AB101" s="17">
        <f t="shared" si="133"/>
        <v>287.53399999999999</v>
      </c>
      <c r="AC101" s="17">
        <f t="shared" si="133"/>
        <v>287.53399999999999</v>
      </c>
      <c r="AD101" s="17">
        <f t="shared" si="133"/>
        <v>287.53399999999999</v>
      </c>
      <c r="AE101" s="17">
        <f t="shared" si="133"/>
        <v>287.53399999999999</v>
      </c>
    </row>
    <row r="102" spans="2:45" ht="11.25" customHeight="1">
      <c r="B102" s="7"/>
      <c r="C102" s="7"/>
      <c r="L102" s="7"/>
      <c r="M102" s="7"/>
      <c r="S102" s="8">
        <f>S51</f>
        <v>2040</v>
      </c>
      <c r="T102" s="19">
        <f t="shared" si="132"/>
        <v>287.53399999999999</v>
      </c>
      <c r="U102" s="17">
        <f t="shared" si="133"/>
        <v>287.53399999999999</v>
      </c>
      <c r="V102" s="17">
        <f t="shared" si="133"/>
        <v>287.53399999999999</v>
      </c>
      <c r="W102" s="17">
        <f t="shared" si="133"/>
        <v>287.53399999999999</v>
      </c>
      <c r="X102" s="17">
        <f t="shared" si="133"/>
        <v>287.53399999999999</v>
      </c>
      <c r="Y102" s="17">
        <f t="shared" si="133"/>
        <v>287.53399999999999</v>
      </c>
      <c r="Z102" s="17">
        <f t="shared" si="133"/>
        <v>287.53399999999999</v>
      </c>
      <c r="AA102" s="17">
        <f t="shared" si="133"/>
        <v>287.53399999999999</v>
      </c>
      <c r="AB102" s="17">
        <f t="shared" si="133"/>
        <v>287.53399999999999</v>
      </c>
      <c r="AC102" s="17">
        <f t="shared" si="133"/>
        <v>287.53399999999999</v>
      </c>
      <c r="AD102" s="17">
        <f t="shared" si="133"/>
        <v>287.53399999999999</v>
      </c>
      <c r="AE102" s="17">
        <f t="shared" si="133"/>
        <v>287.53399999999999</v>
      </c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8"/>
    </row>
    <row r="103" spans="2:45" ht="11.25" customHeight="1">
      <c r="B103" s="7"/>
      <c r="C103" s="7"/>
      <c r="L103" s="7"/>
      <c r="M103" s="7"/>
      <c r="T103" s="46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7"/>
      <c r="AH103" s="8"/>
      <c r="AI103" s="8"/>
      <c r="AJ103" s="21"/>
      <c r="AK103" s="7"/>
      <c r="AL103" s="17"/>
      <c r="AM103" s="21"/>
      <c r="AN103" s="8"/>
      <c r="AO103" s="17"/>
      <c r="AP103" s="7"/>
      <c r="AQ103" s="21"/>
      <c r="AR103" s="21"/>
      <c r="AS103" s="21"/>
    </row>
    <row r="104" spans="2:45" ht="11.25" customHeight="1">
      <c r="B104" s="7"/>
      <c r="C104" s="7"/>
      <c r="L104" s="7"/>
      <c r="M104" s="7"/>
      <c r="S104" s="892" t="s">
        <v>438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7"/>
      <c r="AH104" s="8"/>
      <c r="AI104" s="8"/>
      <c r="AJ104" s="21"/>
      <c r="AK104" s="7"/>
      <c r="AL104" s="17"/>
      <c r="AM104" s="21"/>
      <c r="AN104" s="8"/>
      <c r="AO104" s="17"/>
      <c r="AP104" s="7"/>
      <c r="AQ104" s="21"/>
      <c r="AR104" s="21"/>
      <c r="AS104" s="21"/>
    </row>
    <row r="105" spans="2:45" ht="11.25" customHeight="1">
      <c r="B105" s="7"/>
      <c r="C105" s="7"/>
      <c r="L105" s="7"/>
      <c r="M105" s="7"/>
      <c r="S105" s="933" t="s">
        <v>51</v>
      </c>
      <c r="T105" s="8" t="s">
        <v>28</v>
      </c>
      <c r="U105" s="8" t="s">
        <v>29</v>
      </c>
      <c r="V105" s="8" t="s">
        <v>30</v>
      </c>
      <c r="W105" s="8" t="s">
        <v>31</v>
      </c>
      <c r="X105" s="8" t="s">
        <v>32</v>
      </c>
      <c r="Y105" s="8" t="s">
        <v>33</v>
      </c>
      <c r="Z105" s="8" t="s">
        <v>34</v>
      </c>
      <c r="AA105" s="8" t="s">
        <v>35</v>
      </c>
      <c r="AB105" s="8" t="s">
        <v>36</v>
      </c>
      <c r="AC105" s="8" t="s">
        <v>37</v>
      </c>
      <c r="AD105" s="8" t="s">
        <v>38</v>
      </c>
      <c r="AE105" s="8" t="s">
        <v>39</v>
      </c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</row>
    <row r="106" spans="2:45" ht="11.25" customHeight="1">
      <c r="B106" s="7"/>
      <c r="C106" s="7"/>
      <c r="L106" s="7"/>
      <c r="M106" s="7"/>
      <c r="S106" s="56">
        <f t="shared" ref="S106:S138" si="134">S60</f>
        <v>1998</v>
      </c>
      <c r="T106" s="313">
        <v>18.600000000000001</v>
      </c>
      <c r="U106" s="313">
        <v>18.7</v>
      </c>
      <c r="V106" s="671">
        <v>24.7</v>
      </c>
      <c r="W106" s="313">
        <v>32.200000000000003</v>
      </c>
      <c r="X106" s="313">
        <v>21.6</v>
      </c>
      <c r="Y106" s="313">
        <v>19.3</v>
      </c>
      <c r="Z106" s="313">
        <v>25.3</v>
      </c>
      <c r="AA106" s="313">
        <v>26.9</v>
      </c>
      <c r="AB106" s="313">
        <v>25.3</v>
      </c>
      <c r="AC106" s="313">
        <v>20.399999999999999</v>
      </c>
      <c r="AD106" s="313">
        <v>20.399999999999999</v>
      </c>
      <c r="AE106" s="313">
        <v>21.4</v>
      </c>
      <c r="AF106" s="17"/>
      <c r="AG106" s="8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</row>
    <row r="107" spans="2:45" ht="11.25" customHeight="1">
      <c r="B107" s="7"/>
      <c r="C107" s="7"/>
      <c r="L107" s="7"/>
      <c r="M107" s="7"/>
      <c r="S107" s="56">
        <f t="shared" si="134"/>
        <v>1999</v>
      </c>
      <c r="T107" s="313">
        <v>6.8</v>
      </c>
      <c r="U107" s="313">
        <v>20.7</v>
      </c>
      <c r="V107" s="313">
        <v>18.600000000000001</v>
      </c>
      <c r="W107" s="313">
        <v>17</v>
      </c>
      <c r="X107" s="313">
        <v>24.1</v>
      </c>
      <c r="Y107" s="313">
        <v>22.1</v>
      </c>
      <c r="Z107" s="313">
        <v>20.3</v>
      </c>
      <c r="AA107" s="313">
        <v>23.2</v>
      </c>
      <c r="AB107" s="313">
        <v>22.5</v>
      </c>
      <c r="AC107" s="313">
        <v>24.1</v>
      </c>
      <c r="AD107" s="313">
        <v>16.7</v>
      </c>
      <c r="AE107" s="313">
        <v>17.7</v>
      </c>
      <c r="AF107" s="17"/>
      <c r="AG107" s="8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</row>
    <row r="108" spans="2:45" ht="11.25" customHeight="1">
      <c r="B108" s="7"/>
      <c r="C108" s="7"/>
      <c r="L108" s="7"/>
      <c r="M108" s="7"/>
      <c r="S108" s="56">
        <f t="shared" si="134"/>
        <v>2000</v>
      </c>
      <c r="T108" s="313">
        <v>18</v>
      </c>
      <c r="U108" s="313">
        <v>13</v>
      </c>
      <c r="V108" s="313">
        <v>18</v>
      </c>
      <c r="W108" s="313">
        <v>18</v>
      </c>
      <c r="X108" s="313">
        <v>18</v>
      </c>
      <c r="Y108" s="313">
        <v>10</v>
      </c>
      <c r="Z108" s="313">
        <v>18</v>
      </c>
      <c r="AA108" s="313">
        <v>21</v>
      </c>
      <c r="AB108" s="313">
        <v>20</v>
      </c>
      <c r="AC108" s="313">
        <v>21</v>
      </c>
      <c r="AD108" s="313">
        <v>23</v>
      </c>
      <c r="AE108" s="313">
        <v>16</v>
      </c>
      <c r="AF108" s="17"/>
      <c r="AG108" s="8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</row>
    <row r="109" spans="2:45" ht="11.25" customHeight="1">
      <c r="B109" s="7"/>
      <c r="C109" s="7"/>
      <c r="L109" s="7"/>
      <c r="M109" s="7"/>
      <c r="S109" s="56">
        <f t="shared" si="134"/>
        <v>2001</v>
      </c>
      <c r="T109" s="313">
        <v>19.259955005624295</v>
      </c>
      <c r="U109" s="313">
        <v>19.485139999999998</v>
      </c>
      <c r="V109" s="313">
        <v>20.288630000000001</v>
      </c>
      <c r="W109" s="313">
        <v>26.644179999999999</v>
      </c>
      <c r="X109" s="313">
        <v>22.718070000000001</v>
      </c>
      <c r="Y109" s="313">
        <v>28.45025</v>
      </c>
      <c r="Z109" s="313">
        <v>21.70524</v>
      </c>
      <c r="AA109" s="313">
        <v>21.401439999999997</v>
      </c>
      <c r="AB109" s="313">
        <v>20.691299999999998</v>
      </c>
      <c r="AC109" s="313">
        <v>28.989470000000001</v>
      </c>
      <c r="AD109" s="313">
        <v>22.233240000000002</v>
      </c>
      <c r="AE109" s="313">
        <v>17.094630000000002</v>
      </c>
      <c r="AF109" s="17"/>
      <c r="AG109" s="8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</row>
    <row r="110" spans="2:45" ht="11.25" customHeight="1">
      <c r="B110" s="7"/>
      <c r="C110" s="7"/>
      <c r="L110" s="7"/>
      <c r="M110" s="7"/>
      <c r="S110" s="56">
        <f t="shared" si="134"/>
        <v>2002</v>
      </c>
      <c r="T110" s="313">
        <v>15.3</v>
      </c>
      <c r="U110" s="313">
        <v>22.7</v>
      </c>
      <c r="V110" s="313">
        <v>20.100000000000001</v>
      </c>
      <c r="W110" s="313">
        <v>21.2</v>
      </c>
      <c r="X110" s="313">
        <v>28.4</v>
      </c>
      <c r="Y110" s="313">
        <v>26.8</v>
      </c>
      <c r="Z110" s="313">
        <v>25.9</v>
      </c>
      <c r="AA110" s="313">
        <v>26.7</v>
      </c>
      <c r="AB110" s="313">
        <v>22.2</v>
      </c>
      <c r="AC110" s="313">
        <v>26.3</v>
      </c>
      <c r="AD110" s="313">
        <v>23.7</v>
      </c>
      <c r="AE110" s="313">
        <v>26.2</v>
      </c>
      <c r="AF110" s="17"/>
      <c r="AG110" s="8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</row>
    <row r="111" spans="2:45" ht="11.25" customHeight="1">
      <c r="B111" s="7"/>
      <c r="C111" s="7"/>
      <c r="L111" s="7"/>
      <c r="M111" s="7"/>
      <c r="S111" s="56">
        <f t="shared" si="134"/>
        <v>2003</v>
      </c>
      <c r="T111" s="313">
        <v>15.21913</v>
      </c>
      <c r="U111" s="313">
        <v>22.366669999999999</v>
      </c>
      <c r="V111" s="313">
        <v>30.29663</v>
      </c>
      <c r="W111" s="313">
        <v>22.037759999999999</v>
      </c>
      <c r="X111" s="313">
        <v>27.333680000000001</v>
      </c>
      <c r="Y111" s="313">
        <v>22.660720000000001</v>
      </c>
      <c r="Z111" s="313">
        <v>14.520959999999999</v>
      </c>
      <c r="AA111" s="313">
        <v>20.249179999999999</v>
      </c>
      <c r="AB111" s="313">
        <v>18.284419999999997</v>
      </c>
      <c r="AC111" s="313">
        <v>18.987479999999998</v>
      </c>
      <c r="AD111" s="313">
        <v>17.687819999999999</v>
      </c>
      <c r="AE111" s="313">
        <v>11.715260000000001</v>
      </c>
      <c r="AF111" s="17"/>
      <c r="AG111" s="8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</row>
    <row r="112" spans="2:45" ht="11.25" customHeight="1">
      <c r="B112" s="7"/>
      <c r="C112" s="7"/>
      <c r="L112" s="7"/>
      <c r="M112" s="7"/>
      <c r="S112" s="56">
        <f t="shared" si="134"/>
        <v>2004</v>
      </c>
      <c r="T112" s="313">
        <v>14</v>
      </c>
      <c r="U112" s="313">
        <v>14</v>
      </c>
      <c r="V112" s="313">
        <v>15</v>
      </c>
      <c r="W112" s="313">
        <v>42.415239999999997</v>
      </c>
      <c r="X112" s="313">
        <v>31.594930000000002</v>
      </c>
      <c r="Y112" s="313">
        <v>40.895530000000001</v>
      </c>
      <c r="Z112" s="313">
        <v>43.107239999999997</v>
      </c>
      <c r="AA112" s="313">
        <v>41.774329999999999</v>
      </c>
      <c r="AB112" s="313">
        <v>38.505269999999996</v>
      </c>
      <c r="AC112" s="313">
        <v>41.028080000000003</v>
      </c>
      <c r="AD112" s="313">
        <v>47.80433</v>
      </c>
      <c r="AE112" s="313">
        <v>47.448120000000003</v>
      </c>
      <c r="AF112" s="17"/>
      <c r="AG112" s="8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</row>
    <row r="113" spans="2:89" ht="11.25" customHeight="1">
      <c r="B113" s="7"/>
      <c r="C113" s="7"/>
      <c r="L113" s="7"/>
      <c r="M113" s="7"/>
      <c r="S113" s="56">
        <f t="shared" si="134"/>
        <v>2005</v>
      </c>
      <c r="T113" s="313">
        <v>39.138529999999996</v>
      </c>
      <c r="U113" s="313">
        <v>42.060079999999999</v>
      </c>
      <c r="V113" s="313">
        <v>33.447019999999995</v>
      </c>
      <c r="W113" s="313">
        <v>44.757379999999998</v>
      </c>
      <c r="X113" s="313">
        <v>47.137230000000002</v>
      </c>
      <c r="Y113" s="313">
        <v>42.450749999999999</v>
      </c>
      <c r="Z113" s="313">
        <v>52.72287</v>
      </c>
      <c r="AA113" s="313">
        <v>48.808070000000001</v>
      </c>
      <c r="AB113" s="313">
        <v>45.876230000000007</v>
      </c>
      <c r="AC113" s="313">
        <v>46.636679999999998</v>
      </c>
      <c r="AD113" s="313">
        <v>41.472339999999996</v>
      </c>
      <c r="AE113" s="313">
        <v>31.262790000000003</v>
      </c>
      <c r="AF113" s="17"/>
      <c r="AG113" s="8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</row>
    <row r="114" spans="2:89" ht="11.25" customHeight="1">
      <c r="B114" s="7"/>
      <c r="C114" s="7"/>
      <c r="L114" s="7"/>
      <c r="M114" s="7"/>
      <c r="S114" s="56">
        <f t="shared" si="134"/>
        <v>2006</v>
      </c>
      <c r="T114" s="313">
        <v>31.353580000000001</v>
      </c>
      <c r="U114" s="671">
        <v>29.521519999999999</v>
      </c>
      <c r="V114" s="313">
        <v>26.313310000000001</v>
      </c>
      <c r="W114" s="313">
        <v>26.114429999999999</v>
      </c>
      <c r="X114" s="313">
        <v>23.798569999999998</v>
      </c>
      <c r="Y114" s="313">
        <v>23.551269999999999</v>
      </c>
      <c r="Z114" s="313">
        <v>29.800169999999998</v>
      </c>
      <c r="AA114" s="313">
        <v>22.827360000000002</v>
      </c>
      <c r="AB114" s="313">
        <v>25.585270000000001</v>
      </c>
      <c r="AC114" s="313">
        <v>25.94445</v>
      </c>
      <c r="AD114" s="313">
        <v>28.235599999999998</v>
      </c>
      <c r="AE114" s="313">
        <v>19.115749999999998</v>
      </c>
      <c r="AF114" s="17"/>
      <c r="AG114" s="8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BP114" s="8"/>
      <c r="BQ114" s="8"/>
      <c r="BR114" s="8"/>
      <c r="BS114" s="8"/>
      <c r="BT114" s="8"/>
      <c r="BU114" s="8"/>
    </row>
    <row r="115" spans="2:89" ht="11.25" customHeight="1">
      <c r="B115" s="7"/>
      <c r="C115" s="7"/>
      <c r="L115" s="7"/>
      <c r="M115" s="7"/>
      <c r="S115" s="804">
        <f t="shared" si="134"/>
        <v>2007</v>
      </c>
      <c r="T115" s="313">
        <v>28.415939999999999</v>
      </c>
      <c r="U115" s="671">
        <v>16.038019999999999</v>
      </c>
      <c r="V115" s="805">
        <v>23.429650000000002</v>
      </c>
      <c r="W115" s="805">
        <v>21.755299999999998</v>
      </c>
      <c r="X115" s="805">
        <v>20.417380000000001</v>
      </c>
      <c r="Y115" s="805">
        <v>17.182029999999997</v>
      </c>
      <c r="Z115" s="805">
        <v>20.588439999999999</v>
      </c>
      <c r="AA115" s="805">
        <v>20.318380000000001</v>
      </c>
      <c r="AB115" s="805">
        <v>20.87942</v>
      </c>
      <c r="AC115" s="805">
        <v>20.18187</v>
      </c>
      <c r="AD115" s="805">
        <v>22.791979999999999</v>
      </c>
      <c r="AE115" s="805">
        <v>14.64936</v>
      </c>
      <c r="AF115" s="17"/>
      <c r="AG115" s="8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BP115" s="17"/>
      <c r="BQ115" s="17"/>
      <c r="BR115" s="17"/>
      <c r="BS115" s="17"/>
      <c r="BT115" s="17"/>
      <c r="BU115" s="17"/>
    </row>
    <row r="116" spans="2:89" ht="11.25" customHeight="1">
      <c r="B116" s="7"/>
      <c r="C116" s="7"/>
      <c r="L116" s="7"/>
      <c r="M116" s="7"/>
      <c r="S116" s="804">
        <f t="shared" si="134"/>
        <v>2008</v>
      </c>
      <c r="T116" s="775">
        <f>[19]CS!$AJ$3</f>
        <v>14.695</v>
      </c>
      <c r="U116" s="774">
        <f>[19]CS!$AJ$4</f>
        <v>16.053000000000001</v>
      </c>
      <c r="V116" s="774">
        <f>[19]CS!$AJ$5</f>
        <v>22.3</v>
      </c>
      <c r="W116" s="774">
        <f>[19]CS!$AJ$6</f>
        <v>22.356999999999999</v>
      </c>
      <c r="X116" s="774">
        <f>[19]CS!$AJ$7</f>
        <v>24.148</v>
      </c>
      <c r="Y116" s="774">
        <f>[19]CS!$AJ$8</f>
        <v>25.864000000000001</v>
      </c>
      <c r="Z116" s="774">
        <f>[19]CS!$AJ$9</f>
        <v>25.268000000000001</v>
      </c>
      <c r="AA116" s="775">
        <f>[19]CS!$AJ$10</f>
        <v>22.885999999999999</v>
      </c>
      <c r="AB116" s="774">
        <f>[19]CS!$AJ$11</f>
        <v>22.395</v>
      </c>
      <c r="AC116" s="774">
        <f>[19]CS!$AJ$12</f>
        <v>22.844000000000001</v>
      </c>
      <c r="AD116" s="774">
        <f>[19]CS!$AJ$13</f>
        <v>18.725999999999999</v>
      </c>
      <c r="AE116" s="774">
        <f>[19]CS!$AJ$14</f>
        <v>18.765000000000001</v>
      </c>
      <c r="AF116" s="17"/>
      <c r="AG116" s="8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BP116" s="17"/>
      <c r="BQ116" s="17"/>
      <c r="BR116" s="17"/>
      <c r="BS116" s="17"/>
      <c r="BT116" s="17"/>
      <c r="BU116" s="17"/>
    </row>
    <row r="117" spans="2:89" ht="11.25" customHeight="1">
      <c r="B117" s="7"/>
      <c r="C117" s="7"/>
      <c r="L117" s="7"/>
      <c r="M117" s="7"/>
      <c r="S117" s="804">
        <f t="shared" si="134"/>
        <v>2009</v>
      </c>
      <c r="T117" s="774">
        <f>[20]CS!$AJ$3</f>
        <v>12.552</v>
      </c>
      <c r="U117" s="775">
        <f>[20]CS!$AJ$4</f>
        <v>21.881</v>
      </c>
      <c r="V117" s="965">
        <f>[20]CS!$AJ$5</f>
        <v>17.384</v>
      </c>
      <c r="W117" s="805">
        <f>[20]CS!$AJ$6</f>
        <v>24.138999999999999</v>
      </c>
      <c r="X117" s="805">
        <f>[20]CS!$AJ$7</f>
        <v>26.445</v>
      </c>
      <c r="Y117" s="966">
        <f>[20]CS!$AJ$8</f>
        <v>21.808</v>
      </c>
      <c r="Z117" s="805">
        <f>[20]CS!$AJ$9</f>
        <v>13.840999999999999</v>
      </c>
      <c r="AA117" s="805">
        <f>[20]CS!$AJ$10</f>
        <v>16.75</v>
      </c>
      <c r="AB117" s="805">
        <f>[20]CS!$AJ$11</f>
        <v>15.492000000000001</v>
      </c>
      <c r="AC117" s="805">
        <f>[20]CS!$AJ$12</f>
        <v>18.718</v>
      </c>
      <c r="AD117" s="805">
        <f>[20]CS!$AJ$13</f>
        <v>12.737</v>
      </c>
      <c r="AE117" s="805">
        <f>[20]CS!$AJ$14</f>
        <v>14.122</v>
      </c>
      <c r="AF117" s="17"/>
      <c r="AG117" s="8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BP117" s="17"/>
      <c r="BQ117" s="17"/>
      <c r="BR117" s="17"/>
      <c r="BS117" s="17"/>
      <c r="BT117" s="17"/>
      <c r="BU117" s="17"/>
    </row>
    <row r="118" spans="2:89" ht="11.25" customHeight="1">
      <c r="B118" s="7"/>
      <c r="C118" s="7"/>
      <c r="L118" s="7"/>
      <c r="M118" s="7"/>
      <c r="S118" s="804">
        <f t="shared" si="134"/>
        <v>2010</v>
      </c>
      <c r="T118" s="774">
        <f>[21]CS!$AJ$3</f>
        <v>3.3159999999999998</v>
      </c>
      <c r="U118" s="774">
        <f>[21]CS!$AJ$4</f>
        <v>14.106999999999999</v>
      </c>
      <c r="V118" s="965">
        <f>[21]CS!$AJ$5</f>
        <v>16.643000000000001</v>
      </c>
      <c r="W118" s="805">
        <f>[21]CS!$AJ$6</f>
        <v>14.885999999999999</v>
      </c>
      <c r="X118" s="805">
        <f>[21]CS!$AJ$7</f>
        <v>16.216999999999999</v>
      </c>
      <c r="Y118" s="805">
        <f>[21]CS!$AJ$8</f>
        <v>10.404999999999999</v>
      </c>
      <c r="Z118" s="966">
        <f>[21]CS!$AJ$9</f>
        <v>14.077999999999999</v>
      </c>
      <c r="AA118" s="805">
        <f>[21]CS!$AJ$10</f>
        <v>17.013999999999999</v>
      </c>
      <c r="AB118" s="805">
        <f>[21]CS!$AJ$11</f>
        <v>16.786000000000001</v>
      </c>
      <c r="AC118" s="805">
        <f>[21]CS!$AJ$12</f>
        <v>13.839</v>
      </c>
      <c r="AD118" s="805">
        <f>[21]CS!$AJ$13</f>
        <v>10.102</v>
      </c>
      <c r="AE118" s="966">
        <f>[21]CS!$AJ$14</f>
        <v>13.33</v>
      </c>
      <c r="AF118" s="17"/>
      <c r="AG118" s="8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BP118" s="21"/>
      <c r="BQ118" s="21"/>
      <c r="BR118" s="21"/>
      <c r="BS118" s="21"/>
      <c r="BT118" s="21"/>
      <c r="BU118" s="21"/>
    </row>
    <row r="119" spans="2:89" ht="11.25" customHeight="1">
      <c r="B119" s="7"/>
      <c r="C119" s="7"/>
      <c r="L119" s="7"/>
      <c r="M119" s="7"/>
      <c r="S119" s="804">
        <f t="shared" si="134"/>
        <v>2011</v>
      </c>
      <c r="T119" s="966">
        <f>[22]CS!$AJ$3</f>
        <v>6.9790000000000001</v>
      </c>
      <c r="U119" s="805">
        <f>[22]CS!$AJ$4</f>
        <v>7.0679999999999996</v>
      </c>
      <c r="V119" s="805">
        <f>[22]CS!$AJ$5</f>
        <v>10.92</v>
      </c>
      <c r="W119" s="805">
        <f>[22]CS!$AJ$6</f>
        <v>10.707000000000001</v>
      </c>
      <c r="X119" s="805">
        <f>[22]CS!$AJ$7</f>
        <v>6.9859999999999998</v>
      </c>
      <c r="Y119" s="966">
        <f>[22]CS!$AJ$8</f>
        <v>11.398999999999999</v>
      </c>
      <c r="Z119" s="805">
        <f>[22]CS!$AJ$9</f>
        <v>9.4049999999999994</v>
      </c>
      <c r="AA119" s="1199">
        <f>[22]CS!$AJ$10</f>
        <v>6.1</v>
      </c>
      <c r="AB119" s="1199">
        <f>[22]CS!$AJ$11</f>
        <v>7.1769999999999996</v>
      </c>
      <c r="AC119" s="1199">
        <f>[22]CS!$AJ$12</f>
        <v>7.3840000000000003</v>
      </c>
      <c r="AD119" s="1199">
        <f>[22]CS!$AJ$13</f>
        <v>7.5289999999999999</v>
      </c>
      <c r="AE119" s="1199">
        <f>[22]CS!$AJ$14</f>
        <v>6.9169999999999998</v>
      </c>
      <c r="AF119" s="17"/>
      <c r="AG119" s="8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BL119" s="8"/>
      <c r="BM119" s="8"/>
      <c r="BN119" s="8"/>
      <c r="BO119" s="8"/>
      <c r="BP119" s="21"/>
      <c r="BQ119" s="21"/>
      <c r="BR119" s="21"/>
      <c r="BS119" s="21"/>
      <c r="BT119" s="21"/>
      <c r="BU119" s="21"/>
    </row>
    <row r="120" spans="2:89" ht="11.25" customHeight="1">
      <c r="S120" s="804">
        <f t="shared" si="134"/>
        <v>2012</v>
      </c>
      <c r="T120" s="966">
        <f>[23]CS!$AJ$3</f>
        <v>5.4989999999999997</v>
      </c>
      <c r="U120" s="805">
        <f>[23]CS!$AJ$4</f>
        <v>7.3979999999999997</v>
      </c>
      <c r="V120" s="805">
        <f>[23]CS!$AJ$5</f>
        <v>5.0839999999999996</v>
      </c>
      <c r="W120" s="805">
        <f>[23]CS!$AJ$6</f>
        <v>5.0999999999999996</v>
      </c>
      <c r="X120" s="805">
        <f>[23]CS!$AJ$7</f>
        <v>6.7270000000000003</v>
      </c>
      <c r="Y120" s="805">
        <f>[23]CS!$AJ$8</f>
        <v>12.348000000000001</v>
      </c>
      <c r="Z120" s="805">
        <f>[23]CS!$AJ$9</f>
        <v>4.8570000000000002</v>
      </c>
      <c r="AA120" s="966">
        <f>[23]CS!$AJ$10</f>
        <v>4.0979999999999999</v>
      </c>
      <c r="AB120" s="805">
        <f>[23]CS!$AJ$11</f>
        <v>4.37</v>
      </c>
      <c r="AC120" s="805">
        <f>[23]CS!$AJ$12</f>
        <v>3.9079999999999999</v>
      </c>
      <c r="AD120" s="805">
        <f>[23]CS!$AJ$13</f>
        <v>16.443999999999999</v>
      </c>
      <c r="AE120" s="805">
        <f>[23]CS!$AJ$14</f>
        <v>1.5109999999999999</v>
      </c>
      <c r="AF120" s="17"/>
      <c r="AG120" s="8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BL120" s="17"/>
      <c r="BM120" s="17"/>
      <c r="BN120" s="17"/>
      <c r="BO120" s="17"/>
      <c r="BP120" s="21"/>
      <c r="BQ120" s="21"/>
      <c r="BR120" s="21"/>
      <c r="BS120" s="21"/>
      <c r="BT120" s="21"/>
      <c r="BU120" s="21"/>
    </row>
    <row r="121" spans="2:89" ht="11.25" customHeight="1">
      <c r="S121" s="804">
        <f t="shared" si="134"/>
        <v>2013</v>
      </c>
      <c r="T121" s="966">
        <f>[24]CS!$AJ$3</f>
        <v>1.6379999999999999</v>
      </c>
      <c r="U121" s="805">
        <f>[24]CS!$AJ$4</f>
        <v>2.407</v>
      </c>
      <c r="V121" s="805">
        <f>[24]CS!$AJ$5</f>
        <v>4.7670000000000003</v>
      </c>
      <c r="W121" s="805">
        <f>[24]CS!$AJ$6</f>
        <v>7.1719999999999997</v>
      </c>
      <c r="X121" s="805">
        <f>[24]CS!$AJ$7</f>
        <v>7.9420000000000002</v>
      </c>
      <c r="Y121" s="805">
        <f>[24]CS!$AJ$8</f>
        <v>10.664999999999999</v>
      </c>
      <c r="Z121" s="805">
        <f>[24]CS!$AJ$9</f>
        <v>10.11</v>
      </c>
      <c r="AA121" s="17">
        <f>AVERAGE($T121:$Z121)</f>
        <v>6.3858571428571427</v>
      </c>
      <c r="AB121" s="17">
        <f t="shared" ref="AB121:AE121" si="135">AVERAGE($T121:$Z121)</f>
        <v>6.3858571428571427</v>
      </c>
      <c r="AC121" s="17">
        <f t="shared" si="135"/>
        <v>6.3858571428571427</v>
      </c>
      <c r="AD121" s="17">
        <f t="shared" si="135"/>
        <v>6.3858571428571427</v>
      </c>
      <c r="AE121" s="17">
        <f t="shared" si="135"/>
        <v>6.3858571428571427</v>
      </c>
      <c r="AF121" s="17"/>
      <c r="AG121" s="8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BL121" s="17"/>
      <c r="BM121" s="17"/>
      <c r="BN121" s="17"/>
      <c r="BO121" s="17"/>
      <c r="BP121" s="21"/>
      <c r="BQ121" s="21"/>
      <c r="BR121" s="21"/>
      <c r="BS121" s="21"/>
      <c r="BT121" s="21"/>
      <c r="BU121" s="21"/>
    </row>
    <row r="122" spans="2:89" ht="11.25" customHeight="1">
      <c r="S122" s="8">
        <f t="shared" si="134"/>
        <v>2014</v>
      </c>
      <c r="T122" s="19">
        <f t="shared" ref="T122:T148" si="136">$L38</f>
        <v>5</v>
      </c>
      <c r="U122" s="17">
        <f t="shared" ref="U122:AE122" si="137">T122</f>
        <v>5</v>
      </c>
      <c r="V122" s="17">
        <f t="shared" si="137"/>
        <v>5</v>
      </c>
      <c r="W122" s="17">
        <f t="shared" si="137"/>
        <v>5</v>
      </c>
      <c r="X122" s="17">
        <f t="shared" si="137"/>
        <v>5</v>
      </c>
      <c r="Y122" s="17">
        <f t="shared" si="137"/>
        <v>5</v>
      </c>
      <c r="Z122" s="17">
        <f t="shared" si="137"/>
        <v>5</v>
      </c>
      <c r="AA122" s="17">
        <f t="shared" si="137"/>
        <v>5</v>
      </c>
      <c r="AB122" s="17">
        <f t="shared" si="137"/>
        <v>5</v>
      </c>
      <c r="AC122" s="17">
        <f t="shared" si="137"/>
        <v>5</v>
      </c>
      <c r="AD122" s="17">
        <f t="shared" si="137"/>
        <v>5</v>
      </c>
      <c r="AE122" s="17">
        <f t="shared" si="137"/>
        <v>5</v>
      </c>
      <c r="AF122" s="17"/>
      <c r="AG122" s="8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BL122" s="17"/>
      <c r="BM122" s="17"/>
      <c r="BN122" s="17"/>
      <c r="BO122" s="17"/>
      <c r="BP122" s="21"/>
      <c r="BQ122" s="21"/>
      <c r="BR122" s="21"/>
      <c r="BS122" s="21"/>
      <c r="BT122" s="21"/>
      <c r="BU122" s="21"/>
    </row>
    <row r="123" spans="2:89">
      <c r="S123" s="8">
        <f t="shared" si="134"/>
        <v>2015</v>
      </c>
      <c r="T123" s="19">
        <f t="shared" si="136"/>
        <v>5</v>
      </c>
      <c r="U123" s="17">
        <f t="shared" ref="U123:AE123" si="138">T123</f>
        <v>5</v>
      </c>
      <c r="V123" s="17">
        <f t="shared" si="138"/>
        <v>5</v>
      </c>
      <c r="W123" s="17">
        <f t="shared" si="138"/>
        <v>5</v>
      </c>
      <c r="X123" s="17">
        <f t="shared" si="138"/>
        <v>5</v>
      </c>
      <c r="Y123" s="17">
        <f t="shared" si="138"/>
        <v>5</v>
      </c>
      <c r="Z123" s="17">
        <f t="shared" si="138"/>
        <v>5</v>
      </c>
      <c r="AA123" s="17">
        <f t="shared" si="138"/>
        <v>5</v>
      </c>
      <c r="AB123" s="17">
        <f t="shared" si="138"/>
        <v>5</v>
      </c>
      <c r="AC123" s="17">
        <f t="shared" si="138"/>
        <v>5</v>
      </c>
      <c r="AD123" s="17">
        <f t="shared" si="138"/>
        <v>5</v>
      </c>
      <c r="AE123" s="17">
        <f t="shared" si="138"/>
        <v>5</v>
      </c>
      <c r="AF123" s="17"/>
      <c r="AG123" s="8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</row>
    <row r="124" spans="2:89">
      <c r="S124" s="8">
        <f t="shared" si="134"/>
        <v>2016</v>
      </c>
      <c r="T124" s="19">
        <f t="shared" si="136"/>
        <v>5</v>
      </c>
      <c r="U124" s="17">
        <f t="shared" ref="U124:AE124" si="139">T124</f>
        <v>5</v>
      </c>
      <c r="V124" s="17">
        <f t="shared" si="139"/>
        <v>5</v>
      </c>
      <c r="W124" s="17">
        <f t="shared" si="139"/>
        <v>5</v>
      </c>
      <c r="X124" s="17">
        <f t="shared" si="139"/>
        <v>5</v>
      </c>
      <c r="Y124" s="17">
        <f t="shared" si="139"/>
        <v>5</v>
      </c>
      <c r="Z124" s="17">
        <f t="shared" si="139"/>
        <v>5</v>
      </c>
      <c r="AA124" s="17">
        <f t="shared" si="139"/>
        <v>5</v>
      </c>
      <c r="AB124" s="17">
        <f t="shared" si="139"/>
        <v>5</v>
      </c>
      <c r="AC124" s="17">
        <f t="shared" si="139"/>
        <v>5</v>
      </c>
      <c r="AD124" s="17">
        <f t="shared" si="139"/>
        <v>5</v>
      </c>
      <c r="AE124" s="17">
        <f t="shared" si="139"/>
        <v>5</v>
      </c>
      <c r="AF124" s="17"/>
      <c r="AG124" s="8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BJ124" s="8"/>
      <c r="BK124" s="8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</row>
    <row r="125" spans="2:89">
      <c r="S125" s="8">
        <f t="shared" si="134"/>
        <v>2017</v>
      </c>
      <c r="T125" s="19">
        <f t="shared" si="136"/>
        <v>5</v>
      </c>
      <c r="U125" s="17">
        <f t="shared" ref="U125:AE125" si="140">T125</f>
        <v>5</v>
      </c>
      <c r="V125" s="17">
        <f t="shared" si="140"/>
        <v>5</v>
      </c>
      <c r="W125" s="17">
        <f t="shared" si="140"/>
        <v>5</v>
      </c>
      <c r="X125" s="17">
        <f t="shared" si="140"/>
        <v>5</v>
      </c>
      <c r="Y125" s="17">
        <f t="shared" si="140"/>
        <v>5</v>
      </c>
      <c r="Z125" s="17">
        <f t="shared" si="140"/>
        <v>5</v>
      </c>
      <c r="AA125" s="17">
        <f t="shared" si="140"/>
        <v>5</v>
      </c>
      <c r="AB125" s="17">
        <f t="shared" si="140"/>
        <v>5</v>
      </c>
      <c r="AC125" s="17">
        <f t="shared" si="140"/>
        <v>5</v>
      </c>
      <c r="AD125" s="17">
        <f t="shared" si="140"/>
        <v>5</v>
      </c>
      <c r="AE125" s="17">
        <f t="shared" si="140"/>
        <v>5</v>
      </c>
      <c r="AF125" s="17"/>
      <c r="AG125" s="8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BJ125" s="17"/>
      <c r="BK125" s="17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</row>
    <row r="126" spans="2:89">
      <c r="S126" s="8">
        <f t="shared" si="134"/>
        <v>2018</v>
      </c>
      <c r="T126" s="19">
        <f t="shared" si="136"/>
        <v>5</v>
      </c>
      <c r="U126" s="17">
        <f t="shared" ref="U126:AE126" si="141">T126</f>
        <v>5</v>
      </c>
      <c r="V126" s="17">
        <f t="shared" si="141"/>
        <v>5</v>
      </c>
      <c r="W126" s="17">
        <f t="shared" si="141"/>
        <v>5</v>
      </c>
      <c r="X126" s="17">
        <f t="shared" si="141"/>
        <v>5</v>
      </c>
      <c r="Y126" s="17">
        <f t="shared" si="141"/>
        <v>5</v>
      </c>
      <c r="Z126" s="17">
        <f t="shared" si="141"/>
        <v>5</v>
      </c>
      <c r="AA126" s="17">
        <f t="shared" si="141"/>
        <v>5</v>
      </c>
      <c r="AB126" s="17">
        <f t="shared" si="141"/>
        <v>5</v>
      </c>
      <c r="AC126" s="17">
        <f t="shared" si="141"/>
        <v>5</v>
      </c>
      <c r="AD126" s="17">
        <f t="shared" si="141"/>
        <v>5</v>
      </c>
      <c r="AE126" s="17">
        <f t="shared" si="141"/>
        <v>5</v>
      </c>
      <c r="AF126" s="17"/>
      <c r="AG126" s="8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BJ126" s="17"/>
      <c r="BK126" s="17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CK126" s="8"/>
    </row>
    <row r="127" spans="2:89" ht="11.25" customHeight="1">
      <c r="S127" s="8">
        <f t="shared" si="134"/>
        <v>2019</v>
      </c>
      <c r="T127" s="19">
        <f t="shared" si="136"/>
        <v>5</v>
      </c>
      <c r="U127" s="17">
        <f t="shared" ref="U127:AE127" si="142">T127</f>
        <v>5</v>
      </c>
      <c r="V127" s="17">
        <f t="shared" si="142"/>
        <v>5</v>
      </c>
      <c r="W127" s="17">
        <f t="shared" si="142"/>
        <v>5</v>
      </c>
      <c r="X127" s="17">
        <f t="shared" si="142"/>
        <v>5</v>
      </c>
      <c r="Y127" s="17">
        <f t="shared" si="142"/>
        <v>5</v>
      </c>
      <c r="Z127" s="17">
        <f t="shared" si="142"/>
        <v>5</v>
      </c>
      <c r="AA127" s="17">
        <f t="shared" si="142"/>
        <v>5</v>
      </c>
      <c r="AB127" s="17">
        <f t="shared" si="142"/>
        <v>5</v>
      </c>
      <c r="AC127" s="17">
        <f t="shared" si="142"/>
        <v>5</v>
      </c>
      <c r="AD127" s="17">
        <f t="shared" si="142"/>
        <v>5</v>
      </c>
      <c r="AE127" s="17">
        <f t="shared" si="142"/>
        <v>5</v>
      </c>
      <c r="AF127" s="17"/>
      <c r="AG127" s="8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BJ127" s="17"/>
      <c r="BK127" s="17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CK127" s="8"/>
    </row>
    <row r="128" spans="2:89" ht="11.25" customHeight="1">
      <c r="S128" s="8">
        <f t="shared" si="134"/>
        <v>2020</v>
      </c>
      <c r="T128" s="19">
        <f t="shared" si="136"/>
        <v>5</v>
      </c>
      <c r="U128" s="17">
        <f t="shared" ref="U128:AE128" si="143">T128</f>
        <v>5</v>
      </c>
      <c r="V128" s="17">
        <f t="shared" si="143"/>
        <v>5</v>
      </c>
      <c r="W128" s="17">
        <f t="shared" si="143"/>
        <v>5</v>
      </c>
      <c r="X128" s="17">
        <f t="shared" si="143"/>
        <v>5</v>
      </c>
      <c r="Y128" s="17">
        <f t="shared" si="143"/>
        <v>5</v>
      </c>
      <c r="Z128" s="17">
        <f t="shared" si="143"/>
        <v>5</v>
      </c>
      <c r="AA128" s="17">
        <f t="shared" si="143"/>
        <v>5</v>
      </c>
      <c r="AB128" s="17">
        <f t="shared" si="143"/>
        <v>5</v>
      </c>
      <c r="AC128" s="17">
        <f t="shared" si="143"/>
        <v>5</v>
      </c>
      <c r="AD128" s="17">
        <f t="shared" si="143"/>
        <v>5</v>
      </c>
      <c r="AE128" s="17">
        <f t="shared" si="143"/>
        <v>5</v>
      </c>
      <c r="AF128" s="17"/>
      <c r="AG128" s="8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CK128" s="8"/>
    </row>
    <row r="129" spans="19:89" ht="11.25" customHeight="1">
      <c r="S129" s="8">
        <f t="shared" si="134"/>
        <v>2021</v>
      </c>
      <c r="T129" s="19">
        <f t="shared" si="136"/>
        <v>5</v>
      </c>
      <c r="U129" s="17">
        <f t="shared" ref="U129:AE129" si="144">T129</f>
        <v>5</v>
      </c>
      <c r="V129" s="17">
        <f t="shared" si="144"/>
        <v>5</v>
      </c>
      <c r="W129" s="17">
        <f t="shared" si="144"/>
        <v>5</v>
      </c>
      <c r="X129" s="17">
        <f t="shared" si="144"/>
        <v>5</v>
      </c>
      <c r="Y129" s="17">
        <f t="shared" si="144"/>
        <v>5</v>
      </c>
      <c r="Z129" s="17">
        <f t="shared" si="144"/>
        <v>5</v>
      </c>
      <c r="AA129" s="17">
        <f t="shared" si="144"/>
        <v>5</v>
      </c>
      <c r="AB129" s="17">
        <f t="shared" si="144"/>
        <v>5</v>
      </c>
      <c r="AC129" s="17">
        <f t="shared" si="144"/>
        <v>5</v>
      </c>
      <c r="AD129" s="17">
        <f t="shared" si="144"/>
        <v>5</v>
      </c>
      <c r="AE129" s="17">
        <f t="shared" si="144"/>
        <v>5</v>
      </c>
      <c r="AF129" s="17"/>
      <c r="AG129" s="8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</row>
    <row r="130" spans="19:89" ht="11.25" customHeight="1">
      <c r="S130" s="8">
        <f t="shared" si="134"/>
        <v>2022</v>
      </c>
      <c r="T130" s="19">
        <f t="shared" si="136"/>
        <v>5</v>
      </c>
      <c r="U130" s="17">
        <f t="shared" ref="U130:AE130" si="145">T130</f>
        <v>5</v>
      </c>
      <c r="V130" s="17">
        <f t="shared" si="145"/>
        <v>5</v>
      </c>
      <c r="W130" s="17">
        <f t="shared" si="145"/>
        <v>5</v>
      </c>
      <c r="X130" s="17">
        <f t="shared" si="145"/>
        <v>5</v>
      </c>
      <c r="Y130" s="17">
        <f t="shared" si="145"/>
        <v>5</v>
      </c>
      <c r="Z130" s="17">
        <f t="shared" si="145"/>
        <v>5</v>
      </c>
      <c r="AA130" s="17">
        <f t="shared" si="145"/>
        <v>5</v>
      </c>
      <c r="AB130" s="17">
        <f t="shared" si="145"/>
        <v>5</v>
      </c>
      <c r="AC130" s="17">
        <f t="shared" si="145"/>
        <v>5</v>
      </c>
      <c r="AD130" s="17">
        <f t="shared" si="145"/>
        <v>5</v>
      </c>
      <c r="AE130" s="17">
        <f t="shared" si="145"/>
        <v>5</v>
      </c>
      <c r="AG130" s="8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</row>
    <row r="131" spans="19:89" ht="11.25" customHeight="1">
      <c r="S131" s="8">
        <f t="shared" si="134"/>
        <v>2023</v>
      </c>
      <c r="T131" s="19">
        <f t="shared" si="136"/>
        <v>5</v>
      </c>
      <c r="U131" s="17">
        <f t="shared" ref="U131:AE131" si="146">T131</f>
        <v>5</v>
      </c>
      <c r="V131" s="17">
        <f t="shared" si="146"/>
        <v>5</v>
      </c>
      <c r="W131" s="17">
        <f t="shared" si="146"/>
        <v>5</v>
      </c>
      <c r="X131" s="17">
        <f t="shared" si="146"/>
        <v>5</v>
      </c>
      <c r="Y131" s="17">
        <f t="shared" si="146"/>
        <v>5</v>
      </c>
      <c r="Z131" s="17">
        <f t="shared" si="146"/>
        <v>5</v>
      </c>
      <c r="AA131" s="17">
        <f t="shared" si="146"/>
        <v>5</v>
      </c>
      <c r="AB131" s="17">
        <f t="shared" si="146"/>
        <v>5</v>
      </c>
      <c r="AC131" s="17">
        <f t="shared" si="146"/>
        <v>5</v>
      </c>
      <c r="AD131" s="17">
        <f t="shared" si="146"/>
        <v>5</v>
      </c>
      <c r="AE131" s="17">
        <f t="shared" si="146"/>
        <v>5</v>
      </c>
      <c r="AG131" s="8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</row>
    <row r="132" spans="19:89" ht="11.25" customHeight="1">
      <c r="S132" s="8">
        <f t="shared" si="134"/>
        <v>2024</v>
      </c>
      <c r="T132" s="19">
        <f t="shared" si="136"/>
        <v>5</v>
      </c>
      <c r="U132" s="17">
        <f t="shared" ref="U132:AE132" si="147">T132</f>
        <v>5</v>
      </c>
      <c r="V132" s="17">
        <f t="shared" si="147"/>
        <v>5</v>
      </c>
      <c r="W132" s="17">
        <f t="shared" si="147"/>
        <v>5</v>
      </c>
      <c r="X132" s="17">
        <f t="shared" si="147"/>
        <v>5</v>
      </c>
      <c r="Y132" s="17">
        <f t="shared" si="147"/>
        <v>5</v>
      </c>
      <c r="Z132" s="17">
        <f t="shared" si="147"/>
        <v>5</v>
      </c>
      <c r="AA132" s="17">
        <f t="shared" si="147"/>
        <v>5</v>
      </c>
      <c r="AB132" s="17">
        <f t="shared" si="147"/>
        <v>5</v>
      </c>
      <c r="AC132" s="17">
        <f t="shared" si="147"/>
        <v>5</v>
      </c>
      <c r="AD132" s="17">
        <f t="shared" si="147"/>
        <v>5</v>
      </c>
      <c r="AE132" s="17">
        <f t="shared" si="147"/>
        <v>5</v>
      </c>
      <c r="AG132" s="8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</row>
    <row r="133" spans="19:89" ht="11.25" customHeight="1">
      <c r="S133" s="8">
        <f t="shared" si="134"/>
        <v>2025</v>
      </c>
      <c r="T133" s="19">
        <f t="shared" si="136"/>
        <v>5</v>
      </c>
      <c r="U133" s="17">
        <f t="shared" ref="U133:AE133" si="148">T133</f>
        <v>5</v>
      </c>
      <c r="V133" s="17">
        <f t="shared" si="148"/>
        <v>5</v>
      </c>
      <c r="W133" s="17">
        <f t="shared" si="148"/>
        <v>5</v>
      </c>
      <c r="X133" s="17">
        <f t="shared" si="148"/>
        <v>5</v>
      </c>
      <c r="Y133" s="17">
        <f t="shared" si="148"/>
        <v>5</v>
      </c>
      <c r="Z133" s="17">
        <f t="shared" si="148"/>
        <v>5</v>
      </c>
      <c r="AA133" s="17">
        <f t="shared" si="148"/>
        <v>5</v>
      </c>
      <c r="AB133" s="17">
        <f t="shared" si="148"/>
        <v>5</v>
      </c>
      <c r="AC133" s="17">
        <f t="shared" si="148"/>
        <v>5</v>
      </c>
      <c r="AD133" s="17">
        <f t="shared" si="148"/>
        <v>5</v>
      </c>
      <c r="AE133" s="17">
        <f t="shared" si="148"/>
        <v>5</v>
      </c>
      <c r="AG133" s="8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</row>
    <row r="134" spans="19:89" ht="11.25" customHeight="1">
      <c r="S134" s="8">
        <f t="shared" si="134"/>
        <v>2026</v>
      </c>
      <c r="T134" s="19">
        <f t="shared" si="136"/>
        <v>5</v>
      </c>
      <c r="U134" s="17">
        <f t="shared" ref="U134:AE134" si="149">T134</f>
        <v>5</v>
      </c>
      <c r="V134" s="17">
        <f t="shared" si="149"/>
        <v>5</v>
      </c>
      <c r="W134" s="17">
        <f t="shared" si="149"/>
        <v>5</v>
      </c>
      <c r="X134" s="17">
        <f t="shared" si="149"/>
        <v>5</v>
      </c>
      <c r="Y134" s="17">
        <f t="shared" si="149"/>
        <v>5</v>
      </c>
      <c r="Z134" s="17">
        <f t="shared" si="149"/>
        <v>5</v>
      </c>
      <c r="AA134" s="17">
        <f t="shared" si="149"/>
        <v>5</v>
      </c>
      <c r="AB134" s="17">
        <f t="shared" si="149"/>
        <v>5</v>
      </c>
      <c r="AC134" s="17">
        <f t="shared" si="149"/>
        <v>5</v>
      </c>
      <c r="AD134" s="17">
        <f t="shared" si="149"/>
        <v>5</v>
      </c>
      <c r="AE134" s="17">
        <f t="shared" si="149"/>
        <v>5</v>
      </c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CK134" s="8"/>
    </row>
    <row r="135" spans="19:89" ht="11.25" customHeight="1">
      <c r="S135" s="8">
        <f t="shared" si="134"/>
        <v>2027</v>
      </c>
      <c r="T135" s="19">
        <f t="shared" si="136"/>
        <v>5</v>
      </c>
      <c r="U135" s="17">
        <f t="shared" ref="U135:AE135" si="150">T135</f>
        <v>5</v>
      </c>
      <c r="V135" s="17">
        <f t="shared" si="150"/>
        <v>5</v>
      </c>
      <c r="W135" s="17">
        <f t="shared" si="150"/>
        <v>5</v>
      </c>
      <c r="X135" s="17">
        <f t="shared" si="150"/>
        <v>5</v>
      </c>
      <c r="Y135" s="17">
        <f t="shared" si="150"/>
        <v>5</v>
      </c>
      <c r="Z135" s="17">
        <f t="shared" si="150"/>
        <v>5</v>
      </c>
      <c r="AA135" s="17">
        <f t="shared" si="150"/>
        <v>5</v>
      </c>
      <c r="AB135" s="17">
        <f t="shared" si="150"/>
        <v>5</v>
      </c>
      <c r="AC135" s="17">
        <f t="shared" si="150"/>
        <v>5</v>
      </c>
      <c r="AD135" s="17">
        <f t="shared" si="150"/>
        <v>5</v>
      </c>
      <c r="AE135" s="17">
        <f t="shared" si="150"/>
        <v>5</v>
      </c>
      <c r="AF135" s="17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CK135" s="8"/>
    </row>
    <row r="136" spans="19:89" ht="11.25" customHeight="1">
      <c r="S136" s="8">
        <f t="shared" si="134"/>
        <v>2028</v>
      </c>
      <c r="T136" s="19">
        <f t="shared" si="136"/>
        <v>5</v>
      </c>
      <c r="U136" s="17">
        <f t="shared" ref="U136:AE136" si="151">T136</f>
        <v>5</v>
      </c>
      <c r="V136" s="17">
        <f t="shared" si="151"/>
        <v>5</v>
      </c>
      <c r="W136" s="17">
        <f t="shared" si="151"/>
        <v>5</v>
      </c>
      <c r="X136" s="17">
        <f t="shared" si="151"/>
        <v>5</v>
      </c>
      <c r="Y136" s="17">
        <f t="shared" si="151"/>
        <v>5</v>
      </c>
      <c r="Z136" s="17">
        <f t="shared" si="151"/>
        <v>5</v>
      </c>
      <c r="AA136" s="17">
        <f t="shared" si="151"/>
        <v>5</v>
      </c>
      <c r="AB136" s="17">
        <f t="shared" si="151"/>
        <v>5</v>
      </c>
      <c r="AC136" s="17">
        <f t="shared" si="151"/>
        <v>5</v>
      </c>
      <c r="AD136" s="17">
        <f t="shared" si="151"/>
        <v>5</v>
      </c>
      <c r="AE136" s="17">
        <f t="shared" si="151"/>
        <v>5</v>
      </c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BI136" s="565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CK136" s="8"/>
    </row>
    <row r="137" spans="19:89" ht="11.25" customHeight="1">
      <c r="S137" s="8">
        <f t="shared" si="134"/>
        <v>2029</v>
      </c>
      <c r="T137" s="19">
        <f t="shared" si="136"/>
        <v>5</v>
      </c>
      <c r="U137" s="17">
        <f t="shared" ref="U137:AE137" si="152">T137</f>
        <v>5</v>
      </c>
      <c r="V137" s="17">
        <f t="shared" si="152"/>
        <v>5</v>
      </c>
      <c r="W137" s="17">
        <f t="shared" si="152"/>
        <v>5</v>
      </c>
      <c r="X137" s="17">
        <f t="shared" si="152"/>
        <v>5</v>
      </c>
      <c r="Y137" s="17">
        <f t="shared" si="152"/>
        <v>5</v>
      </c>
      <c r="Z137" s="17">
        <f t="shared" si="152"/>
        <v>5</v>
      </c>
      <c r="AA137" s="17">
        <f t="shared" si="152"/>
        <v>5</v>
      </c>
      <c r="AB137" s="17">
        <f t="shared" si="152"/>
        <v>5</v>
      </c>
      <c r="AC137" s="17">
        <f t="shared" si="152"/>
        <v>5</v>
      </c>
      <c r="AD137" s="17">
        <f t="shared" si="152"/>
        <v>5</v>
      </c>
      <c r="AE137" s="17">
        <f t="shared" si="152"/>
        <v>5</v>
      </c>
      <c r="AT137" s="8"/>
      <c r="BI137" s="566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CK137" s="8"/>
    </row>
    <row r="138" spans="19:89" ht="11.25" customHeight="1">
      <c r="S138" s="8">
        <f t="shared" si="134"/>
        <v>2030</v>
      </c>
      <c r="T138" s="19">
        <f t="shared" si="136"/>
        <v>5</v>
      </c>
      <c r="U138" s="17">
        <f t="shared" ref="U138:AE138" si="153">T138</f>
        <v>5</v>
      </c>
      <c r="V138" s="17">
        <f t="shared" si="153"/>
        <v>5</v>
      </c>
      <c r="W138" s="17">
        <f t="shared" si="153"/>
        <v>5</v>
      </c>
      <c r="X138" s="17">
        <f t="shared" si="153"/>
        <v>5</v>
      </c>
      <c r="Y138" s="17">
        <f t="shared" si="153"/>
        <v>5</v>
      </c>
      <c r="Z138" s="17">
        <f t="shared" si="153"/>
        <v>5</v>
      </c>
      <c r="AA138" s="17">
        <f t="shared" si="153"/>
        <v>5</v>
      </c>
      <c r="AB138" s="17">
        <f t="shared" si="153"/>
        <v>5</v>
      </c>
      <c r="AC138" s="17">
        <f t="shared" si="153"/>
        <v>5</v>
      </c>
      <c r="AD138" s="17">
        <f t="shared" si="153"/>
        <v>5</v>
      </c>
      <c r="AE138" s="17">
        <f t="shared" si="153"/>
        <v>5</v>
      </c>
      <c r="AT138" s="8"/>
      <c r="BI138" s="8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CK138" s="8"/>
    </row>
    <row r="139" spans="19:89" ht="11.25" customHeight="1">
      <c r="S139" s="8">
        <f t="shared" ref="S139:S147" si="154">S93</f>
        <v>2031</v>
      </c>
      <c r="T139" s="19">
        <f t="shared" si="136"/>
        <v>5</v>
      </c>
      <c r="U139" s="17">
        <f t="shared" ref="U139:U148" si="155">T139</f>
        <v>5</v>
      </c>
      <c r="V139" s="17">
        <f t="shared" ref="V139:V148" si="156">U139</f>
        <v>5</v>
      </c>
      <c r="W139" s="17">
        <f t="shared" ref="W139:W148" si="157">V139</f>
        <v>5</v>
      </c>
      <c r="X139" s="17">
        <f t="shared" ref="X139:X148" si="158">W139</f>
        <v>5</v>
      </c>
      <c r="Y139" s="17">
        <f t="shared" ref="Y139:Y148" si="159">X139</f>
        <v>5</v>
      </c>
      <c r="Z139" s="17">
        <f t="shared" ref="Z139:Z148" si="160">Y139</f>
        <v>5</v>
      </c>
      <c r="AA139" s="17">
        <f t="shared" ref="AA139:AA148" si="161">Z139</f>
        <v>5</v>
      </c>
      <c r="AB139" s="17">
        <f t="shared" ref="AB139:AB148" si="162">AA139</f>
        <v>5</v>
      </c>
      <c r="AC139" s="17">
        <f t="shared" ref="AC139:AC148" si="163">AB139</f>
        <v>5</v>
      </c>
      <c r="AD139" s="17">
        <f t="shared" ref="AD139:AD148" si="164">AC139</f>
        <v>5</v>
      </c>
      <c r="AE139" s="17">
        <f t="shared" ref="AE139:AE148" si="165">AD139</f>
        <v>5</v>
      </c>
      <c r="CK139" s="8"/>
    </row>
    <row r="140" spans="19:89" ht="11.25" customHeight="1">
      <c r="S140" s="8">
        <f t="shared" si="154"/>
        <v>2032</v>
      </c>
      <c r="T140" s="19">
        <f t="shared" si="136"/>
        <v>5</v>
      </c>
      <c r="U140" s="17">
        <f t="shared" si="155"/>
        <v>5</v>
      </c>
      <c r="V140" s="17">
        <f t="shared" si="156"/>
        <v>5</v>
      </c>
      <c r="W140" s="17">
        <f t="shared" si="157"/>
        <v>5</v>
      </c>
      <c r="X140" s="17">
        <f t="shared" si="158"/>
        <v>5</v>
      </c>
      <c r="Y140" s="17">
        <f t="shared" si="159"/>
        <v>5</v>
      </c>
      <c r="Z140" s="17">
        <f t="shared" si="160"/>
        <v>5</v>
      </c>
      <c r="AA140" s="17">
        <f t="shared" si="161"/>
        <v>5</v>
      </c>
      <c r="AB140" s="17">
        <f t="shared" si="162"/>
        <v>5</v>
      </c>
      <c r="AC140" s="17">
        <f t="shared" si="163"/>
        <v>5</v>
      </c>
      <c r="AD140" s="17">
        <f t="shared" si="164"/>
        <v>5</v>
      </c>
      <c r="AE140" s="17">
        <f t="shared" si="165"/>
        <v>5</v>
      </c>
      <c r="CK140" s="8"/>
    </row>
    <row r="141" spans="19:89" ht="11.25" customHeight="1">
      <c r="S141" s="8">
        <f t="shared" si="154"/>
        <v>2033</v>
      </c>
      <c r="T141" s="19">
        <f t="shared" si="136"/>
        <v>5</v>
      </c>
      <c r="U141" s="17">
        <f t="shared" si="155"/>
        <v>5</v>
      </c>
      <c r="V141" s="17">
        <f t="shared" si="156"/>
        <v>5</v>
      </c>
      <c r="W141" s="17">
        <f t="shared" si="157"/>
        <v>5</v>
      </c>
      <c r="X141" s="17">
        <f t="shared" si="158"/>
        <v>5</v>
      </c>
      <c r="Y141" s="17">
        <f t="shared" si="159"/>
        <v>5</v>
      </c>
      <c r="Z141" s="17">
        <f t="shared" si="160"/>
        <v>5</v>
      </c>
      <c r="AA141" s="17">
        <f t="shared" si="161"/>
        <v>5</v>
      </c>
      <c r="AB141" s="17">
        <f t="shared" si="162"/>
        <v>5</v>
      </c>
      <c r="AC141" s="17">
        <f t="shared" si="163"/>
        <v>5</v>
      </c>
      <c r="AD141" s="17">
        <f t="shared" si="164"/>
        <v>5</v>
      </c>
      <c r="AE141" s="17">
        <f t="shared" si="165"/>
        <v>5</v>
      </c>
      <c r="CK141" s="8"/>
    </row>
    <row r="142" spans="19:89" ht="11.25" customHeight="1">
      <c r="S142" s="8">
        <f t="shared" si="154"/>
        <v>2034</v>
      </c>
      <c r="T142" s="19">
        <f t="shared" si="136"/>
        <v>5</v>
      </c>
      <c r="U142" s="17">
        <f t="shared" si="155"/>
        <v>5</v>
      </c>
      <c r="V142" s="17">
        <f t="shared" si="156"/>
        <v>5</v>
      </c>
      <c r="W142" s="17">
        <f t="shared" si="157"/>
        <v>5</v>
      </c>
      <c r="X142" s="17">
        <f t="shared" si="158"/>
        <v>5</v>
      </c>
      <c r="Y142" s="17">
        <f t="shared" si="159"/>
        <v>5</v>
      </c>
      <c r="Z142" s="17">
        <f t="shared" si="160"/>
        <v>5</v>
      </c>
      <c r="AA142" s="17">
        <f t="shared" si="161"/>
        <v>5</v>
      </c>
      <c r="AB142" s="17">
        <f t="shared" si="162"/>
        <v>5</v>
      </c>
      <c r="AC142" s="17">
        <f t="shared" si="163"/>
        <v>5</v>
      </c>
      <c r="AD142" s="17">
        <f t="shared" si="164"/>
        <v>5</v>
      </c>
      <c r="AE142" s="17">
        <f t="shared" si="165"/>
        <v>5</v>
      </c>
      <c r="CK142" s="8"/>
    </row>
    <row r="143" spans="19:89" ht="11.25" customHeight="1">
      <c r="S143" s="8">
        <f t="shared" si="154"/>
        <v>2035</v>
      </c>
      <c r="T143" s="19">
        <f t="shared" si="136"/>
        <v>5</v>
      </c>
      <c r="U143" s="17">
        <f t="shared" si="155"/>
        <v>5</v>
      </c>
      <c r="V143" s="17">
        <f t="shared" si="156"/>
        <v>5</v>
      </c>
      <c r="W143" s="17">
        <f t="shared" si="157"/>
        <v>5</v>
      </c>
      <c r="X143" s="17">
        <f t="shared" si="158"/>
        <v>5</v>
      </c>
      <c r="Y143" s="17">
        <f t="shared" si="159"/>
        <v>5</v>
      </c>
      <c r="Z143" s="17">
        <f t="shared" si="160"/>
        <v>5</v>
      </c>
      <c r="AA143" s="17">
        <f t="shared" si="161"/>
        <v>5</v>
      </c>
      <c r="AB143" s="17">
        <f t="shared" si="162"/>
        <v>5</v>
      </c>
      <c r="AC143" s="17">
        <f t="shared" si="163"/>
        <v>5</v>
      </c>
      <c r="AD143" s="17">
        <f t="shared" si="164"/>
        <v>5</v>
      </c>
      <c r="AE143" s="17">
        <f t="shared" si="165"/>
        <v>5</v>
      </c>
      <c r="CK143" s="8"/>
    </row>
    <row r="144" spans="19:89" ht="11.25" customHeight="1">
      <c r="S144" s="8">
        <f t="shared" si="154"/>
        <v>2036</v>
      </c>
      <c r="T144" s="19">
        <f t="shared" si="136"/>
        <v>5</v>
      </c>
      <c r="U144" s="17">
        <f t="shared" si="155"/>
        <v>5</v>
      </c>
      <c r="V144" s="17">
        <f t="shared" si="156"/>
        <v>5</v>
      </c>
      <c r="W144" s="17">
        <f t="shared" si="157"/>
        <v>5</v>
      </c>
      <c r="X144" s="17">
        <f t="shared" si="158"/>
        <v>5</v>
      </c>
      <c r="Y144" s="17">
        <f t="shared" si="159"/>
        <v>5</v>
      </c>
      <c r="Z144" s="17">
        <f t="shared" si="160"/>
        <v>5</v>
      </c>
      <c r="AA144" s="17">
        <f t="shared" si="161"/>
        <v>5</v>
      </c>
      <c r="AB144" s="17">
        <f t="shared" si="162"/>
        <v>5</v>
      </c>
      <c r="AC144" s="17">
        <f t="shared" si="163"/>
        <v>5</v>
      </c>
      <c r="AD144" s="17">
        <f t="shared" si="164"/>
        <v>5</v>
      </c>
      <c r="AE144" s="17">
        <f t="shared" si="165"/>
        <v>5</v>
      </c>
      <c r="CK144" s="8"/>
    </row>
    <row r="145" spans="19:89" ht="11.25" customHeight="1">
      <c r="S145" s="8">
        <f t="shared" si="154"/>
        <v>2037</v>
      </c>
      <c r="T145" s="19">
        <f t="shared" si="136"/>
        <v>5</v>
      </c>
      <c r="U145" s="17">
        <f t="shared" si="155"/>
        <v>5</v>
      </c>
      <c r="V145" s="17">
        <f t="shared" si="156"/>
        <v>5</v>
      </c>
      <c r="W145" s="17">
        <f t="shared" si="157"/>
        <v>5</v>
      </c>
      <c r="X145" s="17">
        <f t="shared" si="158"/>
        <v>5</v>
      </c>
      <c r="Y145" s="17">
        <f t="shared" si="159"/>
        <v>5</v>
      </c>
      <c r="Z145" s="17">
        <f t="shared" si="160"/>
        <v>5</v>
      </c>
      <c r="AA145" s="17">
        <f t="shared" si="161"/>
        <v>5</v>
      </c>
      <c r="AB145" s="17">
        <f t="shared" si="162"/>
        <v>5</v>
      </c>
      <c r="AC145" s="17">
        <f t="shared" si="163"/>
        <v>5</v>
      </c>
      <c r="AD145" s="17">
        <f t="shared" si="164"/>
        <v>5</v>
      </c>
      <c r="AE145" s="17">
        <f t="shared" si="165"/>
        <v>5</v>
      </c>
      <c r="CK145" s="8"/>
    </row>
    <row r="146" spans="19:89" ht="11.25" customHeight="1">
      <c r="S146" s="8">
        <f t="shared" si="154"/>
        <v>2038</v>
      </c>
      <c r="T146" s="19">
        <f t="shared" si="136"/>
        <v>5</v>
      </c>
      <c r="U146" s="17">
        <f t="shared" si="155"/>
        <v>5</v>
      </c>
      <c r="V146" s="17">
        <f t="shared" si="156"/>
        <v>5</v>
      </c>
      <c r="W146" s="17">
        <f t="shared" si="157"/>
        <v>5</v>
      </c>
      <c r="X146" s="17">
        <f t="shared" si="158"/>
        <v>5</v>
      </c>
      <c r="Y146" s="17">
        <f t="shared" si="159"/>
        <v>5</v>
      </c>
      <c r="Z146" s="17">
        <f t="shared" si="160"/>
        <v>5</v>
      </c>
      <c r="AA146" s="17">
        <f t="shared" si="161"/>
        <v>5</v>
      </c>
      <c r="AB146" s="17">
        <f t="shared" si="162"/>
        <v>5</v>
      </c>
      <c r="AC146" s="17">
        <f t="shared" si="163"/>
        <v>5</v>
      </c>
      <c r="AD146" s="17">
        <f t="shared" si="164"/>
        <v>5</v>
      </c>
      <c r="AE146" s="17">
        <f t="shared" si="165"/>
        <v>5</v>
      </c>
      <c r="CK146" s="8"/>
    </row>
    <row r="147" spans="19:89" ht="11.25" customHeight="1">
      <c r="S147" s="8">
        <f t="shared" si="154"/>
        <v>2039</v>
      </c>
      <c r="T147" s="19">
        <f t="shared" si="136"/>
        <v>5</v>
      </c>
      <c r="U147" s="17">
        <f t="shared" si="155"/>
        <v>5</v>
      </c>
      <c r="V147" s="17">
        <f t="shared" si="156"/>
        <v>5</v>
      </c>
      <c r="W147" s="17">
        <f t="shared" si="157"/>
        <v>5</v>
      </c>
      <c r="X147" s="17">
        <f t="shared" si="158"/>
        <v>5</v>
      </c>
      <c r="Y147" s="17">
        <f t="shared" si="159"/>
        <v>5</v>
      </c>
      <c r="Z147" s="17">
        <f t="shared" si="160"/>
        <v>5</v>
      </c>
      <c r="AA147" s="17">
        <f t="shared" si="161"/>
        <v>5</v>
      </c>
      <c r="AB147" s="17">
        <f t="shared" si="162"/>
        <v>5</v>
      </c>
      <c r="AC147" s="17">
        <f t="shared" si="163"/>
        <v>5</v>
      </c>
      <c r="AD147" s="17">
        <f t="shared" si="164"/>
        <v>5</v>
      </c>
      <c r="AE147" s="17">
        <f t="shared" si="165"/>
        <v>5</v>
      </c>
      <c r="CK147" s="8"/>
    </row>
    <row r="148" spans="19:89" ht="11.25" customHeight="1">
      <c r="S148" s="8">
        <f>S102</f>
        <v>2040</v>
      </c>
      <c r="T148" s="19">
        <f t="shared" si="136"/>
        <v>5</v>
      </c>
      <c r="U148" s="17">
        <f t="shared" si="155"/>
        <v>5</v>
      </c>
      <c r="V148" s="17">
        <f t="shared" si="156"/>
        <v>5</v>
      </c>
      <c r="W148" s="17">
        <f t="shared" si="157"/>
        <v>5</v>
      </c>
      <c r="X148" s="17">
        <f t="shared" si="158"/>
        <v>5</v>
      </c>
      <c r="Y148" s="17">
        <f t="shared" si="159"/>
        <v>5</v>
      </c>
      <c r="Z148" s="17">
        <f t="shared" si="160"/>
        <v>5</v>
      </c>
      <c r="AA148" s="17">
        <f t="shared" si="161"/>
        <v>5</v>
      </c>
      <c r="AB148" s="17">
        <f t="shared" si="162"/>
        <v>5</v>
      </c>
      <c r="AC148" s="17">
        <f t="shared" si="163"/>
        <v>5</v>
      </c>
      <c r="AD148" s="17">
        <f t="shared" si="164"/>
        <v>5</v>
      </c>
      <c r="AE148" s="17">
        <f t="shared" si="165"/>
        <v>5</v>
      </c>
      <c r="CK148" s="8"/>
    </row>
    <row r="149" spans="19:89" ht="11.25" customHeight="1">
      <c r="AT149" s="8"/>
      <c r="BI149" s="8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CK149" s="8"/>
    </row>
    <row r="150" spans="19:89" ht="11.25" customHeight="1">
      <c r="AT150" s="8"/>
      <c r="BI150" s="8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CK150" s="8"/>
    </row>
    <row r="151" spans="19:89" ht="11.25" customHeight="1">
      <c r="S151" s="892" t="s">
        <v>427</v>
      </c>
      <c r="AG151" s="564" t="s">
        <v>300</v>
      </c>
      <c r="AH151" s="81" t="s">
        <v>360</v>
      </c>
      <c r="AT151" s="8"/>
      <c r="BI151" s="8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CK151" s="8"/>
    </row>
    <row r="152" spans="19:89" ht="11.25" customHeight="1">
      <c r="S152" s="47" t="s">
        <v>52</v>
      </c>
      <c r="T152" s="8" t="s">
        <v>28</v>
      </c>
      <c r="U152" s="8" t="s">
        <v>29</v>
      </c>
      <c r="V152" s="8" t="s">
        <v>30</v>
      </c>
      <c r="W152" s="8" t="s">
        <v>31</v>
      </c>
      <c r="X152" s="8" t="s">
        <v>32</v>
      </c>
      <c r="Y152" s="8" t="s">
        <v>33</v>
      </c>
      <c r="Z152" s="8" t="s">
        <v>34</v>
      </c>
      <c r="AA152" s="8" t="s">
        <v>35</v>
      </c>
      <c r="AB152" s="8" t="s">
        <v>36</v>
      </c>
      <c r="AC152" s="8" t="s">
        <v>37</v>
      </c>
      <c r="AD152" s="8" t="s">
        <v>38</v>
      </c>
      <c r="AE152" s="8" t="s">
        <v>39</v>
      </c>
      <c r="AG152" s="874" t="str">
        <f t="shared" ref="AG152:AG195" si="166">S152</f>
        <v>P H O S</v>
      </c>
      <c r="AH152" s="314" t="s">
        <v>28</v>
      </c>
      <c r="AI152" s="8" t="s">
        <v>29</v>
      </c>
      <c r="AJ152" s="8" t="s">
        <v>30</v>
      </c>
      <c r="AK152" s="8" t="s">
        <v>31</v>
      </c>
      <c r="AL152" s="8" t="s">
        <v>32</v>
      </c>
      <c r="AM152" s="8" t="s">
        <v>33</v>
      </c>
      <c r="AN152" s="8" t="s">
        <v>34</v>
      </c>
      <c r="AO152" s="314" t="s">
        <v>35</v>
      </c>
      <c r="AP152" s="8" t="s">
        <v>36</v>
      </c>
      <c r="AQ152" s="8" t="s">
        <v>37</v>
      </c>
      <c r="AR152" s="8" t="s">
        <v>38</v>
      </c>
      <c r="AS152" s="8" t="s">
        <v>39</v>
      </c>
      <c r="AT152" s="8"/>
      <c r="AU152" s="316" t="s">
        <v>250</v>
      </c>
      <c r="AV152" s="314" t="s">
        <v>28</v>
      </c>
      <c r="AW152" s="8" t="s">
        <v>29</v>
      </c>
      <c r="AX152" s="8" t="s">
        <v>30</v>
      </c>
      <c r="AY152" s="8" t="s">
        <v>31</v>
      </c>
      <c r="AZ152" s="8" t="s">
        <v>32</v>
      </c>
      <c r="BA152" s="8" t="s">
        <v>33</v>
      </c>
      <c r="BB152" s="8" t="s">
        <v>34</v>
      </c>
      <c r="BC152" s="314" t="s">
        <v>35</v>
      </c>
      <c r="BD152" s="8" t="s">
        <v>36</v>
      </c>
      <c r="BE152" s="8" t="s">
        <v>37</v>
      </c>
      <c r="BF152" s="8" t="s">
        <v>38</v>
      </c>
      <c r="BG152" s="8" t="s">
        <v>39</v>
      </c>
      <c r="BI152" s="8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CK152" s="8"/>
    </row>
    <row r="153" spans="19:89" ht="11.25" customHeight="1">
      <c r="S153" s="8">
        <f t="shared" ref="S153:S185" si="167">S106</f>
        <v>1998</v>
      </c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G153" s="8">
        <f t="shared" si="166"/>
        <v>1998</v>
      </c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8"/>
      <c r="AU153" s="8">
        <v>1998</v>
      </c>
      <c r="AV153" s="20"/>
      <c r="AW153" s="21"/>
      <c r="AX153" s="21"/>
      <c r="AY153" s="21"/>
      <c r="AZ153" s="21"/>
      <c r="BA153" s="21"/>
      <c r="BB153" s="21"/>
      <c r="BC153" s="20"/>
      <c r="BD153" s="21"/>
      <c r="BE153" s="21"/>
      <c r="BF153" s="21"/>
      <c r="BG153" s="21"/>
      <c r="BI153" s="8"/>
      <c r="BJ153" s="21"/>
      <c r="BK153" s="21"/>
      <c r="BL153" s="21"/>
      <c r="BM153" s="21"/>
      <c r="BN153" s="21"/>
      <c r="BO153" s="21"/>
      <c r="CK153" s="8"/>
    </row>
    <row r="154" spans="19:89" ht="11.25" customHeight="1">
      <c r="S154" s="8">
        <f t="shared" si="167"/>
        <v>1999</v>
      </c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G154" s="8">
        <f t="shared" si="166"/>
        <v>1999</v>
      </c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8"/>
      <c r="AU154" s="8">
        <f>AU153+1</f>
        <v>1999</v>
      </c>
      <c r="AV154" s="20"/>
      <c r="AW154" s="21"/>
      <c r="AX154" s="21"/>
      <c r="AY154" s="21"/>
      <c r="AZ154" s="21"/>
      <c r="BA154" s="21"/>
      <c r="BB154" s="21"/>
      <c r="BC154" s="20"/>
      <c r="BD154" s="21"/>
      <c r="BE154" s="21"/>
      <c r="BF154" s="21"/>
      <c r="BG154" s="21"/>
      <c r="BI154" s="8"/>
      <c r="BJ154" s="21"/>
      <c r="BK154" s="21"/>
      <c r="BL154" s="21"/>
      <c r="BM154" s="21"/>
      <c r="BN154" s="21"/>
      <c r="BO154" s="21"/>
    </row>
    <row r="155" spans="19:89" ht="11.25" customHeight="1">
      <c r="S155" s="8">
        <f t="shared" si="167"/>
        <v>2000</v>
      </c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G155" s="8">
        <f t="shared" si="166"/>
        <v>2000</v>
      </c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8"/>
      <c r="AU155" s="8">
        <f t="shared" ref="AU155:AU175" si="168">AU154+1</f>
        <v>2000</v>
      </c>
      <c r="AV155" s="20"/>
      <c r="AW155" s="21"/>
      <c r="AX155" s="21"/>
      <c r="AY155" s="21"/>
      <c r="AZ155" s="21"/>
      <c r="BA155" s="21"/>
      <c r="BB155" s="21"/>
      <c r="BC155" s="20"/>
      <c r="BD155" s="21"/>
      <c r="BE155" s="21"/>
      <c r="BF155" s="21"/>
      <c r="BG155" s="21"/>
      <c r="BI155" s="8"/>
      <c r="BJ155" s="21"/>
      <c r="BK155" s="21"/>
      <c r="BL155" s="21"/>
      <c r="BM155" s="21"/>
      <c r="BN155" s="21"/>
      <c r="BO155" s="21"/>
      <c r="BP155" s="8"/>
      <c r="BQ155" s="8"/>
      <c r="BR155" s="8"/>
      <c r="BS155" s="8"/>
      <c r="BT155" s="8"/>
      <c r="BU155" s="8"/>
    </row>
    <row r="156" spans="19:89" ht="11.25" customHeight="1">
      <c r="S156" s="8">
        <f t="shared" si="167"/>
        <v>2001</v>
      </c>
      <c r="T156" s="56"/>
      <c r="U156" s="312"/>
      <c r="V156" s="312"/>
      <c r="W156" s="312"/>
      <c r="X156" s="312"/>
      <c r="Y156" s="312"/>
      <c r="Z156" s="312"/>
      <c r="AA156" s="312"/>
      <c r="AB156" s="312"/>
      <c r="AC156" s="312"/>
      <c r="AD156" s="312"/>
      <c r="AE156" s="312"/>
      <c r="AG156" s="8">
        <f t="shared" si="166"/>
        <v>2001</v>
      </c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8"/>
      <c r="AU156" s="8">
        <f t="shared" si="168"/>
        <v>2001</v>
      </c>
      <c r="AV156" s="20"/>
      <c r="AW156" s="21"/>
      <c r="AX156" s="21"/>
      <c r="AY156" s="21"/>
      <c r="AZ156" s="21"/>
      <c r="BA156" s="21"/>
      <c r="BB156" s="21"/>
      <c r="BC156" s="20"/>
      <c r="BD156" s="21"/>
      <c r="BE156" s="21"/>
      <c r="BF156" s="21"/>
      <c r="BG156" s="21"/>
      <c r="BI156" s="8"/>
      <c r="BJ156" s="21"/>
      <c r="BK156" s="21"/>
      <c r="BL156" s="21"/>
      <c r="BM156" s="21"/>
      <c r="BN156" s="21"/>
      <c r="BO156" s="21"/>
    </row>
    <row r="157" spans="19:89" ht="11.25" customHeight="1">
      <c r="S157" s="8">
        <f t="shared" si="167"/>
        <v>2002</v>
      </c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G157" s="8">
        <f t="shared" si="166"/>
        <v>2002</v>
      </c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8"/>
      <c r="AU157" s="8">
        <f t="shared" si="168"/>
        <v>2002</v>
      </c>
      <c r="AV157" s="20"/>
      <c r="AW157" s="21"/>
      <c r="AX157" s="21"/>
      <c r="AY157" s="21"/>
      <c r="AZ157" s="21"/>
      <c r="BA157" s="21"/>
      <c r="BB157" s="21"/>
      <c r="BC157" s="20"/>
      <c r="BD157" s="21"/>
      <c r="BE157" s="21"/>
      <c r="BF157" s="21"/>
      <c r="BG157" s="21"/>
      <c r="BI157" s="8"/>
      <c r="BJ157" s="21"/>
      <c r="BK157" s="21"/>
      <c r="BL157" s="21"/>
      <c r="BM157" s="21"/>
      <c r="BN157" s="21"/>
      <c r="BO157" s="21"/>
    </row>
    <row r="158" spans="19:89" ht="11.25" customHeight="1">
      <c r="S158" s="8">
        <f t="shared" si="167"/>
        <v>2003</v>
      </c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G158" s="8">
        <f t="shared" si="166"/>
        <v>2003</v>
      </c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8"/>
      <c r="AU158" s="8">
        <f t="shared" si="168"/>
        <v>2003</v>
      </c>
      <c r="AV158" s="20"/>
      <c r="AW158" s="21"/>
      <c r="AX158" s="21"/>
      <c r="AY158" s="21"/>
      <c r="AZ158" s="21"/>
      <c r="BA158" s="21"/>
      <c r="BB158" s="21"/>
      <c r="BC158" s="20"/>
      <c r="BD158" s="21"/>
      <c r="BE158" s="21"/>
      <c r="BF158" s="21"/>
      <c r="BG158" s="21"/>
      <c r="BI158" s="8"/>
      <c r="BJ158" s="21"/>
      <c r="BK158" s="21"/>
    </row>
    <row r="159" spans="19:89" ht="11.25" customHeight="1">
      <c r="S159" s="8">
        <f t="shared" si="167"/>
        <v>2004</v>
      </c>
      <c r="T159" s="312"/>
      <c r="U159" s="312"/>
      <c r="V159" s="312"/>
      <c r="W159" s="312"/>
      <c r="X159" s="56"/>
      <c r="Y159" s="56"/>
      <c r="Z159" s="56"/>
      <c r="AA159" s="56"/>
      <c r="AB159" s="56"/>
      <c r="AC159" s="56"/>
      <c r="AD159" s="56"/>
      <c r="AE159" s="56"/>
      <c r="AG159" s="8">
        <f t="shared" si="166"/>
        <v>2004</v>
      </c>
      <c r="AH159" s="634"/>
      <c r="AI159" s="634"/>
      <c r="AJ159" s="634"/>
      <c r="AK159" s="634"/>
      <c r="AL159" s="56"/>
      <c r="AM159" s="56"/>
      <c r="AN159" s="56"/>
      <c r="AO159" s="56"/>
      <c r="AP159" s="56"/>
      <c r="AQ159" s="56"/>
      <c r="AR159" s="56"/>
      <c r="AS159" s="56"/>
      <c r="AT159" s="8"/>
      <c r="AU159" s="8">
        <f t="shared" si="168"/>
        <v>2004</v>
      </c>
      <c r="AV159" s="20"/>
      <c r="AW159" s="21"/>
      <c r="AX159" s="21"/>
      <c r="AY159" s="21"/>
      <c r="AZ159" s="21"/>
      <c r="BA159" s="21"/>
      <c r="BB159" s="21"/>
      <c r="BC159" s="20"/>
      <c r="BD159" s="21"/>
      <c r="BE159" s="21"/>
      <c r="BF159" s="21"/>
      <c r="BG159" s="21"/>
      <c r="BI159" s="8"/>
      <c r="BJ159" s="21"/>
      <c r="BK159" s="21"/>
    </row>
    <row r="160" spans="19:89" ht="11.25" customHeight="1">
      <c r="S160" s="8">
        <f t="shared" si="167"/>
        <v>2005</v>
      </c>
      <c r="T160" s="21"/>
      <c r="U160" s="21"/>
      <c r="V160" s="21"/>
      <c r="W160" s="21"/>
      <c r="X160" s="56"/>
      <c r="Y160" s="56"/>
      <c r="Z160" s="56"/>
      <c r="AA160" s="56"/>
      <c r="AB160" s="56"/>
      <c r="AC160" s="56"/>
      <c r="AD160" s="56"/>
      <c r="AE160" s="56"/>
      <c r="AG160" s="8">
        <f t="shared" si="166"/>
        <v>2005</v>
      </c>
      <c r="AH160" s="669">
        <f>[25]Sheet1!$L61</f>
        <v>194</v>
      </c>
      <c r="AI160" s="669">
        <f>[25]Sheet1!$L62</f>
        <v>206</v>
      </c>
      <c r="AJ160" s="669">
        <f>[25]Sheet1!$L63</f>
        <v>231</v>
      </c>
      <c r="AK160" s="669">
        <f>[25]Sheet1!$L64</f>
        <v>200</v>
      </c>
      <c r="AL160" s="669">
        <f>[25]Sheet1!$L65</f>
        <v>231</v>
      </c>
      <c r="AM160" s="669">
        <f>[25]Sheet1!$L66</f>
        <v>223</v>
      </c>
      <c r="AN160" s="669">
        <f>[25]Sheet1!$L67</f>
        <v>211</v>
      </c>
      <c r="AO160" s="670">
        <f>[25]Sheet1!$L68</f>
        <v>229</v>
      </c>
      <c r="AP160" s="669">
        <f>[25]Sheet1!$L69</f>
        <v>234</v>
      </c>
      <c r="AQ160" s="669">
        <f>[25]Sheet1!$L70</f>
        <v>237</v>
      </c>
      <c r="AR160" s="669">
        <f>[25]Sheet1!$L71</f>
        <v>233</v>
      </c>
      <c r="AS160" s="312">
        <f>[25]Sheet1!$L73</f>
        <v>239</v>
      </c>
      <c r="AT160" s="8"/>
      <c r="AU160" s="8">
        <f t="shared" si="168"/>
        <v>2005</v>
      </c>
      <c r="AV160" s="20">
        <f t="shared" ref="AV160:AV185" si="169">T67-AH160</f>
        <v>78.506100000000004</v>
      </c>
      <c r="AW160" s="21">
        <f t="shared" ref="AW160:AW185" si="170">U67-AI160</f>
        <v>47.577799999999996</v>
      </c>
      <c r="AX160" s="21">
        <f t="shared" ref="AX160:AX185" si="171">V67-AJ160</f>
        <v>107.57396999999997</v>
      </c>
      <c r="AY160" s="21">
        <f t="shared" ref="AY160:AY185" si="172">W67-AK160</f>
        <v>138.92793999999998</v>
      </c>
      <c r="AZ160" s="21">
        <f t="shared" ref="AZ160:AZ185" si="173">X67-AL160</f>
        <v>37.238609999999994</v>
      </c>
      <c r="BA160" s="21">
        <f t="shared" ref="BA160:BA185" si="174">Y67-AM160</f>
        <v>84.801310000000001</v>
      </c>
      <c r="BB160" s="21">
        <f t="shared" ref="BB160:BB185" si="175">Z67-AN160</f>
        <v>86.872580000000028</v>
      </c>
      <c r="BC160" s="20">
        <f t="shared" ref="BC160:BC185" si="176">AA67-AO160</f>
        <v>75.584979999999973</v>
      </c>
      <c r="BD160" s="21">
        <f t="shared" ref="BD160:BD185" si="177">AB67-AP160</f>
        <v>88.877760000000023</v>
      </c>
      <c r="BE160" s="21">
        <f t="shared" ref="BE160:BE185" si="178">AC67-AQ160</f>
        <v>85.081719999999962</v>
      </c>
      <c r="BF160" s="21">
        <f t="shared" ref="BF160:BF185" si="179">AD67-AR160</f>
        <v>75.477469999999983</v>
      </c>
      <c r="BG160" s="21">
        <f t="shared" ref="BG160:BG185" si="180">AE67-AS160</f>
        <v>48.135789999999986</v>
      </c>
      <c r="BI160" s="8"/>
      <c r="BJ160" s="21"/>
      <c r="BK160" s="21"/>
      <c r="BL160" s="8"/>
      <c r="BM160" s="8"/>
      <c r="BN160" s="8"/>
      <c r="BO160" s="8"/>
    </row>
    <row r="161" spans="19:63" ht="11.25" customHeight="1">
      <c r="S161" s="8">
        <f t="shared" si="167"/>
        <v>2006</v>
      </c>
      <c r="T161" s="21"/>
      <c r="U161" s="21"/>
      <c r="V161" s="21"/>
      <c r="W161" s="21"/>
      <c r="Y161" s="56"/>
      <c r="Z161" s="56"/>
      <c r="AA161" s="56"/>
      <c r="AB161" s="56"/>
      <c r="AC161" s="56"/>
      <c r="AD161" s="56"/>
      <c r="AE161" s="56"/>
      <c r="AG161" s="8">
        <f t="shared" si="166"/>
        <v>2006</v>
      </c>
      <c r="AH161" s="57">
        <f>[25]Sheet1!$L74</f>
        <v>206</v>
      </c>
      <c r="AI161" s="312">
        <f>[25]Sheet1!$L75</f>
        <v>248</v>
      </c>
      <c r="AJ161" s="312">
        <f>[25]Sheet1!$L76</f>
        <v>231</v>
      </c>
      <c r="AK161" s="312">
        <f>[25]Sheet1!$L77</f>
        <v>241</v>
      </c>
      <c r="AL161" s="312">
        <f>[25]Sheet1!$L78</f>
        <v>263</v>
      </c>
      <c r="AM161" s="312">
        <f>[25]Sheet1!$L79</f>
        <v>193</v>
      </c>
      <c r="AN161" s="312">
        <f>[25]Sheet1!$L80</f>
        <v>197</v>
      </c>
      <c r="AO161" s="57">
        <f>[25]Sheet1!$L81</f>
        <v>227</v>
      </c>
      <c r="AP161" s="312">
        <f>[25]Sheet1!$L82</f>
        <v>186</v>
      </c>
      <c r="AQ161" s="312">
        <f>[25]Sheet1!$L83</f>
        <v>165</v>
      </c>
      <c r="AR161" s="312">
        <f>[25]Sheet1!$L84</f>
        <v>178</v>
      </c>
      <c r="AS161" s="312">
        <f>[25]Sheet1!$L86</f>
        <v>147</v>
      </c>
      <c r="AT161" s="8"/>
      <c r="AU161" s="8">
        <f t="shared" si="168"/>
        <v>2006</v>
      </c>
      <c r="AV161" s="20">
        <f t="shared" si="169"/>
        <v>20.019980000000004</v>
      </c>
      <c r="AW161" s="21">
        <f t="shared" si="170"/>
        <v>1.6481599999999901</v>
      </c>
      <c r="AX161" s="21">
        <f t="shared" si="171"/>
        <v>69.057590000000005</v>
      </c>
      <c r="AY161" s="21">
        <f t="shared" si="172"/>
        <v>94.630949999999984</v>
      </c>
      <c r="AZ161" s="21">
        <f t="shared" si="173"/>
        <v>-6.1030999999999835</v>
      </c>
      <c r="BA161" s="21">
        <f t="shared" si="174"/>
        <v>109.91730999999999</v>
      </c>
      <c r="BB161" s="21">
        <f t="shared" si="175"/>
        <v>79.40133000000003</v>
      </c>
      <c r="BC161" s="20">
        <f t="shared" si="176"/>
        <v>63.116539999999986</v>
      </c>
      <c r="BD161" s="21">
        <f t="shared" si="177"/>
        <v>80.853909999999985</v>
      </c>
      <c r="BE161" s="21">
        <f t="shared" si="178"/>
        <v>73.553049999999985</v>
      </c>
      <c r="BF161" s="21">
        <f t="shared" si="179"/>
        <v>125.82024999999999</v>
      </c>
      <c r="BG161" s="21">
        <f t="shared" si="180"/>
        <v>137.41343999999998</v>
      </c>
      <c r="BI161" s="8"/>
      <c r="BJ161" s="21"/>
      <c r="BK161" s="21"/>
    </row>
    <row r="162" spans="19:63" ht="11.25" customHeight="1">
      <c r="S162" s="8">
        <f t="shared" si="167"/>
        <v>2007</v>
      </c>
      <c r="T162" s="936">
        <f>[25]Sheet1!$L$111</f>
        <v>201</v>
      </c>
      <c r="U162" s="21"/>
      <c r="V162" s="21"/>
      <c r="W162" s="21"/>
      <c r="X162" s="56"/>
      <c r="Y162" s="56"/>
      <c r="Z162" s="56"/>
      <c r="AA162" s="56"/>
      <c r="AB162" s="56"/>
      <c r="AC162" s="56"/>
      <c r="AD162" s="56"/>
      <c r="AE162" s="56"/>
      <c r="AG162" s="8">
        <f t="shared" si="166"/>
        <v>2007</v>
      </c>
      <c r="AH162" s="315">
        <f>[25]Sheet1!$L$87</f>
        <v>192</v>
      </c>
      <c r="AI162" s="56">
        <f>[25]Sheet1!$L$88</f>
        <v>163</v>
      </c>
      <c r="AJ162" s="56">
        <f>[25]Sheet1!$L$89</f>
        <v>185</v>
      </c>
      <c r="AK162" s="56">
        <f>[25]Sheet1!$L$90</f>
        <v>162</v>
      </c>
      <c r="AL162" s="56">
        <f>[25]Sheet1!$L$91</f>
        <v>163</v>
      </c>
      <c r="AM162" s="56">
        <f>[25]Sheet1!$L$92</f>
        <v>179</v>
      </c>
      <c r="AN162" s="56">
        <f>[25]Sheet1!$L$93</f>
        <v>166</v>
      </c>
      <c r="AO162" s="315">
        <f>[25]Sheet1!$L$94</f>
        <v>177</v>
      </c>
      <c r="AP162" s="56">
        <f>[25]Sheet1!$L$95</f>
        <v>148</v>
      </c>
      <c r="AQ162" s="56">
        <f>[25]Sheet1!$L$96</f>
        <v>200</v>
      </c>
      <c r="AR162" s="56">
        <f>[25]Sheet1!$L$97</f>
        <v>245</v>
      </c>
      <c r="AS162" s="56">
        <f>[25]Sheet1!$L$99</f>
        <v>186</v>
      </c>
      <c r="AT162" s="8"/>
      <c r="AU162" s="8">
        <f t="shared" si="168"/>
        <v>2007</v>
      </c>
      <c r="AV162" s="20">
        <f t="shared" si="169"/>
        <v>74.33253000000002</v>
      </c>
      <c r="AW162" s="21">
        <f t="shared" si="170"/>
        <v>103.52017999999998</v>
      </c>
      <c r="AX162" s="21">
        <f t="shared" si="171"/>
        <v>79.546749999999975</v>
      </c>
      <c r="AY162" s="21">
        <f t="shared" si="172"/>
        <v>103.34310999999997</v>
      </c>
      <c r="AZ162" s="21">
        <f t="shared" si="173"/>
        <v>106.63013000000001</v>
      </c>
      <c r="BA162" s="21">
        <f t="shared" si="174"/>
        <v>61.021079999999984</v>
      </c>
      <c r="BB162" s="21">
        <f t="shared" si="175"/>
        <v>80.291820000000001</v>
      </c>
      <c r="BC162" s="20">
        <f t="shared" si="176"/>
        <v>82.503899999999987</v>
      </c>
      <c r="BD162" s="21">
        <f t="shared" si="177"/>
        <v>130.06289000000004</v>
      </c>
      <c r="BE162" s="21">
        <f t="shared" si="178"/>
        <v>75.054070000000024</v>
      </c>
      <c r="BF162" s="21">
        <f t="shared" si="179"/>
        <v>83.908770000000004</v>
      </c>
      <c r="BG162" s="21">
        <f t="shared" si="180"/>
        <v>135.67712</v>
      </c>
      <c r="BI162" s="8"/>
      <c r="BJ162" s="21"/>
      <c r="BK162" s="21"/>
    </row>
    <row r="163" spans="19:63" ht="11.25" customHeight="1">
      <c r="S163" s="8">
        <f t="shared" si="167"/>
        <v>2008</v>
      </c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G163" s="8">
        <f t="shared" si="166"/>
        <v>2008</v>
      </c>
      <c r="AH163" s="315">
        <f>[25]Sheet1!$L$100</f>
        <v>128</v>
      </c>
      <c r="AI163" s="56">
        <f>[25]Sheet1!$L$101</f>
        <v>204</v>
      </c>
      <c r="AJ163" s="56">
        <f>[25]Sheet1!$L$102</f>
        <v>192</v>
      </c>
      <c r="AK163" s="56">
        <f>[25]Sheet1!$L$103</f>
        <v>269</v>
      </c>
      <c r="AL163" s="56">
        <f>[25]Sheet1!$L$104</f>
        <v>207</v>
      </c>
      <c r="AM163" s="56">
        <f>[25]Sheet1!$L$105</f>
        <v>202</v>
      </c>
      <c r="AN163" s="56">
        <f>[25]Sheet1!$L$106</f>
        <v>198</v>
      </c>
      <c r="AO163" s="808">
        <f>[25]Sheet1!$L107</f>
        <v>166</v>
      </c>
      <c r="AP163" s="804">
        <f>[25]Sheet1!$L108</f>
        <v>255</v>
      </c>
      <c r="AQ163" s="804">
        <f>[25]Sheet1!$L109</f>
        <v>279</v>
      </c>
      <c r="AR163" s="804">
        <f>[25]Sheet1!$L110</f>
        <v>122</v>
      </c>
      <c r="AS163" s="804">
        <f>[25]Sheet1!$L112</f>
        <v>191</v>
      </c>
      <c r="AT163" s="8"/>
      <c r="AU163" s="8">
        <f t="shared" si="168"/>
        <v>2008</v>
      </c>
      <c r="AV163" s="20">
        <f t="shared" si="169"/>
        <v>90.731999999999999</v>
      </c>
      <c r="AW163" s="21">
        <f t="shared" si="170"/>
        <v>68.285000000000025</v>
      </c>
      <c r="AX163" s="21">
        <f t="shared" si="171"/>
        <v>48.28</v>
      </c>
      <c r="AY163" s="21">
        <f t="shared" si="172"/>
        <v>17.798999999999978</v>
      </c>
      <c r="AZ163" s="21">
        <f t="shared" si="173"/>
        <v>52.333000000000027</v>
      </c>
      <c r="BA163" s="21">
        <f t="shared" si="174"/>
        <v>105.21699999999998</v>
      </c>
      <c r="BB163" s="21">
        <f t="shared" si="175"/>
        <v>100.065</v>
      </c>
      <c r="BC163" s="20">
        <f t="shared" si="176"/>
        <v>141.21699999999998</v>
      </c>
      <c r="BD163" s="21">
        <f t="shared" si="177"/>
        <v>58.293000000000006</v>
      </c>
      <c r="BE163" s="21">
        <f t="shared" si="178"/>
        <v>-35.295999999999992</v>
      </c>
      <c r="BF163" s="21">
        <f t="shared" si="179"/>
        <v>80.414999999999992</v>
      </c>
      <c r="BG163" s="21">
        <f t="shared" si="180"/>
        <v>37.573000000000008</v>
      </c>
      <c r="BI163" s="8"/>
    </row>
    <row r="164" spans="19:63" ht="11.25" customHeight="1">
      <c r="S164" s="8">
        <f t="shared" si="167"/>
        <v>2009</v>
      </c>
      <c r="T164" s="922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G164" s="8">
        <f t="shared" si="166"/>
        <v>2009</v>
      </c>
      <c r="AH164" s="808">
        <f>[25]Sheet1!$L113</f>
        <v>149</v>
      </c>
      <c r="AI164" s="804">
        <f>[25]Sheet1!$L114</f>
        <v>194</v>
      </c>
      <c r="AJ164" s="804">
        <f>[25]Sheet1!$L115</f>
        <v>183</v>
      </c>
      <c r="AK164" s="804">
        <f>[25]Sheet1!$L116</f>
        <v>175</v>
      </c>
      <c r="AL164" s="804">
        <f>[25]Sheet1!$L117</f>
        <v>174</v>
      </c>
      <c r="AM164" s="804">
        <f>[25]Sheet1!$L118</f>
        <v>186</v>
      </c>
      <c r="AN164" s="804">
        <f>[25]Sheet1!$L119</f>
        <v>163</v>
      </c>
      <c r="AO164" s="804">
        <f>[25]Sheet1!$L120</f>
        <v>164</v>
      </c>
      <c r="AP164" s="804">
        <f>[25]Sheet1!$L121</f>
        <v>144</v>
      </c>
      <c r="AQ164" s="804">
        <f>[25]Sheet1!$L122</f>
        <v>186</v>
      </c>
      <c r="AR164" s="804">
        <f>[25]Sheet1!$L123</f>
        <v>159</v>
      </c>
      <c r="AS164" s="804">
        <f>[25]Sheet1!$L123</f>
        <v>159</v>
      </c>
      <c r="AT164" s="8"/>
      <c r="AU164" s="8">
        <f t="shared" si="168"/>
        <v>2009</v>
      </c>
      <c r="AV164" s="20">
        <f t="shared" si="169"/>
        <v>68.795999999999992</v>
      </c>
      <c r="AW164" s="21">
        <f t="shared" si="170"/>
        <v>44.407999999999987</v>
      </c>
      <c r="AX164" s="21">
        <f t="shared" si="171"/>
        <v>16.682999999999993</v>
      </c>
      <c r="AY164" s="21">
        <f t="shared" si="172"/>
        <v>70.186000000000007</v>
      </c>
      <c r="AZ164" s="21">
        <f t="shared" si="173"/>
        <v>100.82999999999998</v>
      </c>
      <c r="BA164" s="21">
        <f t="shared" si="174"/>
        <v>38.193999999999988</v>
      </c>
      <c r="BB164" s="21">
        <f t="shared" si="175"/>
        <v>133.62400000000002</v>
      </c>
      <c r="BC164" s="20">
        <f t="shared" si="176"/>
        <v>63.836000000000013</v>
      </c>
      <c r="BD164" s="21">
        <f t="shared" si="177"/>
        <v>83.586000000000013</v>
      </c>
      <c r="BE164" s="21">
        <f t="shared" si="178"/>
        <v>27.909999999999997</v>
      </c>
      <c r="BF164" s="21">
        <f t="shared" si="179"/>
        <v>61.384999999999991</v>
      </c>
      <c r="BG164" s="21">
        <f t="shared" si="180"/>
        <v>-39.632000000000005</v>
      </c>
      <c r="BI164" s="8"/>
    </row>
    <row r="165" spans="19:63" ht="11.25" customHeight="1">
      <c r="S165" s="8">
        <f t="shared" si="167"/>
        <v>2010</v>
      </c>
      <c r="T165" s="922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G165" s="8">
        <f t="shared" si="166"/>
        <v>2010</v>
      </c>
      <c r="AH165" s="921">
        <f>[25]Sheet1!$L125</f>
        <v>154</v>
      </c>
      <c r="AI165" s="922">
        <f>[25]Sheet1!$L126</f>
        <v>170</v>
      </c>
      <c r="AJ165" s="922">
        <f>[25]Sheet1!$L127</f>
        <v>202</v>
      </c>
      <c r="AK165" s="922">
        <f>[25]Sheet1!$L128</f>
        <v>210</v>
      </c>
      <c r="AL165" s="922">
        <f>[25]Sheet1!$L129</f>
        <v>179</v>
      </c>
      <c r="AM165" s="922">
        <f>[25]Sheet1!$L130</f>
        <v>174</v>
      </c>
      <c r="AN165" s="922">
        <f>[25]Sheet1!$L131</f>
        <v>164</v>
      </c>
      <c r="AO165" s="921">
        <f>[25]Sheet1!$L132</f>
        <v>149</v>
      </c>
      <c r="AP165" s="922">
        <f>[25]Sheet1!$L133</f>
        <v>140</v>
      </c>
      <c r="AQ165" s="922">
        <f>[25]Sheet1!$L134</f>
        <v>126</v>
      </c>
      <c r="AR165" s="922">
        <f>[25]Sheet1!$L135</f>
        <v>134</v>
      </c>
      <c r="AS165" s="921">
        <f>[25]Sheet1!$L136</f>
        <v>135</v>
      </c>
      <c r="AT165" s="8"/>
      <c r="AU165" s="8">
        <f t="shared" si="168"/>
        <v>2010</v>
      </c>
      <c r="AV165" s="20">
        <f t="shared" si="169"/>
        <v>-127.70099999999999</v>
      </c>
      <c r="AW165" s="21">
        <f t="shared" si="170"/>
        <v>64.259999999999991</v>
      </c>
      <c r="AX165" s="21">
        <f t="shared" si="171"/>
        <v>0.44700000000000273</v>
      </c>
      <c r="AY165" s="21">
        <f t="shared" si="172"/>
        <v>68.865000000000009</v>
      </c>
      <c r="AZ165" s="21">
        <f t="shared" si="173"/>
        <v>122.04700000000003</v>
      </c>
      <c r="BA165" s="21">
        <f t="shared" si="174"/>
        <v>82.47199999999998</v>
      </c>
      <c r="BB165" s="21">
        <f t="shared" si="175"/>
        <v>71.27600000000001</v>
      </c>
      <c r="BC165" s="20">
        <f t="shared" si="176"/>
        <v>54.046999999999997</v>
      </c>
      <c r="BD165" s="21">
        <f t="shared" si="177"/>
        <v>61.76400000000001</v>
      </c>
      <c r="BE165" s="21">
        <f t="shared" si="178"/>
        <v>88.135999999999996</v>
      </c>
      <c r="BF165" s="21">
        <f t="shared" si="179"/>
        <v>35.039999999999992</v>
      </c>
      <c r="BG165" s="21">
        <f t="shared" si="180"/>
        <v>47.876000000000005</v>
      </c>
      <c r="BI165" s="8"/>
      <c r="BJ165" s="8"/>
      <c r="BK165" s="8"/>
    </row>
    <row r="166" spans="19:63" ht="11.25" customHeight="1">
      <c r="S166" s="8">
        <f t="shared" si="167"/>
        <v>2011</v>
      </c>
      <c r="T166" s="922">
        <f>[25]Sheet1!$L$138</f>
        <v>190</v>
      </c>
      <c r="U166" s="922">
        <f>[25]Sheet1!$L$139</f>
        <v>185</v>
      </c>
      <c r="V166" s="922">
        <f>[25]Sheet1!$L$140</f>
        <v>177</v>
      </c>
      <c r="W166" s="922">
        <f>[25]Sheet1!$L$141</f>
        <v>164</v>
      </c>
      <c r="X166" s="922">
        <f>[25]Sheet1!$L$142</f>
        <v>219</v>
      </c>
      <c r="Y166" s="922">
        <f>[25]Sheet1!$L$143</f>
        <v>172</v>
      </c>
      <c r="Z166" s="922">
        <f>[25]Sheet1!$L$144</f>
        <v>173</v>
      </c>
      <c r="AA166" s="922">
        <f>[25]Sheet1!$L$145</f>
        <v>178</v>
      </c>
      <c r="AB166" s="922">
        <f>[25]Sheet1!$L$146</f>
        <v>176</v>
      </c>
      <c r="AC166" s="922">
        <f>[25]Sheet1!$L$147</f>
        <v>186</v>
      </c>
      <c r="AD166" s="922">
        <f>[25]Sheet1!$L$148</f>
        <v>181</v>
      </c>
      <c r="AE166" s="922">
        <f>[25]Sheet1!$L$149</f>
        <v>169</v>
      </c>
      <c r="AG166" s="8">
        <f t="shared" si="166"/>
        <v>2011</v>
      </c>
      <c r="AH166" s="921">
        <f>[25]Sheet1!$L138</f>
        <v>190</v>
      </c>
      <c r="AI166" s="921">
        <f>[25]Sheet1!$L139</f>
        <v>185</v>
      </c>
      <c r="AJ166" s="921">
        <f>[25]Sheet1!$L140</f>
        <v>177</v>
      </c>
      <c r="AK166" s="921">
        <f>[25]Sheet1!$L141</f>
        <v>164</v>
      </c>
      <c r="AL166" s="921">
        <f>[25]Sheet1!$L142</f>
        <v>219</v>
      </c>
      <c r="AM166" s="921">
        <f>[25]Sheet1!$L143</f>
        <v>172</v>
      </c>
      <c r="AN166" s="921">
        <f>[25]Sheet1!$L144</f>
        <v>173</v>
      </c>
      <c r="AO166" s="921">
        <f>[25]Sheet1!$L145</f>
        <v>178</v>
      </c>
      <c r="AP166" s="921">
        <f>[25]Sheet1!$L146</f>
        <v>176</v>
      </c>
      <c r="AQ166" s="921">
        <f>[25]Sheet1!$L147</f>
        <v>186</v>
      </c>
      <c r="AR166" s="921">
        <f>[25]Sheet1!$L148</f>
        <v>181</v>
      </c>
      <c r="AS166" s="921">
        <f>[25]Sheet1!$L149</f>
        <v>169</v>
      </c>
      <c r="AT166" s="8"/>
      <c r="AU166" s="8">
        <f t="shared" si="168"/>
        <v>2011</v>
      </c>
      <c r="AV166" s="20">
        <f t="shared" si="169"/>
        <v>55.801999999999992</v>
      </c>
      <c r="AW166" s="21">
        <f t="shared" si="170"/>
        <v>60.63900000000001</v>
      </c>
      <c r="AX166" s="21">
        <f t="shared" si="171"/>
        <v>98.670999999999992</v>
      </c>
      <c r="AY166" s="21">
        <f t="shared" si="172"/>
        <v>67.100999999999999</v>
      </c>
      <c r="AZ166" s="21">
        <f t="shared" si="173"/>
        <v>47.952999999999975</v>
      </c>
      <c r="BA166" s="21">
        <f t="shared" si="174"/>
        <v>40.304000000000002</v>
      </c>
      <c r="BB166" s="21">
        <f t="shared" si="175"/>
        <v>53.47</v>
      </c>
      <c r="BC166" s="20">
        <f t="shared" si="176"/>
        <v>43.139999999999986</v>
      </c>
      <c r="BD166" s="21">
        <f t="shared" si="177"/>
        <v>72.004999999999995</v>
      </c>
      <c r="BE166" s="21">
        <f t="shared" si="178"/>
        <v>65.555000000000007</v>
      </c>
      <c r="BF166" s="21">
        <f t="shared" si="179"/>
        <v>61.078000000000003</v>
      </c>
      <c r="BG166" s="21">
        <f t="shared" si="180"/>
        <v>19.658999999999992</v>
      </c>
      <c r="BI166" s="8"/>
    </row>
    <row r="167" spans="19:63" ht="11.25" customHeight="1">
      <c r="S167" s="804">
        <f t="shared" si="167"/>
        <v>2012</v>
      </c>
      <c r="T167" s="922">
        <f>[25]Sheet1!$L$151</f>
        <v>164</v>
      </c>
      <c r="U167" s="922">
        <f>[25]Sheet1!$L$152</f>
        <v>170</v>
      </c>
      <c r="V167" s="922">
        <f>[25]Sheet1!$L$153</f>
        <v>172</v>
      </c>
      <c r="W167" s="922">
        <f>[25]Sheet1!$L$154</f>
        <v>169</v>
      </c>
      <c r="X167" s="922">
        <f>[25]Sheet1!$L$155</f>
        <v>164</v>
      </c>
      <c r="Y167" s="922">
        <f>[25]Sheet1!$L$156</f>
        <v>177</v>
      </c>
      <c r="Z167" s="922">
        <f>[25]Sheet1!$L$157</f>
        <v>189</v>
      </c>
      <c r="AA167" s="922">
        <f>[25]Sheet1!$L$158</f>
        <v>166</v>
      </c>
      <c r="AB167" s="922">
        <f>[25]Sheet1!$L$159</f>
        <v>173</v>
      </c>
      <c r="AC167" s="922">
        <f>[25]Sheet1!$L$160</f>
        <v>157</v>
      </c>
      <c r="AD167" s="922">
        <f>[25]Sheet1!$L$161</f>
        <v>168</v>
      </c>
      <c r="AE167" s="922">
        <f>[25]Sheet1!$L$162</f>
        <v>186</v>
      </c>
      <c r="AG167" s="8">
        <f t="shared" si="166"/>
        <v>2012</v>
      </c>
      <c r="AH167" s="921">
        <f>[25]Sheet1!$L151</f>
        <v>164</v>
      </c>
      <c r="AI167" s="921">
        <f>[25]Sheet1!$L152</f>
        <v>170</v>
      </c>
      <c r="AJ167" s="921">
        <f>[25]Sheet1!$L153</f>
        <v>172</v>
      </c>
      <c r="AK167" s="921">
        <f>[25]Sheet1!$L154</f>
        <v>169</v>
      </c>
      <c r="AL167" s="921">
        <f>[25]Sheet1!$L155</f>
        <v>164</v>
      </c>
      <c r="AM167" s="921">
        <f>[25]Sheet1!$L156</f>
        <v>177</v>
      </c>
      <c r="AN167" s="921">
        <f>[25]Sheet1!$L157</f>
        <v>189</v>
      </c>
      <c r="AO167" s="921">
        <f>[25]Sheet1!$L158</f>
        <v>166</v>
      </c>
      <c r="AP167" s="921">
        <f>[25]Sheet1!$L159</f>
        <v>173</v>
      </c>
      <c r="AQ167" s="921">
        <f>[25]Sheet1!$L160</f>
        <v>157</v>
      </c>
      <c r="AR167" s="921">
        <f>[25]Sheet1!$L161</f>
        <v>168</v>
      </c>
      <c r="AS167" s="921">
        <f>[25]Sheet1!$L162</f>
        <v>186</v>
      </c>
      <c r="AT167" s="8"/>
      <c r="AU167" s="8">
        <f t="shared" si="168"/>
        <v>2012</v>
      </c>
      <c r="AV167" s="20">
        <f t="shared" si="169"/>
        <v>11.225999999999999</v>
      </c>
      <c r="AW167" s="21">
        <f t="shared" si="170"/>
        <v>59.644000000000005</v>
      </c>
      <c r="AX167" s="21">
        <f t="shared" si="171"/>
        <v>49.463999999999999</v>
      </c>
      <c r="AY167" s="21">
        <f t="shared" si="172"/>
        <v>64.903999999999996</v>
      </c>
      <c r="AZ167" s="21">
        <f t="shared" si="173"/>
        <v>58.959000000000003</v>
      </c>
      <c r="BA167" s="21">
        <f t="shared" si="174"/>
        <v>56.459000000000003</v>
      </c>
      <c r="BB167" s="21">
        <f t="shared" si="175"/>
        <v>53.49799999999999</v>
      </c>
      <c r="BC167" s="20">
        <f t="shared" si="176"/>
        <v>55.711999999999989</v>
      </c>
      <c r="BD167" s="21">
        <f t="shared" si="177"/>
        <v>39.341000000000008</v>
      </c>
      <c r="BE167" s="21">
        <f t="shared" si="178"/>
        <v>44.092000000000013</v>
      </c>
      <c r="BF167" s="21">
        <f t="shared" si="179"/>
        <v>93.978999999999985</v>
      </c>
      <c r="BG167" s="21">
        <f t="shared" si="180"/>
        <v>-8.1020000000000039</v>
      </c>
      <c r="BI167" s="8"/>
    </row>
    <row r="168" spans="19:63" ht="11.25" customHeight="1">
      <c r="S168" s="804">
        <f t="shared" si="167"/>
        <v>2013</v>
      </c>
      <c r="T168" s="922">
        <f>[25]Sheet1!$L$163</f>
        <v>171</v>
      </c>
      <c r="U168" s="922">
        <f>[25]Sheet1!$L$164</f>
        <v>176</v>
      </c>
      <c r="V168" s="922">
        <f>[25]Sheet1!$L$165</f>
        <v>170</v>
      </c>
      <c r="W168" s="922">
        <f>[25]Sheet1!$L$166</f>
        <v>174</v>
      </c>
      <c r="X168" s="922">
        <f>[25]Sheet1!$L$167</f>
        <v>182</v>
      </c>
      <c r="Y168" s="922">
        <f>[25]Sheet1!$L$168</f>
        <v>172</v>
      </c>
      <c r="Z168" s="922">
        <f>[25]Sheet1!$L$169</f>
        <v>184</v>
      </c>
      <c r="AA168" s="922">
        <f>[25]Sheet1!$L$170</f>
        <v>177</v>
      </c>
      <c r="AB168" s="922">
        <f>[25]Sheet1!$L$171</f>
        <v>178</v>
      </c>
      <c r="AC168" s="1200">
        <f>AVERAGE(T168:AB168)</f>
        <v>176</v>
      </c>
      <c r="AD168" s="1200">
        <f>AC168</f>
        <v>176</v>
      </c>
      <c r="AE168" s="1200">
        <f>AD168</f>
        <v>176</v>
      </c>
      <c r="AG168" s="8">
        <f t="shared" si="166"/>
        <v>2013</v>
      </c>
      <c r="AH168" s="921">
        <f>[25]Sheet1!$L164</f>
        <v>176</v>
      </c>
      <c r="AI168" s="921">
        <f>[25]Sheet1!$L165</f>
        <v>170</v>
      </c>
      <c r="AJ168" s="922">
        <f>[25]Sheet1!$L166</f>
        <v>174</v>
      </c>
      <c r="AK168" s="922">
        <f>[25]Sheet1!$L167</f>
        <v>182</v>
      </c>
      <c r="AL168" s="922">
        <f>[25]Sheet1!$L168</f>
        <v>172</v>
      </c>
      <c r="AM168" s="922">
        <f>[25]Sheet1!$L169</f>
        <v>184</v>
      </c>
      <c r="AN168" s="922">
        <f>[25]Sheet1!$L170</f>
        <v>177</v>
      </c>
      <c r="AO168" s="921">
        <f>[25]Sheet1!$L171</f>
        <v>178</v>
      </c>
      <c r="AP168" s="1200">
        <f>AVERAGE(AH168:AO168)</f>
        <v>176.625</v>
      </c>
      <c r="AQ168" s="1200">
        <f>AP168</f>
        <v>176.625</v>
      </c>
      <c r="AR168" s="1200">
        <f>AQ168</f>
        <v>176.625</v>
      </c>
      <c r="AS168" s="1200">
        <f>AR168</f>
        <v>176.625</v>
      </c>
      <c r="AT168" s="8"/>
      <c r="AU168" s="8">
        <f t="shared" si="168"/>
        <v>2013</v>
      </c>
      <c r="AV168" s="20">
        <f t="shared" si="169"/>
        <v>51.533999999999992</v>
      </c>
      <c r="AW168" s="21">
        <f t="shared" si="170"/>
        <v>54.242999999999995</v>
      </c>
      <c r="AX168" s="21">
        <f t="shared" si="171"/>
        <v>55.711000000000013</v>
      </c>
      <c r="AY168" s="21">
        <f t="shared" si="172"/>
        <v>34.37299999999999</v>
      </c>
      <c r="AZ168" s="21">
        <f t="shared" si="173"/>
        <v>98.63</v>
      </c>
      <c r="BA168" s="21">
        <f t="shared" si="174"/>
        <v>71.752999999999986</v>
      </c>
      <c r="BB168" s="21">
        <f t="shared" si="175"/>
        <v>61.75200000000001</v>
      </c>
      <c r="BC168" s="20">
        <f t="shared" si="176"/>
        <v>59.570857142857136</v>
      </c>
      <c r="BD168" s="21">
        <f t="shared" si="177"/>
        <v>60.945857142857136</v>
      </c>
      <c r="BE168" s="21">
        <f t="shared" si="178"/>
        <v>60.945857142857136</v>
      </c>
      <c r="BF168" s="21">
        <f t="shared" si="179"/>
        <v>60.945857142857136</v>
      </c>
      <c r="BG168" s="21">
        <f t="shared" si="180"/>
        <v>60.945857142857136</v>
      </c>
      <c r="BI168" s="8"/>
    </row>
    <row r="169" spans="19:63" ht="11.25" customHeight="1">
      <c r="S169" s="804">
        <f t="shared" si="167"/>
        <v>2014</v>
      </c>
      <c r="T169" s="922">
        <f>[25]Sheet1!$L189-[25]Sheet1!$L$176</f>
        <v>3</v>
      </c>
      <c r="U169" s="21">
        <f t="shared" ref="U169:AE176" si="181">$T169</f>
        <v>3</v>
      </c>
      <c r="V169" s="21">
        <f t="shared" si="181"/>
        <v>3</v>
      </c>
      <c r="W169" s="21">
        <f t="shared" si="181"/>
        <v>3</v>
      </c>
      <c r="X169" s="21">
        <f t="shared" si="181"/>
        <v>3</v>
      </c>
      <c r="Y169" s="21">
        <f t="shared" si="181"/>
        <v>3</v>
      </c>
      <c r="Z169" s="21">
        <f t="shared" si="181"/>
        <v>3</v>
      </c>
      <c r="AA169" s="21">
        <f t="shared" si="181"/>
        <v>3</v>
      </c>
      <c r="AB169" s="21">
        <f t="shared" si="181"/>
        <v>3</v>
      </c>
      <c r="AC169" s="21">
        <f t="shared" si="181"/>
        <v>3</v>
      </c>
      <c r="AD169" s="21">
        <f t="shared" si="181"/>
        <v>3</v>
      </c>
      <c r="AE169" s="21">
        <f t="shared" si="181"/>
        <v>3</v>
      </c>
      <c r="AG169" s="8">
        <f t="shared" si="166"/>
        <v>2014</v>
      </c>
      <c r="AH169" s="932">
        <f>[25]Sheet1!$L177</f>
        <v>168</v>
      </c>
      <c r="AI169" s="21">
        <f t="shared" ref="AI169" si="182">AH169</f>
        <v>168</v>
      </c>
      <c r="AJ169" s="21">
        <f t="shared" ref="AJ169" si="183">AI169</f>
        <v>168</v>
      </c>
      <c r="AK169" s="21">
        <f t="shared" ref="AK169" si="184">AJ169</f>
        <v>168</v>
      </c>
      <c r="AL169" s="21">
        <f t="shared" ref="AL169" si="185">AK169</f>
        <v>168</v>
      </c>
      <c r="AM169" s="21">
        <f t="shared" ref="AM169" si="186">AL169</f>
        <v>168</v>
      </c>
      <c r="AN169" s="21">
        <f t="shared" ref="AN169" si="187">AM169</f>
        <v>168</v>
      </c>
      <c r="AO169" s="932">
        <f t="shared" ref="AO169" si="188">AN169</f>
        <v>168</v>
      </c>
      <c r="AP169" s="21">
        <f t="shared" ref="AP169:AS169" si="189">AO169</f>
        <v>168</v>
      </c>
      <c r="AQ169" s="21">
        <f t="shared" si="189"/>
        <v>168</v>
      </c>
      <c r="AR169" s="21">
        <f t="shared" si="189"/>
        <v>168</v>
      </c>
      <c r="AS169" s="21">
        <f t="shared" si="189"/>
        <v>168</v>
      </c>
      <c r="AT169" s="8"/>
      <c r="AU169" s="8">
        <f t="shared" si="168"/>
        <v>2014</v>
      </c>
      <c r="AV169" s="20">
        <f t="shared" si="169"/>
        <v>72.533999999999992</v>
      </c>
      <c r="AW169" s="21">
        <f t="shared" si="170"/>
        <v>72.533999999999992</v>
      </c>
      <c r="AX169" s="21">
        <f t="shared" si="171"/>
        <v>72.533999999999992</v>
      </c>
      <c r="AY169" s="21">
        <f t="shared" si="172"/>
        <v>72.533999999999992</v>
      </c>
      <c r="AZ169" s="21">
        <f t="shared" si="173"/>
        <v>72.533999999999992</v>
      </c>
      <c r="BA169" s="21">
        <f t="shared" si="174"/>
        <v>72.533999999999992</v>
      </c>
      <c r="BB169" s="21">
        <f t="shared" si="175"/>
        <v>72.533999999999992</v>
      </c>
      <c r="BC169" s="20">
        <f t="shared" si="176"/>
        <v>72.533999999999992</v>
      </c>
      <c r="BD169" s="21">
        <f t="shared" si="177"/>
        <v>72.533999999999992</v>
      </c>
      <c r="BE169" s="21">
        <f t="shared" si="178"/>
        <v>72.533999999999992</v>
      </c>
      <c r="BF169" s="21">
        <f t="shared" si="179"/>
        <v>72.533999999999992</v>
      </c>
      <c r="BG169" s="21">
        <f t="shared" si="180"/>
        <v>72.533999999999992</v>
      </c>
      <c r="BI169" s="8"/>
    </row>
    <row r="170" spans="19:63" ht="11.25" customHeight="1">
      <c r="S170" s="804">
        <f t="shared" si="167"/>
        <v>2015</v>
      </c>
      <c r="T170" s="922">
        <f>[25]Sheet1!$L190-[25]Sheet1!$L$176</f>
        <v>13</v>
      </c>
      <c r="U170" s="21">
        <f t="shared" si="181"/>
        <v>13</v>
      </c>
      <c r="V170" s="21">
        <f t="shared" si="181"/>
        <v>13</v>
      </c>
      <c r="W170" s="21">
        <f t="shared" si="181"/>
        <v>13</v>
      </c>
      <c r="X170" s="21">
        <f t="shared" si="181"/>
        <v>13</v>
      </c>
      <c r="Y170" s="21">
        <f t="shared" si="181"/>
        <v>13</v>
      </c>
      <c r="Z170" s="21">
        <f t="shared" si="181"/>
        <v>13</v>
      </c>
      <c r="AA170" s="21">
        <f t="shared" si="181"/>
        <v>13</v>
      </c>
      <c r="AB170" s="21">
        <f t="shared" si="181"/>
        <v>13</v>
      </c>
      <c r="AC170" s="21">
        <f t="shared" si="181"/>
        <v>13</v>
      </c>
      <c r="AD170" s="21">
        <f t="shared" si="181"/>
        <v>13</v>
      </c>
      <c r="AE170" s="21">
        <f t="shared" si="181"/>
        <v>13</v>
      </c>
      <c r="AG170" s="8">
        <f t="shared" si="166"/>
        <v>2015</v>
      </c>
      <c r="AH170" s="20">
        <f>[25]Sheet1!$L190</f>
        <v>187</v>
      </c>
      <c r="AI170" s="21">
        <f t="shared" ref="AI170:AS170" si="190">AH170</f>
        <v>187</v>
      </c>
      <c r="AJ170" s="21">
        <f t="shared" si="190"/>
        <v>187</v>
      </c>
      <c r="AK170" s="21">
        <f t="shared" si="190"/>
        <v>187</v>
      </c>
      <c r="AL170" s="21">
        <f t="shared" si="190"/>
        <v>187</v>
      </c>
      <c r="AM170" s="21">
        <f t="shared" si="190"/>
        <v>187</v>
      </c>
      <c r="AN170" s="21">
        <f t="shared" si="190"/>
        <v>187</v>
      </c>
      <c r="AO170" s="932">
        <f t="shared" si="190"/>
        <v>187</v>
      </c>
      <c r="AP170" s="21">
        <f t="shared" si="190"/>
        <v>187</v>
      </c>
      <c r="AQ170" s="21">
        <f t="shared" si="190"/>
        <v>187</v>
      </c>
      <c r="AR170" s="21">
        <f t="shared" si="190"/>
        <v>187</v>
      </c>
      <c r="AS170" s="21">
        <f t="shared" si="190"/>
        <v>187</v>
      </c>
      <c r="AT170" s="8"/>
      <c r="AU170" s="8">
        <f t="shared" si="168"/>
        <v>2015</v>
      </c>
      <c r="AV170" s="20">
        <f t="shared" si="169"/>
        <v>55.533999999999992</v>
      </c>
      <c r="AW170" s="21">
        <f t="shared" si="170"/>
        <v>55.533999999999992</v>
      </c>
      <c r="AX170" s="21">
        <f t="shared" si="171"/>
        <v>55.533999999999992</v>
      </c>
      <c r="AY170" s="21">
        <f t="shared" si="172"/>
        <v>55.533999999999992</v>
      </c>
      <c r="AZ170" s="21">
        <f t="shared" si="173"/>
        <v>55.533999999999992</v>
      </c>
      <c r="BA170" s="21">
        <f t="shared" si="174"/>
        <v>55.533999999999992</v>
      </c>
      <c r="BB170" s="21">
        <f t="shared" si="175"/>
        <v>55.533999999999992</v>
      </c>
      <c r="BC170" s="20">
        <f t="shared" si="176"/>
        <v>55.533999999999992</v>
      </c>
      <c r="BD170" s="21">
        <f t="shared" si="177"/>
        <v>55.533999999999992</v>
      </c>
      <c r="BE170" s="21">
        <f t="shared" si="178"/>
        <v>55.533999999999992</v>
      </c>
      <c r="BF170" s="21">
        <f t="shared" si="179"/>
        <v>55.533999999999992</v>
      </c>
      <c r="BG170" s="21">
        <f t="shared" si="180"/>
        <v>55.533999999999992</v>
      </c>
      <c r="BI170" s="8"/>
    </row>
    <row r="171" spans="19:63" ht="11.25" customHeight="1">
      <c r="S171" s="804">
        <f t="shared" si="167"/>
        <v>2016</v>
      </c>
      <c r="T171" s="922">
        <f>[25]Sheet1!$L191-[25]Sheet1!$L$176</f>
        <v>12</v>
      </c>
      <c r="U171" s="21">
        <f t="shared" si="181"/>
        <v>12</v>
      </c>
      <c r="V171" s="21">
        <f t="shared" si="181"/>
        <v>12</v>
      </c>
      <c r="W171" s="21">
        <f t="shared" si="181"/>
        <v>12</v>
      </c>
      <c r="X171" s="21">
        <f t="shared" si="181"/>
        <v>12</v>
      </c>
      <c r="Y171" s="21">
        <f t="shared" si="181"/>
        <v>12</v>
      </c>
      <c r="Z171" s="21">
        <f t="shared" si="181"/>
        <v>12</v>
      </c>
      <c r="AA171" s="21">
        <f t="shared" si="181"/>
        <v>12</v>
      </c>
      <c r="AB171" s="21">
        <f t="shared" si="181"/>
        <v>12</v>
      </c>
      <c r="AC171" s="21">
        <f t="shared" si="181"/>
        <v>12</v>
      </c>
      <c r="AD171" s="21">
        <f t="shared" si="181"/>
        <v>12</v>
      </c>
      <c r="AE171" s="21">
        <f t="shared" si="181"/>
        <v>12</v>
      </c>
      <c r="AG171" s="8">
        <f t="shared" si="166"/>
        <v>2016</v>
      </c>
      <c r="AH171" s="20">
        <f>[25]Sheet1!$L191</f>
        <v>186</v>
      </c>
      <c r="AI171" s="21">
        <f t="shared" ref="AI171:AS171" si="191">AH171</f>
        <v>186</v>
      </c>
      <c r="AJ171" s="21">
        <f t="shared" si="191"/>
        <v>186</v>
      </c>
      <c r="AK171" s="21">
        <f t="shared" si="191"/>
        <v>186</v>
      </c>
      <c r="AL171" s="21">
        <f t="shared" si="191"/>
        <v>186</v>
      </c>
      <c r="AM171" s="21">
        <f t="shared" si="191"/>
        <v>186</v>
      </c>
      <c r="AN171" s="21">
        <f t="shared" si="191"/>
        <v>186</v>
      </c>
      <c r="AO171" s="932">
        <f t="shared" si="191"/>
        <v>186</v>
      </c>
      <c r="AP171" s="21">
        <f t="shared" si="191"/>
        <v>186</v>
      </c>
      <c r="AQ171" s="21">
        <f t="shared" si="191"/>
        <v>186</v>
      </c>
      <c r="AR171" s="21">
        <f t="shared" si="191"/>
        <v>186</v>
      </c>
      <c r="AS171" s="21">
        <f t="shared" si="191"/>
        <v>186</v>
      </c>
      <c r="AT171" s="8"/>
      <c r="AU171" s="8">
        <f t="shared" si="168"/>
        <v>2016</v>
      </c>
      <c r="AV171" s="20">
        <f t="shared" si="169"/>
        <v>55.533999999999992</v>
      </c>
      <c r="AW171" s="21">
        <f t="shared" si="170"/>
        <v>55.533999999999992</v>
      </c>
      <c r="AX171" s="21">
        <f t="shared" si="171"/>
        <v>55.533999999999992</v>
      </c>
      <c r="AY171" s="21">
        <f t="shared" si="172"/>
        <v>55.533999999999992</v>
      </c>
      <c r="AZ171" s="21">
        <f t="shared" si="173"/>
        <v>55.533999999999992</v>
      </c>
      <c r="BA171" s="21">
        <f t="shared" si="174"/>
        <v>55.533999999999992</v>
      </c>
      <c r="BB171" s="21">
        <f t="shared" si="175"/>
        <v>55.533999999999992</v>
      </c>
      <c r="BC171" s="20">
        <f t="shared" si="176"/>
        <v>55.533999999999992</v>
      </c>
      <c r="BD171" s="21">
        <f t="shared" si="177"/>
        <v>55.533999999999992</v>
      </c>
      <c r="BE171" s="21">
        <f t="shared" si="178"/>
        <v>55.533999999999992</v>
      </c>
      <c r="BF171" s="21">
        <f t="shared" si="179"/>
        <v>55.533999999999992</v>
      </c>
      <c r="BG171" s="21">
        <f t="shared" si="180"/>
        <v>55.533999999999992</v>
      </c>
      <c r="BI171" s="8"/>
    </row>
    <row r="172" spans="19:63" ht="11.25" customHeight="1">
      <c r="S172" s="804">
        <f t="shared" si="167"/>
        <v>2017</v>
      </c>
      <c r="T172" s="922">
        <f>[25]Sheet1!$L192-[25]Sheet1!$L$176</f>
        <v>13</v>
      </c>
      <c r="U172" s="21">
        <f t="shared" si="181"/>
        <v>13</v>
      </c>
      <c r="V172" s="21">
        <f t="shared" si="181"/>
        <v>13</v>
      </c>
      <c r="W172" s="21">
        <f t="shared" si="181"/>
        <v>13</v>
      </c>
      <c r="X172" s="21">
        <f t="shared" si="181"/>
        <v>13</v>
      </c>
      <c r="Y172" s="21">
        <f t="shared" si="181"/>
        <v>13</v>
      </c>
      <c r="Z172" s="21">
        <f t="shared" si="181"/>
        <v>13</v>
      </c>
      <c r="AA172" s="21">
        <f t="shared" si="181"/>
        <v>13</v>
      </c>
      <c r="AB172" s="21">
        <f t="shared" si="181"/>
        <v>13</v>
      </c>
      <c r="AC172" s="21">
        <f t="shared" si="181"/>
        <v>13</v>
      </c>
      <c r="AD172" s="21">
        <f t="shared" si="181"/>
        <v>13</v>
      </c>
      <c r="AE172" s="21">
        <f t="shared" si="181"/>
        <v>13</v>
      </c>
      <c r="AG172" s="8">
        <f t="shared" si="166"/>
        <v>2017</v>
      </c>
      <c r="AH172" s="20">
        <f>[25]Sheet1!$L192</f>
        <v>187</v>
      </c>
      <c r="AI172" s="21">
        <f t="shared" ref="AI172:AS172" si="192">AH172</f>
        <v>187</v>
      </c>
      <c r="AJ172" s="21">
        <f t="shared" si="192"/>
        <v>187</v>
      </c>
      <c r="AK172" s="21">
        <f t="shared" si="192"/>
        <v>187</v>
      </c>
      <c r="AL172" s="21">
        <f t="shared" si="192"/>
        <v>187</v>
      </c>
      <c r="AM172" s="21">
        <f t="shared" si="192"/>
        <v>187</v>
      </c>
      <c r="AN172" s="21">
        <f t="shared" si="192"/>
        <v>187</v>
      </c>
      <c r="AO172" s="932">
        <f t="shared" si="192"/>
        <v>187</v>
      </c>
      <c r="AP172" s="21">
        <f t="shared" si="192"/>
        <v>187</v>
      </c>
      <c r="AQ172" s="21">
        <f t="shared" si="192"/>
        <v>187</v>
      </c>
      <c r="AR172" s="21">
        <f t="shared" si="192"/>
        <v>187</v>
      </c>
      <c r="AS172" s="21">
        <f t="shared" si="192"/>
        <v>187</v>
      </c>
      <c r="AT172" s="8"/>
      <c r="AU172" s="8">
        <f t="shared" si="168"/>
        <v>2017</v>
      </c>
      <c r="AV172" s="20">
        <f t="shared" si="169"/>
        <v>55.533999999999992</v>
      </c>
      <c r="AW172" s="21">
        <f t="shared" si="170"/>
        <v>55.533999999999992</v>
      </c>
      <c r="AX172" s="21">
        <f t="shared" si="171"/>
        <v>55.533999999999992</v>
      </c>
      <c r="AY172" s="21">
        <f t="shared" si="172"/>
        <v>55.533999999999992</v>
      </c>
      <c r="AZ172" s="21">
        <f t="shared" si="173"/>
        <v>55.533999999999992</v>
      </c>
      <c r="BA172" s="21">
        <f t="shared" si="174"/>
        <v>55.533999999999992</v>
      </c>
      <c r="BB172" s="21">
        <f t="shared" si="175"/>
        <v>55.533999999999992</v>
      </c>
      <c r="BC172" s="20">
        <f t="shared" si="176"/>
        <v>55.533999999999992</v>
      </c>
      <c r="BD172" s="21">
        <f t="shared" si="177"/>
        <v>55.533999999999992</v>
      </c>
      <c r="BE172" s="21">
        <f t="shared" si="178"/>
        <v>55.533999999999992</v>
      </c>
      <c r="BF172" s="21">
        <f t="shared" si="179"/>
        <v>55.533999999999992</v>
      </c>
      <c r="BG172" s="21">
        <f t="shared" si="180"/>
        <v>55.533999999999992</v>
      </c>
      <c r="BI172" s="8"/>
    </row>
    <row r="173" spans="19:63" ht="11.25" customHeight="1">
      <c r="S173" s="804">
        <f t="shared" si="167"/>
        <v>2018</v>
      </c>
      <c r="T173" s="922">
        <f>[25]Sheet1!$L193-[25]Sheet1!$L$176</f>
        <v>20</v>
      </c>
      <c r="U173" s="21">
        <f t="shared" si="181"/>
        <v>20</v>
      </c>
      <c r="V173" s="21">
        <f t="shared" si="181"/>
        <v>20</v>
      </c>
      <c r="W173" s="21">
        <f t="shared" si="181"/>
        <v>20</v>
      </c>
      <c r="X173" s="21">
        <f t="shared" si="181"/>
        <v>20</v>
      </c>
      <c r="Y173" s="21">
        <f t="shared" si="181"/>
        <v>20</v>
      </c>
      <c r="Z173" s="21">
        <f t="shared" si="181"/>
        <v>20</v>
      </c>
      <c r="AA173" s="21">
        <f t="shared" si="181"/>
        <v>20</v>
      </c>
      <c r="AB173" s="21">
        <f t="shared" si="181"/>
        <v>20</v>
      </c>
      <c r="AC173" s="21">
        <f t="shared" si="181"/>
        <v>20</v>
      </c>
      <c r="AD173" s="21">
        <f t="shared" si="181"/>
        <v>20</v>
      </c>
      <c r="AE173" s="21">
        <f t="shared" si="181"/>
        <v>20</v>
      </c>
      <c r="AG173" s="8">
        <f t="shared" si="166"/>
        <v>2018</v>
      </c>
      <c r="AH173" s="20">
        <f>[25]Sheet1!$L193</f>
        <v>194</v>
      </c>
      <c r="AI173" s="21">
        <f t="shared" ref="AI173:AS173" si="193">AH173</f>
        <v>194</v>
      </c>
      <c r="AJ173" s="21">
        <f t="shared" si="193"/>
        <v>194</v>
      </c>
      <c r="AK173" s="21">
        <f t="shared" si="193"/>
        <v>194</v>
      </c>
      <c r="AL173" s="21">
        <f t="shared" si="193"/>
        <v>194</v>
      </c>
      <c r="AM173" s="21">
        <f t="shared" si="193"/>
        <v>194</v>
      </c>
      <c r="AN173" s="21">
        <f t="shared" si="193"/>
        <v>194</v>
      </c>
      <c r="AO173" s="932">
        <f t="shared" si="193"/>
        <v>194</v>
      </c>
      <c r="AP173" s="21">
        <f t="shared" si="193"/>
        <v>194</v>
      </c>
      <c r="AQ173" s="21">
        <f t="shared" si="193"/>
        <v>194</v>
      </c>
      <c r="AR173" s="21">
        <f t="shared" si="193"/>
        <v>194</v>
      </c>
      <c r="AS173" s="21">
        <f t="shared" si="193"/>
        <v>194</v>
      </c>
      <c r="AT173" s="8"/>
      <c r="AU173" s="8">
        <f t="shared" si="168"/>
        <v>2018</v>
      </c>
      <c r="AV173" s="20">
        <f t="shared" si="169"/>
        <v>55.533999999999992</v>
      </c>
      <c r="AW173" s="21">
        <f t="shared" si="170"/>
        <v>55.533999999999992</v>
      </c>
      <c r="AX173" s="21">
        <f t="shared" si="171"/>
        <v>55.533999999999992</v>
      </c>
      <c r="AY173" s="21">
        <f t="shared" si="172"/>
        <v>55.533999999999992</v>
      </c>
      <c r="AZ173" s="21">
        <f t="shared" si="173"/>
        <v>55.533999999999992</v>
      </c>
      <c r="BA173" s="21">
        <f t="shared" si="174"/>
        <v>55.533999999999992</v>
      </c>
      <c r="BB173" s="21">
        <f t="shared" si="175"/>
        <v>55.533999999999992</v>
      </c>
      <c r="BC173" s="20">
        <f t="shared" si="176"/>
        <v>55.533999999999992</v>
      </c>
      <c r="BD173" s="21">
        <f t="shared" si="177"/>
        <v>55.533999999999992</v>
      </c>
      <c r="BE173" s="21">
        <f t="shared" si="178"/>
        <v>55.533999999999992</v>
      </c>
      <c r="BF173" s="21">
        <f t="shared" si="179"/>
        <v>55.533999999999992</v>
      </c>
      <c r="BG173" s="21">
        <f t="shared" si="180"/>
        <v>55.533999999999992</v>
      </c>
      <c r="BI173" s="8"/>
    </row>
    <row r="174" spans="19:63" ht="11.25" customHeight="1">
      <c r="S174" s="804">
        <f t="shared" si="167"/>
        <v>2019</v>
      </c>
      <c r="T174" s="922">
        <f>[25]Sheet1!$L194-[25]Sheet1!$L$176</f>
        <v>66</v>
      </c>
      <c r="U174" s="21">
        <f t="shared" si="181"/>
        <v>66</v>
      </c>
      <c r="V174" s="21">
        <f t="shared" si="181"/>
        <v>66</v>
      </c>
      <c r="W174" s="21">
        <f t="shared" si="181"/>
        <v>66</v>
      </c>
      <c r="X174" s="21">
        <f t="shared" si="181"/>
        <v>66</v>
      </c>
      <c r="Y174" s="21">
        <f t="shared" si="181"/>
        <v>66</v>
      </c>
      <c r="Z174" s="21">
        <f t="shared" si="181"/>
        <v>66</v>
      </c>
      <c r="AA174" s="21">
        <f t="shared" si="181"/>
        <v>66</v>
      </c>
      <c r="AB174" s="21">
        <f t="shared" si="181"/>
        <v>66</v>
      </c>
      <c r="AC174" s="21">
        <f t="shared" si="181"/>
        <v>66</v>
      </c>
      <c r="AD174" s="21">
        <f t="shared" si="181"/>
        <v>66</v>
      </c>
      <c r="AE174" s="21">
        <f t="shared" si="181"/>
        <v>66</v>
      </c>
      <c r="AG174" s="8">
        <f t="shared" si="166"/>
        <v>2019</v>
      </c>
      <c r="AH174" s="20">
        <f>[25]Sheet1!$L194</f>
        <v>240</v>
      </c>
      <c r="AI174" s="21">
        <f t="shared" ref="AI174:AS174" si="194">AH174</f>
        <v>240</v>
      </c>
      <c r="AJ174" s="21">
        <f t="shared" si="194"/>
        <v>240</v>
      </c>
      <c r="AK174" s="21">
        <f t="shared" si="194"/>
        <v>240</v>
      </c>
      <c r="AL174" s="21">
        <f t="shared" si="194"/>
        <v>240</v>
      </c>
      <c r="AM174" s="21">
        <f t="shared" si="194"/>
        <v>240</v>
      </c>
      <c r="AN174" s="21">
        <f t="shared" si="194"/>
        <v>240</v>
      </c>
      <c r="AO174" s="932">
        <f t="shared" si="194"/>
        <v>240</v>
      </c>
      <c r="AP174" s="21">
        <f t="shared" si="194"/>
        <v>240</v>
      </c>
      <c r="AQ174" s="21">
        <f t="shared" si="194"/>
        <v>240</v>
      </c>
      <c r="AR174" s="21">
        <f t="shared" si="194"/>
        <v>240</v>
      </c>
      <c r="AS174" s="21">
        <f t="shared" si="194"/>
        <v>240</v>
      </c>
      <c r="AT174" s="8"/>
      <c r="AU174" s="8">
        <f t="shared" si="168"/>
        <v>2019</v>
      </c>
      <c r="AV174" s="20">
        <f t="shared" si="169"/>
        <v>55.533999999999992</v>
      </c>
      <c r="AW174" s="21">
        <f t="shared" si="170"/>
        <v>55.533999999999992</v>
      </c>
      <c r="AX174" s="21">
        <f t="shared" si="171"/>
        <v>55.533999999999992</v>
      </c>
      <c r="AY174" s="21">
        <f t="shared" si="172"/>
        <v>55.533999999999992</v>
      </c>
      <c r="AZ174" s="21">
        <f t="shared" si="173"/>
        <v>55.533999999999992</v>
      </c>
      <c r="BA174" s="21">
        <f t="shared" si="174"/>
        <v>55.533999999999992</v>
      </c>
      <c r="BB174" s="21">
        <f t="shared" si="175"/>
        <v>55.533999999999992</v>
      </c>
      <c r="BC174" s="20">
        <f t="shared" si="176"/>
        <v>55.533999999999992</v>
      </c>
      <c r="BD174" s="21">
        <f t="shared" si="177"/>
        <v>55.533999999999992</v>
      </c>
      <c r="BE174" s="21">
        <f t="shared" si="178"/>
        <v>55.533999999999992</v>
      </c>
      <c r="BF174" s="21">
        <f t="shared" si="179"/>
        <v>55.533999999999992</v>
      </c>
      <c r="BG174" s="21">
        <f t="shared" si="180"/>
        <v>55.533999999999992</v>
      </c>
      <c r="BI174" s="8"/>
    </row>
    <row r="175" spans="19:63" ht="11.25" customHeight="1">
      <c r="S175" s="804">
        <f t="shared" si="167"/>
        <v>2020</v>
      </c>
      <c r="T175" s="922">
        <f>[25]Sheet1!$L195-[25]Sheet1!$L$176</f>
        <v>88</v>
      </c>
      <c r="U175" s="21">
        <f t="shared" si="181"/>
        <v>88</v>
      </c>
      <c r="V175" s="21">
        <f t="shared" si="181"/>
        <v>88</v>
      </c>
      <c r="W175" s="21">
        <f t="shared" si="181"/>
        <v>88</v>
      </c>
      <c r="X175" s="21">
        <f t="shared" si="181"/>
        <v>88</v>
      </c>
      <c r="Y175" s="21">
        <f t="shared" si="181"/>
        <v>88</v>
      </c>
      <c r="Z175" s="21">
        <f t="shared" si="181"/>
        <v>88</v>
      </c>
      <c r="AA175" s="21">
        <f t="shared" si="181"/>
        <v>88</v>
      </c>
      <c r="AB175" s="21">
        <f t="shared" si="181"/>
        <v>88</v>
      </c>
      <c r="AC175" s="21">
        <f t="shared" si="181"/>
        <v>88</v>
      </c>
      <c r="AD175" s="21">
        <f t="shared" si="181"/>
        <v>88</v>
      </c>
      <c r="AE175" s="21">
        <f t="shared" si="181"/>
        <v>88</v>
      </c>
      <c r="AG175" s="8">
        <f t="shared" si="166"/>
        <v>2020</v>
      </c>
      <c r="AH175" s="20">
        <f>[25]Sheet1!$L195</f>
        <v>262</v>
      </c>
      <c r="AI175" s="21">
        <f t="shared" ref="AI175:AS175" si="195">AH175</f>
        <v>262</v>
      </c>
      <c r="AJ175" s="21">
        <f t="shared" si="195"/>
        <v>262</v>
      </c>
      <c r="AK175" s="21">
        <f t="shared" si="195"/>
        <v>262</v>
      </c>
      <c r="AL175" s="21">
        <f t="shared" si="195"/>
        <v>262</v>
      </c>
      <c r="AM175" s="21">
        <f t="shared" si="195"/>
        <v>262</v>
      </c>
      <c r="AN175" s="21">
        <f t="shared" si="195"/>
        <v>262</v>
      </c>
      <c r="AO175" s="932">
        <f t="shared" si="195"/>
        <v>262</v>
      </c>
      <c r="AP175" s="21">
        <f t="shared" si="195"/>
        <v>262</v>
      </c>
      <c r="AQ175" s="21">
        <f t="shared" si="195"/>
        <v>262</v>
      </c>
      <c r="AR175" s="21">
        <f t="shared" si="195"/>
        <v>262</v>
      </c>
      <c r="AS175" s="21">
        <f t="shared" si="195"/>
        <v>262</v>
      </c>
      <c r="AT175" s="8"/>
      <c r="AU175" s="8">
        <f t="shared" si="168"/>
        <v>2020</v>
      </c>
      <c r="AV175" s="20">
        <f t="shared" si="169"/>
        <v>55.533999999999992</v>
      </c>
      <c r="AW175" s="21">
        <f t="shared" si="170"/>
        <v>55.533999999999992</v>
      </c>
      <c r="AX175" s="21">
        <f t="shared" si="171"/>
        <v>55.533999999999992</v>
      </c>
      <c r="AY175" s="21">
        <f t="shared" si="172"/>
        <v>55.533999999999992</v>
      </c>
      <c r="AZ175" s="21">
        <f t="shared" si="173"/>
        <v>55.533999999999992</v>
      </c>
      <c r="BA175" s="21">
        <f t="shared" si="174"/>
        <v>55.533999999999992</v>
      </c>
      <c r="BB175" s="21">
        <f t="shared" si="175"/>
        <v>55.533999999999992</v>
      </c>
      <c r="BC175" s="20">
        <f t="shared" si="176"/>
        <v>55.533999999999992</v>
      </c>
      <c r="BD175" s="21">
        <f t="shared" si="177"/>
        <v>55.533999999999992</v>
      </c>
      <c r="BE175" s="21">
        <f t="shared" si="178"/>
        <v>55.533999999999992</v>
      </c>
      <c r="BF175" s="21">
        <f t="shared" si="179"/>
        <v>55.533999999999992</v>
      </c>
      <c r="BG175" s="21">
        <f t="shared" si="180"/>
        <v>55.533999999999992</v>
      </c>
      <c r="BI175" s="8"/>
    </row>
    <row r="176" spans="19:63" ht="11.25" customHeight="1">
      <c r="S176" s="804">
        <f t="shared" si="167"/>
        <v>2021</v>
      </c>
      <c r="T176" s="922">
        <f>[25]Sheet1!$L196-[25]Sheet1!$L$176</f>
        <v>89</v>
      </c>
      <c r="U176" s="21">
        <f t="shared" si="181"/>
        <v>89</v>
      </c>
      <c r="V176" s="21">
        <f t="shared" si="181"/>
        <v>89</v>
      </c>
      <c r="W176" s="21">
        <f t="shared" si="181"/>
        <v>89</v>
      </c>
      <c r="X176" s="21">
        <f t="shared" si="181"/>
        <v>89</v>
      </c>
      <c r="Y176" s="21">
        <f t="shared" si="181"/>
        <v>89</v>
      </c>
      <c r="Z176" s="21">
        <f t="shared" si="181"/>
        <v>89</v>
      </c>
      <c r="AA176" s="21">
        <f t="shared" si="181"/>
        <v>89</v>
      </c>
      <c r="AB176" s="21">
        <f t="shared" si="181"/>
        <v>89</v>
      </c>
      <c r="AC176" s="21">
        <f t="shared" si="181"/>
        <v>89</v>
      </c>
      <c r="AD176" s="21">
        <f t="shared" si="181"/>
        <v>89</v>
      </c>
      <c r="AE176" s="21">
        <f t="shared" si="181"/>
        <v>89</v>
      </c>
      <c r="AG176" s="8">
        <f t="shared" si="166"/>
        <v>2021</v>
      </c>
      <c r="AH176" s="20">
        <f>[25]Sheet1!$L196</f>
        <v>263</v>
      </c>
      <c r="AI176" s="21">
        <f t="shared" ref="AI176:AS176" si="196">AH176</f>
        <v>263</v>
      </c>
      <c r="AJ176" s="21">
        <f t="shared" si="196"/>
        <v>263</v>
      </c>
      <c r="AK176" s="21">
        <f t="shared" si="196"/>
        <v>263</v>
      </c>
      <c r="AL176" s="21">
        <f t="shared" si="196"/>
        <v>263</v>
      </c>
      <c r="AM176" s="21">
        <f t="shared" si="196"/>
        <v>263</v>
      </c>
      <c r="AN176" s="21">
        <f t="shared" si="196"/>
        <v>263</v>
      </c>
      <c r="AO176" s="932">
        <f t="shared" si="196"/>
        <v>263</v>
      </c>
      <c r="AP176" s="21">
        <f t="shared" si="196"/>
        <v>263</v>
      </c>
      <c r="AQ176" s="21">
        <f t="shared" si="196"/>
        <v>263</v>
      </c>
      <c r="AR176" s="21">
        <f t="shared" si="196"/>
        <v>263</v>
      </c>
      <c r="AS176" s="21">
        <f t="shared" si="196"/>
        <v>263</v>
      </c>
      <c r="AT176" s="8"/>
      <c r="AU176" s="8">
        <f t="shared" ref="AU176:AU195" si="197">AU175+1</f>
        <v>2021</v>
      </c>
      <c r="AV176" s="20">
        <f t="shared" si="169"/>
        <v>55.533999999999992</v>
      </c>
      <c r="AW176" s="21">
        <f t="shared" si="170"/>
        <v>55.533999999999992</v>
      </c>
      <c r="AX176" s="21">
        <f t="shared" si="171"/>
        <v>55.533999999999992</v>
      </c>
      <c r="AY176" s="21">
        <f t="shared" si="172"/>
        <v>55.533999999999992</v>
      </c>
      <c r="AZ176" s="21">
        <f t="shared" si="173"/>
        <v>55.533999999999992</v>
      </c>
      <c r="BA176" s="21">
        <f t="shared" si="174"/>
        <v>55.533999999999992</v>
      </c>
      <c r="BB176" s="21">
        <f t="shared" si="175"/>
        <v>55.533999999999992</v>
      </c>
      <c r="BC176" s="20">
        <f t="shared" si="176"/>
        <v>55.533999999999992</v>
      </c>
      <c r="BD176" s="21">
        <f t="shared" si="177"/>
        <v>55.533999999999992</v>
      </c>
      <c r="BE176" s="21">
        <f t="shared" si="178"/>
        <v>55.533999999999992</v>
      </c>
      <c r="BF176" s="21">
        <f t="shared" si="179"/>
        <v>55.533999999999992</v>
      </c>
      <c r="BG176" s="21">
        <f t="shared" si="180"/>
        <v>55.533999999999992</v>
      </c>
    </row>
    <row r="177" spans="19:61" ht="11.25" customHeight="1">
      <c r="S177" s="804">
        <f t="shared" si="167"/>
        <v>2022</v>
      </c>
      <c r="T177" s="922">
        <f>[25]Sheet1!$L197-[25]Sheet1!$L$176</f>
        <v>89</v>
      </c>
      <c r="U177" s="21">
        <f t="shared" ref="U177:AE192" si="198">$T177</f>
        <v>89</v>
      </c>
      <c r="V177" s="21">
        <f t="shared" si="198"/>
        <v>89</v>
      </c>
      <c r="W177" s="21">
        <f t="shared" si="198"/>
        <v>89</v>
      </c>
      <c r="X177" s="21">
        <f t="shared" si="198"/>
        <v>89</v>
      </c>
      <c r="Y177" s="21">
        <f t="shared" si="198"/>
        <v>89</v>
      </c>
      <c r="Z177" s="21">
        <f t="shared" si="198"/>
        <v>89</v>
      </c>
      <c r="AA177" s="21">
        <f t="shared" si="198"/>
        <v>89</v>
      </c>
      <c r="AB177" s="21">
        <f t="shared" si="198"/>
        <v>89</v>
      </c>
      <c r="AC177" s="21">
        <f t="shared" si="198"/>
        <v>89</v>
      </c>
      <c r="AD177" s="21">
        <f t="shared" si="198"/>
        <v>89</v>
      </c>
      <c r="AE177" s="21">
        <f t="shared" si="198"/>
        <v>89</v>
      </c>
      <c r="AG177" s="8">
        <f t="shared" si="166"/>
        <v>2022</v>
      </c>
      <c r="AH177" s="20">
        <f>[25]Sheet1!$L197</f>
        <v>263</v>
      </c>
      <c r="AI177" s="21">
        <f t="shared" ref="AI177:AS177" si="199">AH177</f>
        <v>263</v>
      </c>
      <c r="AJ177" s="21">
        <f t="shared" si="199"/>
        <v>263</v>
      </c>
      <c r="AK177" s="21">
        <f t="shared" si="199"/>
        <v>263</v>
      </c>
      <c r="AL177" s="21">
        <f t="shared" si="199"/>
        <v>263</v>
      </c>
      <c r="AM177" s="21">
        <f t="shared" si="199"/>
        <v>263</v>
      </c>
      <c r="AN177" s="21">
        <f t="shared" si="199"/>
        <v>263</v>
      </c>
      <c r="AO177" s="932">
        <f t="shared" si="199"/>
        <v>263</v>
      </c>
      <c r="AP177" s="21">
        <f t="shared" si="199"/>
        <v>263</v>
      </c>
      <c r="AQ177" s="21">
        <f t="shared" si="199"/>
        <v>263</v>
      </c>
      <c r="AR177" s="21">
        <f t="shared" si="199"/>
        <v>263</v>
      </c>
      <c r="AS177" s="21">
        <f t="shared" si="199"/>
        <v>263</v>
      </c>
      <c r="AU177" s="8">
        <f t="shared" si="197"/>
        <v>2022</v>
      </c>
      <c r="AV177" s="20">
        <f t="shared" si="169"/>
        <v>55.533999999999992</v>
      </c>
      <c r="AW177" s="21">
        <f t="shared" si="170"/>
        <v>55.533999999999992</v>
      </c>
      <c r="AX177" s="21">
        <f t="shared" si="171"/>
        <v>55.533999999999992</v>
      </c>
      <c r="AY177" s="21">
        <f t="shared" si="172"/>
        <v>55.533999999999992</v>
      </c>
      <c r="AZ177" s="21">
        <f t="shared" si="173"/>
        <v>55.533999999999992</v>
      </c>
      <c r="BA177" s="21">
        <f t="shared" si="174"/>
        <v>55.533999999999992</v>
      </c>
      <c r="BB177" s="21">
        <f t="shared" si="175"/>
        <v>55.533999999999992</v>
      </c>
      <c r="BC177" s="20">
        <f t="shared" si="176"/>
        <v>55.533999999999992</v>
      </c>
      <c r="BD177" s="21">
        <f t="shared" si="177"/>
        <v>55.533999999999992</v>
      </c>
      <c r="BE177" s="21">
        <f t="shared" si="178"/>
        <v>55.533999999999992</v>
      </c>
      <c r="BF177" s="21">
        <f t="shared" si="179"/>
        <v>55.533999999999992</v>
      </c>
      <c r="BG177" s="21">
        <f t="shared" si="180"/>
        <v>55.533999999999992</v>
      </c>
    </row>
    <row r="178" spans="19:61" ht="11.25" customHeight="1">
      <c r="S178" s="804">
        <f t="shared" si="167"/>
        <v>2023</v>
      </c>
      <c r="T178" s="922">
        <f>[25]Sheet1!$L198-[25]Sheet1!$L$176</f>
        <v>89</v>
      </c>
      <c r="U178" s="21">
        <f t="shared" si="198"/>
        <v>89</v>
      </c>
      <c r="V178" s="21">
        <f t="shared" si="198"/>
        <v>89</v>
      </c>
      <c r="W178" s="21">
        <f t="shared" si="198"/>
        <v>89</v>
      </c>
      <c r="X178" s="21">
        <f t="shared" si="198"/>
        <v>89</v>
      </c>
      <c r="Y178" s="21">
        <f t="shared" si="198"/>
        <v>89</v>
      </c>
      <c r="Z178" s="21">
        <f t="shared" si="198"/>
        <v>89</v>
      </c>
      <c r="AA178" s="21">
        <f t="shared" si="198"/>
        <v>89</v>
      </c>
      <c r="AB178" s="21">
        <f t="shared" si="198"/>
        <v>89</v>
      </c>
      <c r="AC178" s="21">
        <f t="shared" si="198"/>
        <v>89</v>
      </c>
      <c r="AD178" s="21">
        <f t="shared" si="198"/>
        <v>89</v>
      </c>
      <c r="AE178" s="21">
        <f t="shared" si="198"/>
        <v>89</v>
      </c>
      <c r="AG178" s="8">
        <f t="shared" si="166"/>
        <v>2023</v>
      </c>
      <c r="AH178" s="20">
        <f>[25]Sheet1!$L198</f>
        <v>263</v>
      </c>
      <c r="AI178" s="21">
        <f t="shared" ref="AI178:AS178" si="200">AH178</f>
        <v>263</v>
      </c>
      <c r="AJ178" s="21">
        <f t="shared" si="200"/>
        <v>263</v>
      </c>
      <c r="AK178" s="21">
        <f t="shared" si="200"/>
        <v>263</v>
      </c>
      <c r="AL178" s="21">
        <f t="shared" si="200"/>
        <v>263</v>
      </c>
      <c r="AM178" s="21">
        <f t="shared" si="200"/>
        <v>263</v>
      </c>
      <c r="AN178" s="21">
        <f t="shared" si="200"/>
        <v>263</v>
      </c>
      <c r="AO178" s="932">
        <f t="shared" si="200"/>
        <v>263</v>
      </c>
      <c r="AP178" s="21">
        <f t="shared" si="200"/>
        <v>263</v>
      </c>
      <c r="AQ178" s="21">
        <f t="shared" si="200"/>
        <v>263</v>
      </c>
      <c r="AR178" s="21">
        <f t="shared" si="200"/>
        <v>263</v>
      </c>
      <c r="AS178" s="21">
        <f t="shared" si="200"/>
        <v>263</v>
      </c>
      <c r="AT178" s="8"/>
      <c r="AU178" s="8">
        <f t="shared" si="197"/>
        <v>2023</v>
      </c>
      <c r="AV178" s="20">
        <f t="shared" si="169"/>
        <v>55.533999999999992</v>
      </c>
      <c r="AW178" s="21">
        <f t="shared" si="170"/>
        <v>55.533999999999992</v>
      </c>
      <c r="AX178" s="21">
        <f t="shared" si="171"/>
        <v>55.533999999999992</v>
      </c>
      <c r="AY178" s="21">
        <f t="shared" si="172"/>
        <v>55.533999999999992</v>
      </c>
      <c r="AZ178" s="21">
        <f t="shared" si="173"/>
        <v>55.533999999999992</v>
      </c>
      <c r="BA178" s="21">
        <f t="shared" si="174"/>
        <v>55.533999999999992</v>
      </c>
      <c r="BB178" s="21">
        <f t="shared" si="175"/>
        <v>55.533999999999992</v>
      </c>
      <c r="BC178" s="20">
        <f t="shared" si="176"/>
        <v>55.533999999999992</v>
      </c>
      <c r="BD178" s="21">
        <f t="shared" si="177"/>
        <v>55.533999999999992</v>
      </c>
      <c r="BE178" s="21">
        <f t="shared" si="178"/>
        <v>55.533999999999992</v>
      </c>
      <c r="BF178" s="21">
        <f t="shared" si="179"/>
        <v>55.533999999999992</v>
      </c>
      <c r="BG178" s="21">
        <f t="shared" si="180"/>
        <v>55.533999999999992</v>
      </c>
      <c r="BI178" s="563"/>
    </row>
    <row r="179" spans="19:61" ht="11.25" customHeight="1">
      <c r="S179" s="804">
        <f t="shared" si="167"/>
        <v>2024</v>
      </c>
      <c r="T179" s="922">
        <f>[25]Sheet1!$L199-[25]Sheet1!$L$176</f>
        <v>88</v>
      </c>
      <c r="U179" s="21">
        <f t="shared" si="198"/>
        <v>88</v>
      </c>
      <c r="V179" s="21">
        <f t="shared" si="198"/>
        <v>88</v>
      </c>
      <c r="W179" s="21">
        <f t="shared" si="198"/>
        <v>88</v>
      </c>
      <c r="X179" s="21">
        <f t="shared" si="198"/>
        <v>88</v>
      </c>
      <c r="Y179" s="21">
        <f t="shared" si="198"/>
        <v>88</v>
      </c>
      <c r="Z179" s="21">
        <f t="shared" si="198"/>
        <v>88</v>
      </c>
      <c r="AA179" s="21">
        <f t="shared" si="198"/>
        <v>88</v>
      </c>
      <c r="AB179" s="21">
        <f t="shared" si="198"/>
        <v>88</v>
      </c>
      <c r="AC179" s="21">
        <f t="shared" si="198"/>
        <v>88</v>
      </c>
      <c r="AD179" s="21">
        <f t="shared" si="198"/>
        <v>88</v>
      </c>
      <c r="AE179" s="21">
        <f t="shared" si="198"/>
        <v>88</v>
      </c>
      <c r="AG179" s="8">
        <f t="shared" si="166"/>
        <v>2024</v>
      </c>
      <c r="AH179" s="20">
        <f>[25]Sheet1!$L199</f>
        <v>262</v>
      </c>
      <c r="AI179" s="21">
        <f t="shared" ref="AI179:AS179" si="201">AH179</f>
        <v>262</v>
      </c>
      <c r="AJ179" s="21">
        <f t="shared" si="201"/>
        <v>262</v>
      </c>
      <c r="AK179" s="21">
        <f t="shared" si="201"/>
        <v>262</v>
      </c>
      <c r="AL179" s="21">
        <f t="shared" si="201"/>
        <v>262</v>
      </c>
      <c r="AM179" s="21">
        <f t="shared" si="201"/>
        <v>262</v>
      </c>
      <c r="AN179" s="21">
        <f t="shared" si="201"/>
        <v>262</v>
      </c>
      <c r="AO179" s="932">
        <f t="shared" si="201"/>
        <v>262</v>
      </c>
      <c r="AP179" s="21">
        <f t="shared" si="201"/>
        <v>262</v>
      </c>
      <c r="AQ179" s="21">
        <f t="shared" si="201"/>
        <v>262</v>
      </c>
      <c r="AR179" s="21">
        <f t="shared" si="201"/>
        <v>262</v>
      </c>
      <c r="AS179" s="21">
        <f t="shared" si="201"/>
        <v>262</v>
      </c>
      <c r="AT179" s="8"/>
      <c r="AU179" s="8">
        <f t="shared" si="197"/>
        <v>2024</v>
      </c>
      <c r="AV179" s="20">
        <f t="shared" si="169"/>
        <v>55.533999999999992</v>
      </c>
      <c r="AW179" s="21">
        <f t="shared" si="170"/>
        <v>55.533999999999992</v>
      </c>
      <c r="AX179" s="21">
        <f t="shared" si="171"/>
        <v>55.533999999999992</v>
      </c>
      <c r="AY179" s="21">
        <f t="shared" si="172"/>
        <v>55.533999999999992</v>
      </c>
      <c r="AZ179" s="21">
        <f t="shared" si="173"/>
        <v>55.533999999999992</v>
      </c>
      <c r="BA179" s="21">
        <f t="shared" si="174"/>
        <v>55.533999999999992</v>
      </c>
      <c r="BB179" s="21">
        <f t="shared" si="175"/>
        <v>55.533999999999992</v>
      </c>
      <c r="BC179" s="20">
        <f t="shared" si="176"/>
        <v>55.533999999999992</v>
      </c>
      <c r="BD179" s="21">
        <f t="shared" si="177"/>
        <v>55.533999999999992</v>
      </c>
      <c r="BE179" s="21">
        <f t="shared" si="178"/>
        <v>55.533999999999992</v>
      </c>
      <c r="BF179" s="21">
        <f t="shared" si="179"/>
        <v>55.533999999999992</v>
      </c>
      <c r="BG179" s="21">
        <f t="shared" si="180"/>
        <v>55.533999999999992</v>
      </c>
      <c r="BH179" s="21"/>
      <c r="BI179" s="8"/>
    </row>
    <row r="180" spans="19:61" ht="11.25" customHeight="1">
      <c r="S180" s="804">
        <f t="shared" si="167"/>
        <v>2025</v>
      </c>
      <c r="T180" s="922">
        <f>[25]Sheet1!$L200-[25]Sheet1!$L$176</f>
        <v>89</v>
      </c>
      <c r="U180" s="21">
        <f t="shared" si="198"/>
        <v>89</v>
      </c>
      <c r="V180" s="21">
        <f t="shared" si="198"/>
        <v>89</v>
      </c>
      <c r="W180" s="21">
        <f t="shared" si="198"/>
        <v>89</v>
      </c>
      <c r="X180" s="21">
        <f t="shared" si="198"/>
        <v>89</v>
      </c>
      <c r="Y180" s="21">
        <f t="shared" si="198"/>
        <v>89</v>
      </c>
      <c r="Z180" s="21">
        <f t="shared" si="198"/>
        <v>89</v>
      </c>
      <c r="AA180" s="21">
        <f t="shared" si="198"/>
        <v>89</v>
      </c>
      <c r="AB180" s="21">
        <f t="shared" si="198"/>
        <v>89</v>
      </c>
      <c r="AC180" s="21">
        <f t="shared" si="198"/>
        <v>89</v>
      </c>
      <c r="AD180" s="21">
        <f t="shared" si="198"/>
        <v>89</v>
      </c>
      <c r="AE180" s="21">
        <f t="shared" si="198"/>
        <v>89</v>
      </c>
      <c r="AG180" s="8">
        <f t="shared" si="166"/>
        <v>2025</v>
      </c>
      <c r="AH180" s="20">
        <f>[25]Sheet1!$L200</f>
        <v>263</v>
      </c>
      <c r="AI180" s="21">
        <f t="shared" ref="AI180:AS180" si="202">AH180</f>
        <v>263</v>
      </c>
      <c r="AJ180" s="21">
        <f t="shared" si="202"/>
        <v>263</v>
      </c>
      <c r="AK180" s="21">
        <f t="shared" si="202"/>
        <v>263</v>
      </c>
      <c r="AL180" s="21">
        <f t="shared" si="202"/>
        <v>263</v>
      </c>
      <c r="AM180" s="21">
        <f t="shared" si="202"/>
        <v>263</v>
      </c>
      <c r="AN180" s="21">
        <f t="shared" si="202"/>
        <v>263</v>
      </c>
      <c r="AO180" s="932">
        <f t="shared" si="202"/>
        <v>263</v>
      </c>
      <c r="AP180" s="21">
        <f t="shared" si="202"/>
        <v>263</v>
      </c>
      <c r="AQ180" s="21">
        <f t="shared" si="202"/>
        <v>263</v>
      </c>
      <c r="AR180" s="21">
        <f t="shared" si="202"/>
        <v>263</v>
      </c>
      <c r="AS180" s="21">
        <f t="shared" si="202"/>
        <v>263</v>
      </c>
      <c r="AT180" s="8"/>
      <c r="AU180" s="8">
        <f t="shared" si="197"/>
        <v>2025</v>
      </c>
      <c r="AV180" s="20">
        <f t="shared" si="169"/>
        <v>55.533999999999992</v>
      </c>
      <c r="AW180" s="21">
        <f t="shared" si="170"/>
        <v>55.533999999999992</v>
      </c>
      <c r="AX180" s="21">
        <f t="shared" si="171"/>
        <v>55.533999999999992</v>
      </c>
      <c r="AY180" s="21">
        <f t="shared" si="172"/>
        <v>55.533999999999992</v>
      </c>
      <c r="AZ180" s="21">
        <f t="shared" si="173"/>
        <v>55.533999999999992</v>
      </c>
      <c r="BA180" s="21">
        <f t="shared" si="174"/>
        <v>55.533999999999992</v>
      </c>
      <c r="BB180" s="21">
        <f t="shared" si="175"/>
        <v>55.533999999999992</v>
      </c>
      <c r="BC180" s="20">
        <f t="shared" si="176"/>
        <v>55.533999999999992</v>
      </c>
      <c r="BD180" s="21">
        <f t="shared" si="177"/>
        <v>55.533999999999992</v>
      </c>
      <c r="BE180" s="21">
        <f t="shared" si="178"/>
        <v>55.533999999999992</v>
      </c>
      <c r="BF180" s="21">
        <f t="shared" si="179"/>
        <v>55.533999999999992</v>
      </c>
      <c r="BG180" s="21">
        <f t="shared" si="180"/>
        <v>55.533999999999992</v>
      </c>
      <c r="BH180" s="21"/>
      <c r="BI180" s="8"/>
    </row>
    <row r="181" spans="19:61" ht="11.25" customHeight="1">
      <c r="S181" s="804">
        <f t="shared" si="167"/>
        <v>2026</v>
      </c>
      <c r="T181" s="922">
        <f>[25]Sheet1!$L201-[25]Sheet1!$L$176</f>
        <v>89</v>
      </c>
      <c r="U181" s="21">
        <f t="shared" si="198"/>
        <v>89</v>
      </c>
      <c r="V181" s="21">
        <f t="shared" si="198"/>
        <v>89</v>
      </c>
      <c r="W181" s="21">
        <f t="shared" si="198"/>
        <v>89</v>
      </c>
      <c r="X181" s="21">
        <f t="shared" si="198"/>
        <v>89</v>
      </c>
      <c r="Y181" s="21">
        <f t="shared" si="198"/>
        <v>89</v>
      </c>
      <c r="Z181" s="21">
        <f t="shared" si="198"/>
        <v>89</v>
      </c>
      <c r="AA181" s="21">
        <f t="shared" si="198"/>
        <v>89</v>
      </c>
      <c r="AB181" s="21">
        <f t="shared" si="198"/>
        <v>89</v>
      </c>
      <c r="AC181" s="21">
        <f t="shared" si="198"/>
        <v>89</v>
      </c>
      <c r="AD181" s="21">
        <f t="shared" si="198"/>
        <v>89</v>
      </c>
      <c r="AE181" s="21">
        <f t="shared" si="198"/>
        <v>89</v>
      </c>
      <c r="AG181" s="8">
        <f t="shared" si="166"/>
        <v>2026</v>
      </c>
      <c r="AH181" s="20">
        <f>[25]Sheet1!$L201</f>
        <v>263</v>
      </c>
      <c r="AI181" s="21">
        <f t="shared" ref="AI181:AS181" si="203">AH181</f>
        <v>263</v>
      </c>
      <c r="AJ181" s="21">
        <f t="shared" si="203"/>
        <v>263</v>
      </c>
      <c r="AK181" s="21">
        <f t="shared" si="203"/>
        <v>263</v>
      </c>
      <c r="AL181" s="21">
        <f t="shared" si="203"/>
        <v>263</v>
      </c>
      <c r="AM181" s="21">
        <f t="shared" si="203"/>
        <v>263</v>
      </c>
      <c r="AN181" s="21">
        <f t="shared" si="203"/>
        <v>263</v>
      </c>
      <c r="AO181" s="932">
        <f t="shared" si="203"/>
        <v>263</v>
      </c>
      <c r="AP181" s="21">
        <f t="shared" si="203"/>
        <v>263</v>
      </c>
      <c r="AQ181" s="21">
        <f t="shared" si="203"/>
        <v>263</v>
      </c>
      <c r="AR181" s="21">
        <f t="shared" si="203"/>
        <v>263</v>
      </c>
      <c r="AS181" s="21">
        <f t="shared" si="203"/>
        <v>263</v>
      </c>
      <c r="AT181" s="8"/>
      <c r="AU181" s="8">
        <f t="shared" si="197"/>
        <v>2026</v>
      </c>
      <c r="AV181" s="20">
        <f t="shared" si="169"/>
        <v>55.533999999999992</v>
      </c>
      <c r="AW181" s="21">
        <f t="shared" si="170"/>
        <v>55.533999999999992</v>
      </c>
      <c r="AX181" s="21">
        <f t="shared" si="171"/>
        <v>55.533999999999992</v>
      </c>
      <c r="AY181" s="21">
        <f t="shared" si="172"/>
        <v>55.533999999999992</v>
      </c>
      <c r="AZ181" s="21">
        <f t="shared" si="173"/>
        <v>55.533999999999992</v>
      </c>
      <c r="BA181" s="21">
        <f t="shared" si="174"/>
        <v>55.533999999999992</v>
      </c>
      <c r="BB181" s="21">
        <f t="shared" si="175"/>
        <v>55.533999999999992</v>
      </c>
      <c r="BC181" s="20">
        <f t="shared" si="176"/>
        <v>55.533999999999992</v>
      </c>
      <c r="BD181" s="21">
        <f t="shared" si="177"/>
        <v>55.533999999999992</v>
      </c>
      <c r="BE181" s="21">
        <f t="shared" si="178"/>
        <v>55.533999999999992</v>
      </c>
      <c r="BF181" s="21">
        <f t="shared" si="179"/>
        <v>55.533999999999992</v>
      </c>
      <c r="BG181" s="21">
        <f t="shared" si="180"/>
        <v>55.533999999999992</v>
      </c>
      <c r="BH181" s="21"/>
      <c r="BI181" s="8"/>
    </row>
    <row r="182" spans="19:61" ht="11.25" customHeight="1">
      <c r="S182" s="804">
        <f t="shared" si="167"/>
        <v>2027</v>
      </c>
      <c r="T182" s="922">
        <f>[25]Sheet1!$L202-[25]Sheet1!$L$176</f>
        <v>89</v>
      </c>
      <c r="U182" s="21">
        <f t="shared" si="198"/>
        <v>89</v>
      </c>
      <c r="V182" s="21">
        <f t="shared" si="198"/>
        <v>89</v>
      </c>
      <c r="W182" s="21">
        <f t="shared" si="198"/>
        <v>89</v>
      </c>
      <c r="X182" s="21">
        <f t="shared" si="198"/>
        <v>89</v>
      </c>
      <c r="Y182" s="21">
        <f t="shared" si="198"/>
        <v>89</v>
      </c>
      <c r="Z182" s="21">
        <f t="shared" si="198"/>
        <v>89</v>
      </c>
      <c r="AA182" s="21">
        <f t="shared" si="198"/>
        <v>89</v>
      </c>
      <c r="AB182" s="21">
        <f t="shared" si="198"/>
        <v>89</v>
      </c>
      <c r="AC182" s="21">
        <f t="shared" si="198"/>
        <v>89</v>
      </c>
      <c r="AD182" s="21">
        <f t="shared" si="198"/>
        <v>89</v>
      </c>
      <c r="AE182" s="21">
        <f t="shared" si="198"/>
        <v>89</v>
      </c>
      <c r="AG182" s="8">
        <f t="shared" si="166"/>
        <v>2027</v>
      </c>
      <c r="AH182" s="20">
        <f>[25]Sheet1!$L202</f>
        <v>263</v>
      </c>
      <c r="AI182" s="21">
        <f t="shared" ref="AI182:AS182" si="204">AH182</f>
        <v>263</v>
      </c>
      <c r="AJ182" s="21">
        <f t="shared" si="204"/>
        <v>263</v>
      </c>
      <c r="AK182" s="21">
        <f t="shared" si="204"/>
        <v>263</v>
      </c>
      <c r="AL182" s="21">
        <f t="shared" si="204"/>
        <v>263</v>
      </c>
      <c r="AM182" s="21">
        <f t="shared" si="204"/>
        <v>263</v>
      </c>
      <c r="AN182" s="21">
        <f t="shared" si="204"/>
        <v>263</v>
      </c>
      <c r="AO182" s="932">
        <f t="shared" si="204"/>
        <v>263</v>
      </c>
      <c r="AP182" s="21">
        <f t="shared" si="204"/>
        <v>263</v>
      </c>
      <c r="AQ182" s="21">
        <f t="shared" si="204"/>
        <v>263</v>
      </c>
      <c r="AR182" s="21">
        <f t="shared" si="204"/>
        <v>263</v>
      </c>
      <c r="AS182" s="21">
        <f t="shared" si="204"/>
        <v>263</v>
      </c>
      <c r="AT182" s="8"/>
      <c r="AU182" s="8">
        <f t="shared" si="197"/>
        <v>2027</v>
      </c>
      <c r="AV182" s="20">
        <f t="shared" si="169"/>
        <v>55.533999999999992</v>
      </c>
      <c r="AW182" s="21">
        <f t="shared" si="170"/>
        <v>55.533999999999992</v>
      </c>
      <c r="AX182" s="21">
        <f t="shared" si="171"/>
        <v>55.533999999999992</v>
      </c>
      <c r="AY182" s="21">
        <f t="shared" si="172"/>
        <v>55.533999999999992</v>
      </c>
      <c r="AZ182" s="21">
        <f t="shared" si="173"/>
        <v>55.533999999999992</v>
      </c>
      <c r="BA182" s="21">
        <f t="shared" si="174"/>
        <v>55.533999999999992</v>
      </c>
      <c r="BB182" s="21">
        <f t="shared" si="175"/>
        <v>55.533999999999992</v>
      </c>
      <c r="BC182" s="20">
        <f t="shared" si="176"/>
        <v>55.533999999999992</v>
      </c>
      <c r="BD182" s="21">
        <f t="shared" si="177"/>
        <v>55.533999999999992</v>
      </c>
      <c r="BE182" s="21">
        <f t="shared" si="178"/>
        <v>55.533999999999992</v>
      </c>
      <c r="BF182" s="21">
        <f t="shared" si="179"/>
        <v>55.533999999999992</v>
      </c>
      <c r="BG182" s="21">
        <f t="shared" si="180"/>
        <v>55.533999999999992</v>
      </c>
      <c r="BH182" s="21"/>
      <c r="BI182" s="8"/>
    </row>
    <row r="183" spans="19:61" ht="11.25" customHeight="1">
      <c r="S183" s="804">
        <f t="shared" si="167"/>
        <v>2028</v>
      </c>
      <c r="T183" s="922">
        <f>[25]Sheet1!$L203-[25]Sheet1!$L$176</f>
        <v>88</v>
      </c>
      <c r="U183" s="21">
        <f t="shared" si="198"/>
        <v>88</v>
      </c>
      <c r="V183" s="21">
        <f t="shared" si="198"/>
        <v>88</v>
      </c>
      <c r="W183" s="21">
        <f t="shared" si="198"/>
        <v>88</v>
      </c>
      <c r="X183" s="21">
        <f t="shared" si="198"/>
        <v>88</v>
      </c>
      <c r="Y183" s="21">
        <f t="shared" si="198"/>
        <v>88</v>
      </c>
      <c r="Z183" s="21">
        <f t="shared" si="198"/>
        <v>88</v>
      </c>
      <c r="AA183" s="21">
        <f t="shared" si="198"/>
        <v>88</v>
      </c>
      <c r="AB183" s="21">
        <f t="shared" si="198"/>
        <v>88</v>
      </c>
      <c r="AC183" s="21">
        <f t="shared" si="198"/>
        <v>88</v>
      </c>
      <c r="AD183" s="21">
        <f t="shared" si="198"/>
        <v>88</v>
      </c>
      <c r="AE183" s="21">
        <f t="shared" si="198"/>
        <v>88</v>
      </c>
      <c r="AG183" s="8">
        <f t="shared" si="166"/>
        <v>2028</v>
      </c>
      <c r="AH183" s="20">
        <f>[25]Sheet1!$L203</f>
        <v>262</v>
      </c>
      <c r="AI183" s="21">
        <f t="shared" ref="AI183:AS183" si="205">AH183</f>
        <v>262</v>
      </c>
      <c r="AJ183" s="21">
        <f t="shared" si="205"/>
        <v>262</v>
      </c>
      <c r="AK183" s="21">
        <f t="shared" si="205"/>
        <v>262</v>
      </c>
      <c r="AL183" s="21">
        <f t="shared" si="205"/>
        <v>262</v>
      </c>
      <c r="AM183" s="21">
        <f t="shared" si="205"/>
        <v>262</v>
      </c>
      <c r="AN183" s="21">
        <f t="shared" si="205"/>
        <v>262</v>
      </c>
      <c r="AO183" s="932">
        <f t="shared" si="205"/>
        <v>262</v>
      </c>
      <c r="AP183" s="21">
        <f t="shared" si="205"/>
        <v>262</v>
      </c>
      <c r="AQ183" s="21">
        <f t="shared" si="205"/>
        <v>262</v>
      </c>
      <c r="AR183" s="21">
        <f t="shared" si="205"/>
        <v>262</v>
      </c>
      <c r="AS183" s="21">
        <f t="shared" si="205"/>
        <v>262</v>
      </c>
      <c r="AT183" s="8"/>
      <c r="AU183" s="8">
        <f t="shared" si="197"/>
        <v>2028</v>
      </c>
      <c r="AV183" s="20">
        <f t="shared" si="169"/>
        <v>55.533999999999992</v>
      </c>
      <c r="AW183" s="21">
        <f t="shared" si="170"/>
        <v>55.533999999999992</v>
      </c>
      <c r="AX183" s="21">
        <f t="shared" si="171"/>
        <v>55.533999999999992</v>
      </c>
      <c r="AY183" s="21">
        <f t="shared" si="172"/>
        <v>55.533999999999992</v>
      </c>
      <c r="AZ183" s="21">
        <f t="shared" si="173"/>
        <v>55.533999999999992</v>
      </c>
      <c r="BA183" s="21">
        <f t="shared" si="174"/>
        <v>55.533999999999992</v>
      </c>
      <c r="BB183" s="21">
        <f t="shared" si="175"/>
        <v>55.533999999999992</v>
      </c>
      <c r="BC183" s="20">
        <f t="shared" si="176"/>
        <v>55.533999999999992</v>
      </c>
      <c r="BD183" s="21">
        <f t="shared" si="177"/>
        <v>55.533999999999992</v>
      </c>
      <c r="BE183" s="21">
        <f t="shared" si="178"/>
        <v>55.533999999999992</v>
      </c>
      <c r="BF183" s="21">
        <f t="shared" si="179"/>
        <v>55.533999999999992</v>
      </c>
      <c r="BG183" s="21">
        <f t="shared" si="180"/>
        <v>55.533999999999992</v>
      </c>
      <c r="BH183" s="21"/>
      <c r="BI183" s="8"/>
    </row>
    <row r="184" spans="19:61" ht="11.25" customHeight="1">
      <c r="S184" s="804">
        <f t="shared" si="167"/>
        <v>2029</v>
      </c>
      <c r="T184" s="922">
        <f>[25]Sheet1!$L204-[25]Sheet1!$L$176</f>
        <v>89</v>
      </c>
      <c r="U184" s="21">
        <f t="shared" si="198"/>
        <v>89</v>
      </c>
      <c r="V184" s="21">
        <f t="shared" si="198"/>
        <v>89</v>
      </c>
      <c r="W184" s="21">
        <f t="shared" si="198"/>
        <v>89</v>
      </c>
      <c r="X184" s="21">
        <f t="shared" si="198"/>
        <v>89</v>
      </c>
      <c r="Y184" s="21">
        <f t="shared" si="198"/>
        <v>89</v>
      </c>
      <c r="Z184" s="21">
        <f t="shared" si="198"/>
        <v>89</v>
      </c>
      <c r="AA184" s="21">
        <f t="shared" si="198"/>
        <v>89</v>
      </c>
      <c r="AB184" s="21">
        <f t="shared" si="198"/>
        <v>89</v>
      </c>
      <c r="AC184" s="21">
        <f t="shared" si="198"/>
        <v>89</v>
      </c>
      <c r="AD184" s="21">
        <f t="shared" si="198"/>
        <v>89</v>
      </c>
      <c r="AE184" s="21">
        <f t="shared" si="198"/>
        <v>89</v>
      </c>
      <c r="AG184" s="8">
        <f t="shared" si="166"/>
        <v>2029</v>
      </c>
      <c r="AH184" s="20">
        <f>[25]Sheet1!$L204</f>
        <v>263</v>
      </c>
      <c r="AI184" s="21">
        <f t="shared" ref="AI184:AS184" si="206">AH184</f>
        <v>263</v>
      </c>
      <c r="AJ184" s="21">
        <f t="shared" si="206"/>
        <v>263</v>
      </c>
      <c r="AK184" s="21">
        <f t="shared" si="206"/>
        <v>263</v>
      </c>
      <c r="AL184" s="21">
        <f t="shared" si="206"/>
        <v>263</v>
      </c>
      <c r="AM184" s="21">
        <f t="shared" si="206"/>
        <v>263</v>
      </c>
      <c r="AN184" s="21">
        <f t="shared" si="206"/>
        <v>263</v>
      </c>
      <c r="AO184" s="932">
        <f t="shared" si="206"/>
        <v>263</v>
      </c>
      <c r="AP184" s="21">
        <f t="shared" si="206"/>
        <v>263</v>
      </c>
      <c r="AQ184" s="21">
        <f t="shared" si="206"/>
        <v>263</v>
      </c>
      <c r="AR184" s="21">
        <f t="shared" si="206"/>
        <v>263</v>
      </c>
      <c r="AS184" s="21">
        <f t="shared" si="206"/>
        <v>263</v>
      </c>
      <c r="AT184" s="8"/>
      <c r="AU184" s="8">
        <f t="shared" si="197"/>
        <v>2029</v>
      </c>
      <c r="AV184" s="20">
        <f t="shared" si="169"/>
        <v>55.533999999999992</v>
      </c>
      <c r="AW184" s="21">
        <f t="shared" si="170"/>
        <v>55.533999999999992</v>
      </c>
      <c r="AX184" s="21">
        <f t="shared" si="171"/>
        <v>55.533999999999992</v>
      </c>
      <c r="AY184" s="21">
        <f t="shared" si="172"/>
        <v>55.533999999999992</v>
      </c>
      <c r="AZ184" s="21">
        <f t="shared" si="173"/>
        <v>55.533999999999992</v>
      </c>
      <c r="BA184" s="21">
        <f t="shared" si="174"/>
        <v>55.533999999999992</v>
      </c>
      <c r="BB184" s="21">
        <f t="shared" si="175"/>
        <v>55.533999999999992</v>
      </c>
      <c r="BC184" s="20">
        <f t="shared" si="176"/>
        <v>55.533999999999992</v>
      </c>
      <c r="BD184" s="21">
        <f t="shared" si="177"/>
        <v>55.533999999999992</v>
      </c>
      <c r="BE184" s="21">
        <f t="shared" si="178"/>
        <v>55.533999999999992</v>
      </c>
      <c r="BF184" s="21">
        <f t="shared" si="179"/>
        <v>55.533999999999992</v>
      </c>
      <c r="BG184" s="21">
        <f t="shared" si="180"/>
        <v>55.533999999999992</v>
      </c>
      <c r="BH184" s="21"/>
      <c r="BI184" s="8"/>
    </row>
    <row r="185" spans="19:61" ht="11.25" customHeight="1">
      <c r="S185" s="804">
        <f t="shared" si="167"/>
        <v>2030</v>
      </c>
      <c r="T185" s="922">
        <f>[25]Sheet1!$L205-[25]Sheet1!$L$176</f>
        <v>89</v>
      </c>
      <c r="U185" s="21">
        <f t="shared" si="198"/>
        <v>89</v>
      </c>
      <c r="V185" s="21">
        <f t="shared" si="198"/>
        <v>89</v>
      </c>
      <c r="W185" s="21">
        <f t="shared" si="198"/>
        <v>89</v>
      </c>
      <c r="X185" s="21">
        <f t="shared" si="198"/>
        <v>89</v>
      </c>
      <c r="Y185" s="21">
        <f t="shared" si="198"/>
        <v>89</v>
      </c>
      <c r="Z185" s="21">
        <f t="shared" si="198"/>
        <v>89</v>
      </c>
      <c r="AA185" s="21">
        <f t="shared" si="198"/>
        <v>89</v>
      </c>
      <c r="AB185" s="21">
        <f t="shared" si="198"/>
        <v>89</v>
      </c>
      <c r="AC185" s="21">
        <f t="shared" si="198"/>
        <v>89</v>
      </c>
      <c r="AD185" s="21">
        <f t="shared" si="198"/>
        <v>89</v>
      </c>
      <c r="AE185" s="21">
        <f t="shared" si="198"/>
        <v>89</v>
      </c>
      <c r="AG185" s="8">
        <f t="shared" si="166"/>
        <v>2030</v>
      </c>
      <c r="AH185" s="20">
        <f>[25]Sheet1!$L205</f>
        <v>263</v>
      </c>
      <c r="AI185" s="21">
        <f t="shared" ref="AI185:AS185" si="207">AH185</f>
        <v>263</v>
      </c>
      <c r="AJ185" s="21">
        <f t="shared" si="207"/>
        <v>263</v>
      </c>
      <c r="AK185" s="21">
        <f t="shared" si="207"/>
        <v>263</v>
      </c>
      <c r="AL185" s="21">
        <f t="shared" si="207"/>
        <v>263</v>
      </c>
      <c r="AM185" s="21">
        <f t="shared" si="207"/>
        <v>263</v>
      </c>
      <c r="AN185" s="21">
        <f t="shared" si="207"/>
        <v>263</v>
      </c>
      <c r="AO185" s="932">
        <f t="shared" si="207"/>
        <v>263</v>
      </c>
      <c r="AP185" s="21">
        <f t="shared" si="207"/>
        <v>263</v>
      </c>
      <c r="AQ185" s="21">
        <f t="shared" si="207"/>
        <v>263</v>
      </c>
      <c r="AR185" s="21">
        <f t="shared" si="207"/>
        <v>263</v>
      </c>
      <c r="AS185" s="21">
        <f t="shared" si="207"/>
        <v>263</v>
      </c>
      <c r="AT185" s="8"/>
      <c r="AU185" s="8">
        <f t="shared" si="197"/>
        <v>2030</v>
      </c>
      <c r="AV185" s="20">
        <f t="shared" si="169"/>
        <v>55.533999999999992</v>
      </c>
      <c r="AW185" s="21">
        <f t="shared" si="170"/>
        <v>55.533999999999992</v>
      </c>
      <c r="AX185" s="21">
        <f t="shared" si="171"/>
        <v>55.533999999999992</v>
      </c>
      <c r="AY185" s="21">
        <f t="shared" si="172"/>
        <v>55.533999999999992</v>
      </c>
      <c r="AZ185" s="21">
        <f t="shared" si="173"/>
        <v>55.533999999999992</v>
      </c>
      <c r="BA185" s="21">
        <f t="shared" si="174"/>
        <v>55.533999999999992</v>
      </c>
      <c r="BB185" s="21">
        <f t="shared" si="175"/>
        <v>55.533999999999992</v>
      </c>
      <c r="BC185" s="20">
        <f t="shared" si="176"/>
        <v>55.533999999999992</v>
      </c>
      <c r="BD185" s="21">
        <f t="shared" si="177"/>
        <v>55.533999999999992</v>
      </c>
      <c r="BE185" s="21">
        <f t="shared" si="178"/>
        <v>55.533999999999992</v>
      </c>
      <c r="BF185" s="21">
        <f t="shared" si="179"/>
        <v>55.533999999999992</v>
      </c>
      <c r="BG185" s="21">
        <f t="shared" si="180"/>
        <v>55.533999999999992</v>
      </c>
      <c r="BH185" s="21"/>
      <c r="BI185" s="8"/>
    </row>
    <row r="186" spans="19:61" ht="11.25" customHeight="1">
      <c r="S186" s="804">
        <f t="shared" ref="S186:S195" si="208">S139</f>
        <v>2031</v>
      </c>
      <c r="T186" s="922">
        <f>[25]Sheet1!$L206-[25]Sheet1!$L$176</f>
        <v>73</v>
      </c>
      <c r="U186" s="21">
        <f t="shared" si="198"/>
        <v>73</v>
      </c>
      <c r="V186" s="21">
        <f t="shared" si="198"/>
        <v>73</v>
      </c>
      <c r="W186" s="21">
        <f t="shared" si="198"/>
        <v>73</v>
      </c>
      <c r="X186" s="21">
        <f t="shared" si="198"/>
        <v>73</v>
      </c>
      <c r="Y186" s="21">
        <f t="shared" si="198"/>
        <v>73</v>
      </c>
      <c r="Z186" s="21">
        <f t="shared" si="198"/>
        <v>73</v>
      </c>
      <c r="AA186" s="21">
        <f t="shared" si="198"/>
        <v>73</v>
      </c>
      <c r="AB186" s="21">
        <f t="shared" si="198"/>
        <v>73</v>
      </c>
      <c r="AC186" s="21">
        <f t="shared" si="198"/>
        <v>73</v>
      </c>
      <c r="AD186" s="21">
        <f t="shared" si="198"/>
        <v>73</v>
      </c>
      <c r="AE186" s="21">
        <f t="shared" si="198"/>
        <v>73</v>
      </c>
      <c r="AG186" s="8">
        <f t="shared" si="166"/>
        <v>2031</v>
      </c>
      <c r="AH186" s="20">
        <f>[25]Sheet1!$L206</f>
        <v>247</v>
      </c>
      <c r="AI186" s="21">
        <f t="shared" ref="AI186:AI195" si="209">AH186</f>
        <v>247</v>
      </c>
      <c r="AJ186" s="21">
        <f t="shared" ref="AJ186:AJ195" si="210">AI186</f>
        <v>247</v>
      </c>
      <c r="AK186" s="21">
        <f t="shared" ref="AK186:AK195" si="211">AJ186</f>
        <v>247</v>
      </c>
      <c r="AL186" s="21">
        <f t="shared" ref="AL186:AL195" si="212">AK186</f>
        <v>247</v>
      </c>
      <c r="AM186" s="21">
        <f t="shared" ref="AM186:AM195" si="213">AL186</f>
        <v>247</v>
      </c>
      <c r="AN186" s="21">
        <f t="shared" ref="AN186:AN195" si="214">AM186</f>
        <v>247</v>
      </c>
      <c r="AO186" s="932">
        <f t="shared" ref="AO186:AO195" si="215">AN186</f>
        <v>247</v>
      </c>
      <c r="AP186" s="21">
        <f t="shared" ref="AP186:AP195" si="216">AO186</f>
        <v>247</v>
      </c>
      <c r="AQ186" s="21">
        <f t="shared" ref="AQ186:AQ195" si="217">AP186</f>
        <v>247</v>
      </c>
      <c r="AR186" s="21">
        <f t="shared" ref="AR186:AR195" si="218">AQ186</f>
        <v>247</v>
      </c>
      <c r="AS186" s="21">
        <f t="shared" ref="AS186:AS195" si="219">AR186</f>
        <v>247</v>
      </c>
      <c r="AT186" s="8"/>
      <c r="AU186" s="8">
        <f t="shared" si="197"/>
        <v>2031</v>
      </c>
      <c r="AV186" s="20">
        <f t="shared" ref="AV186:AV195" si="220">T93-AH186</f>
        <v>55.533999999999992</v>
      </c>
      <c r="AW186" s="21">
        <f t="shared" ref="AW186:AW195" si="221">U93-AI186</f>
        <v>55.533999999999992</v>
      </c>
      <c r="AX186" s="21">
        <f t="shared" ref="AX186:AX195" si="222">V93-AJ186</f>
        <v>55.533999999999992</v>
      </c>
      <c r="AY186" s="21">
        <f t="shared" ref="AY186:AY195" si="223">W93-AK186</f>
        <v>55.533999999999992</v>
      </c>
      <c r="AZ186" s="21">
        <f t="shared" ref="AZ186:AZ195" si="224">X93-AL186</f>
        <v>55.533999999999992</v>
      </c>
      <c r="BA186" s="21">
        <f t="shared" ref="BA186:BA195" si="225">Y93-AM186</f>
        <v>55.533999999999992</v>
      </c>
      <c r="BB186" s="21">
        <f t="shared" ref="BB186:BB195" si="226">Z93-AN186</f>
        <v>55.533999999999992</v>
      </c>
      <c r="BC186" s="20">
        <f t="shared" ref="BC186:BC195" si="227">AA93-AO186</f>
        <v>55.533999999999992</v>
      </c>
      <c r="BD186" s="21">
        <f t="shared" ref="BD186:BD195" si="228">AB93-AP186</f>
        <v>55.533999999999992</v>
      </c>
      <c r="BE186" s="21">
        <f t="shared" ref="BE186:BE195" si="229">AC93-AQ186</f>
        <v>55.533999999999992</v>
      </c>
      <c r="BF186" s="21">
        <f t="shared" ref="BF186:BF195" si="230">AD93-AR186</f>
        <v>55.533999999999992</v>
      </c>
      <c r="BG186" s="21">
        <f t="shared" ref="BG186:BG195" si="231">AE93-AS186</f>
        <v>55.533999999999992</v>
      </c>
      <c r="BH186" s="21"/>
      <c r="BI186" s="8"/>
    </row>
    <row r="187" spans="19:61" ht="11.25" customHeight="1">
      <c r="S187" s="804">
        <f t="shared" si="208"/>
        <v>2032</v>
      </c>
      <c r="T187" s="922">
        <f>[25]Sheet1!$L207-[25]Sheet1!$L$176</f>
        <v>58</v>
      </c>
      <c r="U187" s="21">
        <f t="shared" si="198"/>
        <v>58</v>
      </c>
      <c r="V187" s="21">
        <f t="shared" si="198"/>
        <v>58</v>
      </c>
      <c r="W187" s="21">
        <f t="shared" si="198"/>
        <v>58</v>
      </c>
      <c r="X187" s="21">
        <f t="shared" si="198"/>
        <v>58</v>
      </c>
      <c r="Y187" s="21">
        <f t="shared" si="198"/>
        <v>58</v>
      </c>
      <c r="Z187" s="21">
        <f t="shared" si="198"/>
        <v>58</v>
      </c>
      <c r="AA187" s="21">
        <f t="shared" si="198"/>
        <v>58</v>
      </c>
      <c r="AB187" s="21">
        <f t="shared" si="198"/>
        <v>58</v>
      </c>
      <c r="AC187" s="21">
        <f t="shared" si="198"/>
        <v>58</v>
      </c>
      <c r="AD187" s="21">
        <f t="shared" si="198"/>
        <v>58</v>
      </c>
      <c r="AE187" s="21">
        <f t="shared" si="198"/>
        <v>58</v>
      </c>
      <c r="AG187" s="8">
        <f t="shared" si="166"/>
        <v>2032</v>
      </c>
      <c r="AH187" s="20">
        <f>[25]Sheet1!$L207</f>
        <v>232</v>
      </c>
      <c r="AI187" s="21">
        <f t="shared" si="209"/>
        <v>232</v>
      </c>
      <c r="AJ187" s="21">
        <f t="shared" si="210"/>
        <v>232</v>
      </c>
      <c r="AK187" s="21">
        <f t="shared" si="211"/>
        <v>232</v>
      </c>
      <c r="AL187" s="21">
        <f t="shared" si="212"/>
        <v>232</v>
      </c>
      <c r="AM187" s="21">
        <f t="shared" si="213"/>
        <v>232</v>
      </c>
      <c r="AN187" s="21">
        <f t="shared" si="214"/>
        <v>232</v>
      </c>
      <c r="AO187" s="932">
        <f t="shared" si="215"/>
        <v>232</v>
      </c>
      <c r="AP187" s="21">
        <f t="shared" si="216"/>
        <v>232</v>
      </c>
      <c r="AQ187" s="21">
        <f t="shared" si="217"/>
        <v>232</v>
      </c>
      <c r="AR187" s="21">
        <f t="shared" si="218"/>
        <v>232</v>
      </c>
      <c r="AS187" s="21">
        <f t="shared" si="219"/>
        <v>232</v>
      </c>
      <c r="AT187" s="8"/>
      <c r="AU187" s="8">
        <f t="shared" si="197"/>
        <v>2032</v>
      </c>
      <c r="AV187" s="20">
        <f t="shared" si="220"/>
        <v>55.533999999999992</v>
      </c>
      <c r="AW187" s="21">
        <f t="shared" si="221"/>
        <v>55.533999999999992</v>
      </c>
      <c r="AX187" s="21">
        <f t="shared" si="222"/>
        <v>55.533999999999992</v>
      </c>
      <c r="AY187" s="21">
        <f t="shared" si="223"/>
        <v>55.533999999999992</v>
      </c>
      <c r="AZ187" s="21">
        <f t="shared" si="224"/>
        <v>55.533999999999992</v>
      </c>
      <c r="BA187" s="21">
        <f t="shared" si="225"/>
        <v>55.533999999999992</v>
      </c>
      <c r="BB187" s="21">
        <f t="shared" si="226"/>
        <v>55.533999999999992</v>
      </c>
      <c r="BC187" s="20">
        <f t="shared" si="227"/>
        <v>55.533999999999992</v>
      </c>
      <c r="BD187" s="21">
        <f t="shared" si="228"/>
        <v>55.533999999999992</v>
      </c>
      <c r="BE187" s="21">
        <f t="shared" si="229"/>
        <v>55.533999999999992</v>
      </c>
      <c r="BF187" s="21">
        <f t="shared" si="230"/>
        <v>55.533999999999992</v>
      </c>
      <c r="BG187" s="21">
        <f t="shared" si="231"/>
        <v>55.533999999999992</v>
      </c>
      <c r="BH187" s="21"/>
      <c r="BI187" s="8"/>
    </row>
    <row r="188" spans="19:61" ht="11.25" customHeight="1">
      <c r="S188" s="804">
        <f t="shared" si="208"/>
        <v>2033</v>
      </c>
      <c r="T188" s="922">
        <f>[25]Sheet1!$L208-[25]Sheet1!$L$176</f>
        <v>58</v>
      </c>
      <c r="U188" s="21">
        <f t="shared" si="198"/>
        <v>58</v>
      </c>
      <c r="V188" s="21">
        <f t="shared" si="198"/>
        <v>58</v>
      </c>
      <c r="W188" s="21">
        <f t="shared" si="198"/>
        <v>58</v>
      </c>
      <c r="X188" s="21">
        <f t="shared" si="198"/>
        <v>58</v>
      </c>
      <c r="Y188" s="21">
        <f t="shared" si="198"/>
        <v>58</v>
      </c>
      <c r="Z188" s="21">
        <f t="shared" si="198"/>
        <v>58</v>
      </c>
      <c r="AA188" s="21">
        <f t="shared" si="198"/>
        <v>58</v>
      </c>
      <c r="AB188" s="21">
        <f t="shared" si="198"/>
        <v>58</v>
      </c>
      <c r="AC188" s="21">
        <f t="shared" si="198"/>
        <v>58</v>
      </c>
      <c r="AD188" s="21">
        <f t="shared" si="198"/>
        <v>58</v>
      </c>
      <c r="AE188" s="21">
        <f t="shared" si="198"/>
        <v>58</v>
      </c>
      <c r="AG188" s="8">
        <f t="shared" si="166"/>
        <v>2033</v>
      </c>
      <c r="AH188" s="20">
        <f>[25]Sheet1!$L208</f>
        <v>232</v>
      </c>
      <c r="AI188" s="21">
        <f t="shared" si="209"/>
        <v>232</v>
      </c>
      <c r="AJ188" s="21">
        <f t="shared" si="210"/>
        <v>232</v>
      </c>
      <c r="AK188" s="21">
        <f t="shared" si="211"/>
        <v>232</v>
      </c>
      <c r="AL188" s="21">
        <f t="shared" si="212"/>
        <v>232</v>
      </c>
      <c r="AM188" s="21">
        <f t="shared" si="213"/>
        <v>232</v>
      </c>
      <c r="AN188" s="21">
        <f t="shared" si="214"/>
        <v>232</v>
      </c>
      <c r="AO188" s="932">
        <f t="shared" si="215"/>
        <v>232</v>
      </c>
      <c r="AP188" s="21">
        <f t="shared" si="216"/>
        <v>232</v>
      </c>
      <c r="AQ188" s="21">
        <f t="shared" si="217"/>
        <v>232</v>
      </c>
      <c r="AR188" s="21">
        <f t="shared" si="218"/>
        <v>232</v>
      </c>
      <c r="AS188" s="21">
        <f t="shared" si="219"/>
        <v>232</v>
      </c>
      <c r="AT188" s="8"/>
      <c r="AU188" s="8">
        <f t="shared" si="197"/>
        <v>2033</v>
      </c>
      <c r="AV188" s="20">
        <f t="shared" si="220"/>
        <v>55.533999999999992</v>
      </c>
      <c r="AW188" s="21">
        <f t="shared" si="221"/>
        <v>55.533999999999992</v>
      </c>
      <c r="AX188" s="21">
        <f t="shared" si="222"/>
        <v>55.533999999999992</v>
      </c>
      <c r="AY188" s="21">
        <f t="shared" si="223"/>
        <v>55.533999999999992</v>
      </c>
      <c r="AZ188" s="21">
        <f t="shared" si="224"/>
        <v>55.533999999999992</v>
      </c>
      <c r="BA188" s="21">
        <f t="shared" si="225"/>
        <v>55.533999999999992</v>
      </c>
      <c r="BB188" s="21">
        <f t="shared" si="226"/>
        <v>55.533999999999992</v>
      </c>
      <c r="BC188" s="20">
        <f t="shared" si="227"/>
        <v>55.533999999999992</v>
      </c>
      <c r="BD188" s="21">
        <f t="shared" si="228"/>
        <v>55.533999999999992</v>
      </c>
      <c r="BE188" s="21">
        <f t="shared" si="229"/>
        <v>55.533999999999992</v>
      </c>
      <c r="BF188" s="21">
        <f t="shared" si="230"/>
        <v>55.533999999999992</v>
      </c>
      <c r="BG188" s="21">
        <f t="shared" si="231"/>
        <v>55.533999999999992</v>
      </c>
      <c r="BH188" s="21"/>
      <c r="BI188" s="8"/>
    </row>
    <row r="189" spans="19:61" ht="11.25" customHeight="1">
      <c r="S189" s="804">
        <f t="shared" si="208"/>
        <v>2034</v>
      </c>
      <c r="T189" s="922">
        <f>[25]Sheet1!$L209-[25]Sheet1!$L$176</f>
        <v>58</v>
      </c>
      <c r="U189" s="21">
        <f t="shared" si="198"/>
        <v>58</v>
      </c>
      <c r="V189" s="21">
        <f t="shared" si="198"/>
        <v>58</v>
      </c>
      <c r="W189" s="21">
        <f t="shared" si="198"/>
        <v>58</v>
      </c>
      <c r="X189" s="21">
        <f t="shared" si="198"/>
        <v>58</v>
      </c>
      <c r="Y189" s="21">
        <f t="shared" si="198"/>
        <v>58</v>
      </c>
      <c r="Z189" s="21">
        <f t="shared" si="198"/>
        <v>58</v>
      </c>
      <c r="AA189" s="21">
        <f t="shared" si="198"/>
        <v>58</v>
      </c>
      <c r="AB189" s="21">
        <f t="shared" si="198"/>
        <v>58</v>
      </c>
      <c r="AC189" s="21">
        <f t="shared" si="198"/>
        <v>58</v>
      </c>
      <c r="AD189" s="21">
        <f t="shared" si="198"/>
        <v>58</v>
      </c>
      <c r="AE189" s="21">
        <f t="shared" si="198"/>
        <v>58</v>
      </c>
      <c r="AG189" s="8">
        <f t="shared" si="166"/>
        <v>2034</v>
      </c>
      <c r="AH189" s="20">
        <f>[25]Sheet1!$L209</f>
        <v>232</v>
      </c>
      <c r="AI189" s="21">
        <f t="shared" si="209"/>
        <v>232</v>
      </c>
      <c r="AJ189" s="21">
        <f t="shared" si="210"/>
        <v>232</v>
      </c>
      <c r="AK189" s="21">
        <f t="shared" si="211"/>
        <v>232</v>
      </c>
      <c r="AL189" s="21">
        <f t="shared" si="212"/>
        <v>232</v>
      </c>
      <c r="AM189" s="21">
        <f t="shared" si="213"/>
        <v>232</v>
      </c>
      <c r="AN189" s="21">
        <f t="shared" si="214"/>
        <v>232</v>
      </c>
      <c r="AO189" s="932">
        <f t="shared" si="215"/>
        <v>232</v>
      </c>
      <c r="AP189" s="21">
        <f t="shared" si="216"/>
        <v>232</v>
      </c>
      <c r="AQ189" s="21">
        <f t="shared" si="217"/>
        <v>232</v>
      </c>
      <c r="AR189" s="21">
        <f t="shared" si="218"/>
        <v>232</v>
      </c>
      <c r="AS189" s="21">
        <f t="shared" si="219"/>
        <v>232</v>
      </c>
      <c r="AT189" s="8"/>
      <c r="AU189" s="8">
        <f t="shared" si="197"/>
        <v>2034</v>
      </c>
      <c r="AV189" s="20">
        <f t="shared" si="220"/>
        <v>55.533999999999992</v>
      </c>
      <c r="AW189" s="21">
        <f t="shared" si="221"/>
        <v>55.533999999999992</v>
      </c>
      <c r="AX189" s="21">
        <f t="shared" si="222"/>
        <v>55.533999999999992</v>
      </c>
      <c r="AY189" s="21">
        <f t="shared" si="223"/>
        <v>55.533999999999992</v>
      </c>
      <c r="AZ189" s="21">
        <f t="shared" si="224"/>
        <v>55.533999999999992</v>
      </c>
      <c r="BA189" s="21">
        <f t="shared" si="225"/>
        <v>55.533999999999992</v>
      </c>
      <c r="BB189" s="21">
        <f t="shared" si="226"/>
        <v>55.533999999999992</v>
      </c>
      <c r="BC189" s="20">
        <f t="shared" si="227"/>
        <v>55.533999999999992</v>
      </c>
      <c r="BD189" s="21">
        <f t="shared" si="228"/>
        <v>55.533999999999992</v>
      </c>
      <c r="BE189" s="21">
        <f t="shared" si="229"/>
        <v>55.533999999999992</v>
      </c>
      <c r="BF189" s="21">
        <f t="shared" si="230"/>
        <v>55.533999999999992</v>
      </c>
      <c r="BG189" s="21">
        <f t="shared" si="231"/>
        <v>55.533999999999992</v>
      </c>
      <c r="BH189" s="21"/>
      <c r="BI189" s="8"/>
    </row>
    <row r="190" spans="19:61" ht="11.25" customHeight="1">
      <c r="S190" s="804">
        <f t="shared" si="208"/>
        <v>2035</v>
      </c>
      <c r="T190" s="922">
        <f>[25]Sheet1!$L210-[25]Sheet1!$L$176</f>
        <v>58</v>
      </c>
      <c r="U190" s="21">
        <f t="shared" si="198"/>
        <v>58</v>
      </c>
      <c r="V190" s="21">
        <f t="shared" si="198"/>
        <v>58</v>
      </c>
      <c r="W190" s="21">
        <f t="shared" si="198"/>
        <v>58</v>
      </c>
      <c r="X190" s="21">
        <f t="shared" si="198"/>
        <v>58</v>
      </c>
      <c r="Y190" s="21">
        <f t="shared" si="198"/>
        <v>58</v>
      </c>
      <c r="Z190" s="21">
        <f t="shared" si="198"/>
        <v>58</v>
      </c>
      <c r="AA190" s="21">
        <f t="shared" si="198"/>
        <v>58</v>
      </c>
      <c r="AB190" s="21">
        <f t="shared" si="198"/>
        <v>58</v>
      </c>
      <c r="AC190" s="21">
        <f t="shared" si="198"/>
        <v>58</v>
      </c>
      <c r="AD190" s="21">
        <f t="shared" si="198"/>
        <v>58</v>
      </c>
      <c r="AE190" s="21">
        <f t="shared" si="198"/>
        <v>58</v>
      </c>
      <c r="AG190" s="8">
        <f t="shared" si="166"/>
        <v>2035</v>
      </c>
      <c r="AH190" s="20">
        <f>[25]Sheet1!$L210</f>
        <v>232</v>
      </c>
      <c r="AI190" s="21">
        <f t="shared" si="209"/>
        <v>232</v>
      </c>
      <c r="AJ190" s="21">
        <f t="shared" si="210"/>
        <v>232</v>
      </c>
      <c r="AK190" s="21">
        <f t="shared" si="211"/>
        <v>232</v>
      </c>
      <c r="AL190" s="21">
        <f t="shared" si="212"/>
        <v>232</v>
      </c>
      <c r="AM190" s="21">
        <f t="shared" si="213"/>
        <v>232</v>
      </c>
      <c r="AN190" s="21">
        <f t="shared" si="214"/>
        <v>232</v>
      </c>
      <c r="AO190" s="932">
        <f t="shared" si="215"/>
        <v>232</v>
      </c>
      <c r="AP190" s="21">
        <f t="shared" si="216"/>
        <v>232</v>
      </c>
      <c r="AQ190" s="21">
        <f t="shared" si="217"/>
        <v>232</v>
      </c>
      <c r="AR190" s="21">
        <f t="shared" si="218"/>
        <v>232</v>
      </c>
      <c r="AS190" s="21">
        <f t="shared" si="219"/>
        <v>232</v>
      </c>
      <c r="AT190" s="8"/>
      <c r="AU190" s="8">
        <f t="shared" si="197"/>
        <v>2035</v>
      </c>
      <c r="AV190" s="20">
        <f t="shared" si="220"/>
        <v>55.533999999999992</v>
      </c>
      <c r="AW190" s="21">
        <f t="shared" si="221"/>
        <v>55.533999999999992</v>
      </c>
      <c r="AX190" s="21">
        <f t="shared" si="222"/>
        <v>55.533999999999992</v>
      </c>
      <c r="AY190" s="21">
        <f t="shared" si="223"/>
        <v>55.533999999999992</v>
      </c>
      <c r="AZ190" s="21">
        <f t="shared" si="224"/>
        <v>55.533999999999992</v>
      </c>
      <c r="BA190" s="21">
        <f t="shared" si="225"/>
        <v>55.533999999999992</v>
      </c>
      <c r="BB190" s="21">
        <f t="shared" si="226"/>
        <v>55.533999999999992</v>
      </c>
      <c r="BC190" s="20">
        <f t="shared" si="227"/>
        <v>55.533999999999992</v>
      </c>
      <c r="BD190" s="21">
        <f t="shared" si="228"/>
        <v>55.533999999999992</v>
      </c>
      <c r="BE190" s="21">
        <f t="shared" si="229"/>
        <v>55.533999999999992</v>
      </c>
      <c r="BF190" s="21">
        <f t="shared" si="230"/>
        <v>55.533999999999992</v>
      </c>
      <c r="BG190" s="21">
        <f t="shared" si="231"/>
        <v>55.533999999999992</v>
      </c>
      <c r="BH190" s="21"/>
      <c r="BI190" s="8"/>
    </row>
    <row r="191" spans="19:61" ht="11.25" customHeight="1">
      <c r="S191" s="804">
        <f t="shared" si="208"/>
        <v>2036</v>
      </c>
      <c r="T191" s="922">
        <f>[25]Sheet1!$L211-[25]Sheet1!$L$176</f>
        <v>58</v>
      </c>
      <c r="U191" s="21">
        <f t="shared" si="198"/>
        <v>58</v>
      </c>
      <c r="V191" s="21">
        <f t="shared" si="198"/>
        <v>58</v>
      </c>
      <c r="W191" s="21">
        <f t="shared" si="198"/>
        <v>58</v>
      </c>
      <c r="X191" s="21">
        <f t="shared" si="198"/>
        <v>58</v>
      </c>
      <c r="Y191" s="21">
        <f t="shared" si="198"/>
        <v>58</v>
      </c>
      <c r="Z191" s="21">
        <f t="shared" si="198"/>
        <v>58</v>
      </c>
      <c r="AA191" s="21">
        <f t="shared" si="198"/>
        <v>58</v>
      </c>
      <c r="AB191" s="21">
        <f t="shared" si="198"/>
        <v>58</v>
      </c>
      <c r="AC191" s="21">
        <f t="shared" si="198"/>
        <v>58</v>
      </c>
      <c r="AD191" s="21">
        <f t="shared" si="198"/>
        <v>58</v>
      </c>
      <c r="AE191" s="21">
        <f t="shared" si="198"/>
        <v>58</v>
      </c>
      <c r="AG191" s="8">
        <f t="shared" si="166"/>
        <v>2036</v>
      </c>
      <c r="AH191" s="20">
        <f>[25]Sheet1!$L211</f>
        <v>232</v>
      </c>
      <c r="AI191" s="21">
        <f t="shared" si="209"/>
        <v>232</v>
      </c>
      <c r="AJ191" s="21">
        <f t="shared" si="210"/>
        <v>232</v>
      </c>
      <c r="AK191" s="21">
        <f t="shared" si="211"/>
        <v>232</v>
      </c>
      <c r="AL191" s="21">
        <f t="shared" si="212"/>
        <v>232</v>
      </c>
      <c r="AM191" s="21">
        <f t="shared" si="213"/>
        <v>232</v>
      </c>
      <c r="AN191" s="21">
        <f t="shared" si="214"/>
        <v>232</v>
      </c>
      <c r="AO191" s="932">
        <f t="shared" si="215"/>
        <v>232</v>
      </c>
      <c r="AP191" s="21">
        <f t="shared" si="216"/>
        <v>232</v>
      </c>
      <c r="AQ191" s="21">
        <f t="shared" si="217"/>
        <v>232</v>
      </c>
      <c r="AR191" s="21">
        <f t="shared" si="218"/>
        <v>232</v>
      </c>
      <c r="AS191" s="21">
        <f t="shared" si="219"/>
        <v>232</v>
      </c>
      <c r="AT191" s="8"/>
      <c r="AU191" s="8">
        <f t="shared" si="197"/>
        <v>2036</v>
      </c>
      <c r="AV191" s="20">
        <f t="shared" si="220"/>
        <v>55.533999999999992</v>
      </c>
      <c r="AW191" s="21">
        <f t="shared" si="221"/>
        <v>55.533999999999992</v>
      </c>
      <c r="AX191" s="21">
        <f t="shared" si="222"/>
        <v>55.533999999999992</v>
      </c>
      <c r="AY191" s="21">
        <f t="shared" si="223"/>
        <v>55.533999999999992</v>
      </c>
      <c r="AZ191" s="21">
        <f t="shared" si="224"/>
        <v>55.533999999999992</v>
      </c>
      <c r="BA191" s="21">
        <f t="shared" si="225"/>
        <v>55.533999999999992</v>
      </c>
      <c r="BB191" s="21">
        <f t="shared" si="226"/>
        <v>55.533999999999992</v>
      </c>
      <c r="BC191" s="20">
        <f t="shared" si="227"/>
        <v>55.533999999999992</v>
      </c>
      <c r="BD191" s="21">
        <f t="shared" si="228"/>
        <v>55.533999999999992</v>
      </c>
      <c r="BE191" s="21">
        <f t="shared" si="229"/>
        <v>55.533999999999992</v>
      </c>
      <c r="BF191" s="21">
        <f t="shared" si="230"/>
        <v>55.533999999999992</v>
      </c>
      <c r="BG191" s="21">
        <f t="shared" si="231"/>
        <v>55.533999999999992</v>
      </c>
      <c r="BH191" s="21"/>
      <c r="BI191" s="8"/>
    </row>
    <row r="192" spans="19:61" ht="11.25" customHeight="1">
      <c r="S192" s="804">
        <f t="shared" si="208"/>
        <v>2037</v>
      </c>
      <c r="T192" s="922">
        <f>[25]Sheet1!$L212-[25]Sheet1!$L$176</f>
        <v>58</v>
      </c>
      <c r="U192" s="21">
        <f t="shared" si="198"/>
        <v>58</v>
      </c>
      <c r="V192" s="21">
        <f t="shared" si="198"/>
        <v>58</v>
      </c>
      <c r="W192" s="21">
        <f t="shared" si="198"/>
        <v>58</v>
      </c>
      <c r="X192" s="21">
        <f t="shared" si="198"/>
        <v>58</v>
      </c>
      <c r="Y192" s="21">
        <f t="shared" si="198"/>
        <v>58</v>
      </c>
      <c r="Z192" s="21">
        <f t="shared" si="198"/>
        <v>58</v>
      </c>
      <c r="AA192" s="21">
        <f t="shared" si="198"/>
        <v>58</v>
      </c>
      <c r="AB192" s="21">
        <f t="shared" si="198"/>
        <v>58</v>
      </c>
      <c r="AC192" s="21">
        <f t="shared" si="198"/>
        <v>58</v>
      </c>
      <c r="AD192" s="21">
        <f t="shared" si="198"/>
        <v>58</v>
      </c>
      <c r="AE192" s="21">
        <f t="shared" si="198"/>
        <v>58</v>
      </c>
      <c r="AG192" s="8">
        <f t="shared" si="166"/>
        <v>2037</v>
      </c>
      <c r="AH192" s="20">
        <f>[25]Sheet1!$L212</f>
        <v>232</v>
      </c>
      <c r="AI192" s="21">
        <f t="shared" si="209"/>
        <v>232</v>
      </c>
      <c r="AJ192" s="21">
        <f t="shared" si="210"/>
        <v>232</v>
      </c>
      <c r="AK192" s="21">
        <f t="shared" si="211"/>
        <v>232</v>
      </c>
      <c r="AL192" s="21">
        <f t="shared" si="212"/>
        <v>232</v>
      </c>
      <c r="AM192" s="21">
        <f t="shared" si="213"/>
        <v>232</v>
      </c>
      <c r="AN192" s="21">
        <f t="shared" si="214"/>
        <v>232</v>
      </c>
      <c r="AO192" s="932">
        <f t="shared" si="215"/>
        <v>232</v>
      </c>
      <c r="AP192" s="21">
        <f t="shared" si="216"/>
        <v>232</v>
      </c>
      <c r="AQ192" s="21">
        <f t="shared" si="217"/>
        <v>232</v>
      </c>
      <c r="AR192" s="21">
        <f t="shared" si="218"/>
        <v>232</v>
      </c>
      <c r="AS192" s="21">
        <f t="shared" si="219"/>
        <v>232</v>
      </c>
      <c r="AU192" s="8">
        <f t="shared" si="197"/>
        <v>2037</v>
      </c>
      <c r="AV192" s="20">
        <f t="shared" si="220"/>
        <v>55.533999999999992</v>
      </c>
      <c r="AW192" s="21">
        <f t="shared" si="221"/>
        <v>55.533999999999992</v>
      </c>
      <c r="AX192" s="21">
        <f t="shared" si="222"/>
        <v>55.533999999999992</v>
      </c>
      <c r="AY192" s="21">
        <f t="shared" si="223"/>
        <v>55.533999999999992</v>
      </c>
      <c r="AZ192" s="21">
        <f t="shared" si="224"/>
        <v>55.533999999999992</v>
      </c>
      <c r="BA192" s="21">
        <f t="shared" si="225"/>
        <v>55.533999999999992</v>
      </c>
      <c r="BB192" s="21">
        <f t="shared" si="226"/>
        <v>55.533999999999992</v>
      </c>
      <c r="BC192" s="20">
        <f t="shared" si="227"/>
        <v>55.533999999999992</v>
      </c>
      <c r="BD192" s="21">
        <f t="shared" si="228"/>
        <v>55.533999999999992</v>
      </c>
      <c r="BE192" s="21">
        <f t="shared" si="229"/>
        <v>55.533999999999992</v>
      </c>
      <c r="BF192" s="21">
        <f t="shared" si="230"/>
        <v>55.533999999999992</v>
      </c>
      <c r="BG192" s="21">
        <f t="shared" si="231"/>
        <v>55.533999999999992</v>
      </c>
      <c r="BH192" s="21"/>
      <c r="BI192" s="8"/>
    </row>
    <row r="193" spans="19:61" ht="11.25" customHeight="1">
      <c r="S193" s="804">
        <f t="shared" si="208"/>
        <v>2038</v>
      </c>
      <c r="T193" s="922">
        <f>[25]Sheet1!$L213-[25]Sheet1!$L$176</f>
        <v>58</v>
      </c>
      <c r="U193" s="21">
        <f t="shared" ref="U193:AE195" si="232">$T193</f>
        <v>58</v>
      </c>
      <c r="V193" s="21">
        <f t="shared" si="232"/>
        <v>58</v>
      </c>
      <c r="W193" s="21">
        <f t="shared" si="232"/>
        <v>58</v>
      </c>
      <c r="X193" s="21">
        <f t="shared" si="232"/>
        <v>58</v>
      </c>
      <c r="Y193" s="21">
        <f t="shared" si="232"/>
        <v>58</v>
      </c>
      <c r="Z193" s="21">
        <f t="shared" si="232"/>
        <v>58</v>
      </c>
      <c r="AA193" s="21">
        <f t="shared" si="232"/>
        <v>58</v>
      </c>
      <c r="AB193" s="21">
        <f t="shared" si="232"/>
        <v>58</v>
      </c>
      <c r="AC193" s="21">
        <f t="shared" si="232"/>
        <v>58</v>
      </c>
      <c r="AD193" s="21">
        <f t="shared" si="232"/>
        <v>58</v>
      </c>
      <c r="AE193" s="21">
        <f t="shared" si="232"/>
        <v>58</v>
      </c>
      <c r="AG193" s="8">
        <f t="shared" si="166"/>
        <v>2038</v>
      </c>
      <c r="AH193" s="20">
        <f>[25]Sheet1!$L213</f>
        <v>232</v>
      </c>
      <c r="AI193" s="21">
        <f t="shared" si="209"/>
        <v>232</v>
      </c>
      <c r="AJ193" s="21">
        <f t="shared" si="210"/>
        <v>232</v>
      </c>
      <c r="AK193" s="21">
        <f t="shared" si="211"/>
        <v>232</v>
      </c>
      <c r="AL193" s="21">
        <f t="shared" si="212"/>
        <v>232</v>
      </c>
      <c r="AM193" s="21">
        <f t="shared" si="213"/>
        <v>232</v>
      </c>
      <c r="AN193" s="21">
        <f t="shared" si="214"/>
        <v>232</v>
      </c>
      <c r="AO193" s="932">
        <f t="shared" si="215"/>
        <v>232</v>
      </c>
      <c r="AP193" s="21">
        <f t="shared" si="216"/>
        <v>232</v>
      </c>
      <c r="AQ193" s="21">
        <f t="shared" si="217"/>
        <v>232</v>
      </c>
      <c r="AR193" s="21">
        <f t="shared" si="218"/>
        <v>232</v>
      </c>
      <c r="AS193" s="21">
        <f t="shared" si="219"/>
        <v>232</v>
      </c>
      <c r="AU193" s="8">
        <f t="shared" si="197"/>
        <v>2038</v>
      </c>
      <c r="AV193" s="20">
        <f t="shared" si="220"/>
        <v>55.533999999999992</v>
      </c>
      <c r="AW193" s="21">
        <f t="shared" si="221"/>
        <v>55.533999999999992</v>
      </c>
      <c r="AX193" s="21">
        <f t="shared" si="222"/>
        <v>55.533999999999992</v>
      </c>
      <c r="AY193" s="21">
        <f t="shared" si="223"/>
        <v>55.533999999999992</v>
      </c>
      <c r="AZ193" s="21">
        <f t="shared" si="224"/>
        <v>55.533999999999992</v>
      </c>
      <c r="BA193" s="21">
        <f t="shared" si="225"/>
        <v>55.533999999999992</v>
      </c>
      <c r="BB193" s="21">
        <f t="shared" si="226"/>
        <v>55.533999999999992</v>
      </c>
      <c r="BC193" s="20">
        <f t="shared" si="227"/>
        <v>55.533999999999992</v>
      </c>
      <c r="BD193" s="21">
        <f t="shared" si="228"/>
        <v>55.533999999999992</v>
      </c>
      <c r="BE193" s="21">
        <f t="shared" si="229"/>
        <v>55.533999999999992</v>
      </c>
      <c r="BF193" s="21">
        <f t="shared" si="230"/>
        <v>55.533999999999992</v>
      </c>
      <c r="BG193" s="21">
        <f t="shared" si="231"/>
        <v>55.533999999999992</v>
      </c>
      <c r="BH193" s="21"/>
      <c r="BI193" s="8"/>
    </row>
    <row r="194" spans="19:61" ht="11.25" customHeight="1">
      <c r="S194" s="804">
        <f t="shared" si="208"/>
        <v>2039</v>
      </c>
      <c r="T194" s="922">
        <f>[25]Sheet1!$L214-[25]Sheet1!$L$176</f>
        <v>58</v>
      </c>
      <c r="U194" s="21">
        <f t="shared" si="232"/>
        <v>58</v>
      </c>
      <c r="V194" s="21">
        <f t="shared" si="232"/>
        <v>58</v>
      </c>
      <c r="W194" s="21">
        <f t="shared" si="232"/>
        <v>58</v>
      </c>
      <c r="X194" s="21">
        <f t="shared" si="232"/>
        <v>58</v>
      </c>
      <c r="Y194" s="21">
        <f t="shared" si="232"/>
        <v>58</v>
      </c>
      <c r="Z194" s="21">
        <f t="shared" si="232"/>
        <v>58</v>
      </c>
      <c r="AA194" s="21">
        <f t="shared" si="232"/>
        <v>58</v>
      </c>
      <c r="AB194" s="21">
        <f t="shared" si="232"/>
        <v>58</v>
      </c>
      <c r="AC194" s="21">
        <f t="shared" si="232"/>
        <v>58</v>
      </c>
      <c r="AD194" s="21">
        <f t="shared" si="232"/>
        <v>58</v>
      </c>
      <c r="AE194" s="21">
        <f t="shared" si="232"/>
        <v>58</v>
      </c>
      <c r="AG194" s="8">
        <f t="shared" si="166"/>
        <v>2039</v>
      </c>
      <c r="AH194" s="20">
        <f>[25]Sheet1!$L214</f>
        <v>232</v>
      </c>
      <c r="AI194" s="21">
        <f t="shared" si="209"/>
        <v>232</v>
      </c>
      <c r="AJ194" s="21">
        <f t="shared" si="210"/>
        <v>232</v>
      </c>
      <c r="AK194" s="21">
        <f t="shared" si="211"/>
        <v>232</v>
      </c>
      <c r="AL194" s="21">
        <f t="shared" si="212"/>
        <v>232</v>
      </c>
      <c r="AM194" s="21">
        <f t="shared" si="213"/>
        <v>232</v>
      </c>
      <c r="AN194" s="21">
        <f t="shared" si="214"/>
        <v>232</v>
      </c>
      <c r="AO194" s="932">
        <f t="shared" si="215"/>
        <v>232</v>
      </c>
      <c r="AP194" s="21">
        <f t="shared" si="216"/>
        <v>232</v>
      </c>
      <c r="AQ194" s="21">
        <f t="shared" si="217"/>
        <v>232</v>
      </c>
      <c r="AR194" s="21">
        <f t="shared" si="218"/>
        <v>232</v>
      </c>
      <c r="AS194" s="21">
        <f t="shared" si="219"/>
        <v>232</v>
      </c>
      <c r="AU194" s="8">
        <f t="shared" si="197"/>
        <v>2039</v>
      </c>
      <c r="AV194" s="20">
        <f t="shared" si="220"/>
        <v>55.533999999999992</v>
      </c>
      <c r="AW194" s="21">
        <f t="shared" si="221"/>
        <v>55.533999999999992</v>
      </c>
      <c r="AX194" s="21">
        <f t="shared" si="222"/>
        <v>55.533999999999992</v>
      </c>
      <c r="AY194" s="21">
        <f t="shared" si="223"/>
        <v>55.533999999999992</v>
      </c>
      <c r="AZ194" s="21">
        <f t="shared" si="224"/>
        <v>55.533999999999992</v>
      </c>
      <c r="BA194" s="21">
        <f t="shared" si="225"/>
        <v>55.533999999999992</v>
      </c>
      <c r="BB194" s="21">
        <f t="shared" si="226"/>
        <v>55.533999999999992</v>
      </c>
      <c r="BC194" s="20">
        <f t="shared" si="227"/>
        <v>55.533999999999992</v>
      </c>
      <c r="BD194" s="21">
        <f t="shared" si="228"/>
        <v>55.533999999999992</v>
      </c>
      <c r="BE194" s="21">
        <f t="shared" si="229"/>
        <v>55.533999999999992</v>
      </c>
      <c r="BF194" s="21">
        <f t="shared" si="230"/>
        <v>55.533999999999992</v>
      </c>
      <c r="BG194" s="21">
        <f t="shared" si="231"/>
        <v>55.533999999999992</v>
      </c>
    </row>
    <row r="195" spans="19:61" ht="11.25" customHeight="1">
      <c r="S195" s="804">
        <f t="shared" si="208"/>
        <v>2040</v>
      </c>
      <c r="T195" s="922">
        <f>[25]Sheet1!$L215-[25]Sheet1!$L$176</f>
        <v>58</v>
      </c>
      <c r="U195" s="21">
        <f t="shared" si="232"/>
        <v>58</v>
      </c>
      <c r="V195" s="21">
        <f t="shared" si="232"/>
        <v>58</v>
      </c>
      <c r="W195" s="21">
        <f t="shared" si="232"/>
        <v>58</v>
      </c>
      <c r="X195" s="21">
        <f t="shared" si="232"/>
        <v>58</v>
      </c>
      <c r="Y195" s="21">
        <f t="shared" si="232"/>
        <v>58</v>
      </c>
      <c r="Z195" s="21">
        <f t="shared" si="232"/>
        <v>58</v>
      </c>
      <c r="AA195" s="21">
        <f t="shared" si="232"/>
        <v>58</v>
      </c>
      <c r="AB195" s="21">
        <f t="shared" si="232"/>
        <v>58</v>
      </c>
      <c r="AC195" s="21">
        <f t="shared" si="232"/>
        <v>58</v>
      </c>
      <c r="AD195" s="21">
        <f t="shared" si="232"/>
        <v>58</v>
      </c>
      <c r="AE195" s="21">
        <f t="shared" si="232"/>
        <v>58</v>
      </c>
      <c r="AG195" s="8">
        <f t="shared" si="166"/>
        <v>2040</v>
      </c>
      <c r="AH195" s="20">
        <f>[25]Sheet1!$L215</f>
        <v>232</v>
      </c>
      <c r="AI195" s="21">
        <f t="shared" si="209"/>
        <v>232</v>
      </c>
      <c r="AJ195" s="21">
        <f t="shared" si="210"/>
        <v>232</v>
      </c>
      <c r="AK195" s="21">
        <f t="shared" si="211"/>
        <v>232</v>
      </c>
      <c r="AL195" s="21">
        <f t="shared" si="212"/>
        <v>232</v>
      </c>
      <c r="AM195" s="21">
        <f t="shared" si="213"/>
        <v>232</v>
      </c>
      <c r="AN195" s="21">
        <f t="shared" si="214"/>
        <v>232</v>
      </c>
      <c r="AO195" s="932">
        <f t="shared" si="215"/>
        <v>232</v>
      </c>
      <c r="AP195" s="21">
        <f t="shared" si="216"/>
        <v>232</v>
      </c>
      <c r="AQ195" s="21">
        <f t="shared" si="217"/>
        <v>232</v>
      </c>
      <c r="AR195" s="21">
        <f t="shared" si="218"/>
        <v>232</v>
      </c>
      <c r="AS195" s="21">
        <f t="shared" si="219"/>
        <v>232</v>
      </c>
      <c r="AU195" s="8">
        <f t="shared" si="197"/>
        <v>2040</v>
      </c>
      <c r="AV195" s="20">
        <f t="shared" si="220"/>
        <v>55.533999999999992</v>
      </c>
      <c r="AW195" s="21">
        <f t="shared" si="221"/>
        <v>55.533999999999992</v>
      </c>
      <c r="AX195" s="21">
        <f t="shared" si="222"/>
        <v>55.533999999999992</v>
      </c>
      <c r="AY195" s="21">
        <f t="shared" si="223"/>
        <v>55.533999999999992</v>
      </c>
      <c r="AZ195" s="21">
        <f t="shared" si="224"/>
        <v>55.533999999999992</v>
      </c>
      <c r="BA195" s="21">
        <f t="shared" si="225"/>
        <v>55.533999999999992</v>
      </c>
      <c r="BB195" s="21">
        <f t="shared" si="226"/>
        <v>55.533999999999992</v>
      </c>
      <c r="BC195" s="20">
        <f t="shared" si="227"/>
        <v>55.533999999999992</v>
      </c>
      <c r="BD195" s="21">
        <f t="shared" si="228"/>
        <v>55.533999999999992</v>
      </c>
      <c r="BE195" s="21">
        <f t="shared" si="229"/>
        <v>55.533999999999992</v>
      </c>
      <c r="BF195" s="21">
        <f t="shared" si="230"/>
        <v>55.533999999999992</v>
      </c>
      <c r="BG195" s="21">
        <f t="shared" si="231"/>
        <v>55.533999999999992</v>
      </c>
    </row>
    <row r="196" spans="19:61" ht="11.25" customHeight="1">
      <c r="AG196" s="8"/>
    </row>
    <row r="197" spans="19:61" ht="11.25" customHeight="1">
      <c r="S197" s="317" t="s">
        <v>252</v>
      </c>
      <c r="AG197" s="317" t="s">
        <v>252</v>
      </c>
    </row>
  </sheetData>
  <mergeCells count="4">
    <mergeCell ref="C5:G5"/>
    <mergeCell ref="C6:G6"/>
    <mergeCell ref="I6:O6"/>
    <mergeCell ref="I5:O5"/>
  </mergeCells>
  <phoneticPr fontId="52" type="noConversion"/>
  <hyperlinks>
    <hyperlink ref="AG151" r:id="rId1" display="^@ Meter"/>
  </hyperlinks>
  <printOptions horizontalCentered="1"/>
  <pageMargins left="0.25" right="0.25" top="0.5" bottom="0.75" header="0" footer="0.25"/>
  <pageSetup orientation="landscape" horizontalDpi="4294967292" verticalDpi="4294967292" r:id="rId2"/>
  <headerFooter alignWithMargins="0">
    <oddFooter>&amp;LLoad Forecasting : &amp;D&amp;R14LGBRA-NRGPOD1-6-DOC 38
14BGBRA-STAFFROG1-19A-DOC 38</oddFooter>
  </headerFooter>
  <rowBreaks count="1" manualBreakCount="1">
    <brk id="59" max="65535" man="1"/>
  </rowBreak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EZ2124"/>
  <sheetViews>
    <sheetView showGridLines="0" tabSelected="1" topLeftCell="M562" zoomScale="80" zoomScaleNormal="80" workbookViewId="0">
      <selection activeCell="AR47" sqref="AR47"/>
    </sheetView>
  </sheetViews>
  <sheetFormatPr defaultColWidth="9.140625" defaultRowHeight="12.75"/>
  <cols>
    <col min="1" max="1" width="9.140625" style="2"/>
    <col min="2" max="2" width="10.7109375" style="2" customWidth="1"/>
    <col min="3" max="7" width="9.28515625" style="2" bestFit="1" customWidth="1"/>
    <col min="8" max="8" width="9.85546875" style="2" customWidth="1"/>
    <col min="9" max="13" width="9.28515625" style="2" bestFit="1" customWidth="1"/>
    <col min="14" max="14" width="13" style="2" customWidth="1"/>
    <col min="15" max="16" width="9.140625" style="2"/>
    <col min="17" max="17" width="10.140625" style="2" customWidth="1"/>
    <col min="18" max="16384" width="9.140625" style="2"/>
  </cols>
  <sheetData>
    <row r="1" spans="1:29">
      <c r="A1" s="31" t="s">
        <v>255</v>
      </c>
      <c r="P1" s="31" t="s">
        <v>537</v>
      </c>
      <c r="W1" s="2" t="s">
        <v>310</v>
      </c>
    </row>
    <row r="2" spans="1:29">
      <c r="A2" s="27" t="s">
        <v>9</v>
      </c>
      <c r="B2" s="27" t="s">
        <v>28</v>
      </c>
      <c r="C2" s="27" t="s">
        <v>29</v>
      </c>
      <c r="D2" s="27" t="s">
        <v>30</v>
      </c>
      <c r="E2" s="27" t="s">
        <v>31</v>
      </c>
      <c r="F2" s="27" t="s">
        <v>32</v>
      </c>
      <c r="G2" s="27" t="s">
        <v>33</v>
      </c>
      <c r="H2" s="27" t="s">
        <v>34</v>
      </c>
      <c r="I2" s="27" t="s">
        <v>35</v>
      </c>
      <c r="J2" s="27" t="s">
        <v>36</v>
      </c>
      <c r="K2" s="27" t="s">
        <v>37</v>
      </c>
      <c r="L2" s="27" t="s">
        <v>38</v>
      </c>
      <c r="M2" s="27" t="s">
        <v>39</v>
      </c>
      <c r="N2" s="27" t="s">
        <v>53</v>
      </c>
      <c r="P2" s="27" t="s">
        <v>9</v>
      </c>
      <c r="Q2" s="27" t="s">
        <v>28</v>
      </c>
      <c r="R2" s="27" t="s">
        <v>29</v>
      </c>
      <c r="S2" s="27" t="s">
        <v>30</v>
      </c>
      <c r="T2" s="27" t="s">
        <v>31</v>
      </c>
      <c r="U2" s="27" t="s">
        <v>32</v>
      </c>
      <c r="V2" s="27" t="s">
        <v>33</v>
      </c>
      <c r="W2" s="27" t="s">
        <v>34</v>
      </c>
      <c r="X2" s="27" t="s">
        <v>35</v>
      </c>
      <c r="Y2" s="27" t="s">
        <v>36</v>
      </c>
      <c r="Z2" s="27" t="s">
        <v>37</v>
      </c>
      <c r="AA2" s="27" t="s">
        <v>38</v>
      </c>
      <c r="AB2" s="27" t="s">
        <v>39</v>
      </c>
      <c r="AC2" s="27" t="s">
        <v>53</v>
      </c>
    </row>
    <row r="3" spans="1:29">
      <c r="A3" s="2">
        <v>2010</v>
      </c>
      <c r="B3" s="34">
        <f>B83+B163+B363</f>
        <v>12742.046058474749</v>
      </c>
      <c r="C3" s="34">
        <f t="shared" ref="C3:M3" si="0">C83+C163+C363</f>
        <v>9109.8100584747499</v>
      </c>
      <c r="D3" s="34">
        <f t="shared" si="0"/>
        <v>8243.4470584747487</v>
      </c>
      <c r="E3" s="34">
        <f t="shared" si="0"/>
        <v>6148.2010584747495</v>
      </c>
      <c r="F3" s="34">
        <f t="shared" si="0"/>
        <v>8546.3560584747502</v>
      </c>
      <c r="G3" s="34">
        <f t="shared" si="0"/>
        <v>9492.627058474749</v>
      </c>
      <c r="H3" s="34">
        <f t="shared" si="0"/>
        <v>9570.4280584747503</v>
      </c>
      <c r="I3" s="34">
        <f t="shared" si="0"/>
        <v>9434.984916226158</v>
      </c>
      <c r="J3" s="34">
        <f t="shared" si="0"/>
        <v>8774.5787096371096</v>
      </c>
      <c r="K3" s="34">
        <f t="shared" si="0"/>
        <v>7653.7618650204986</v>
      </c>
      <c r="L3" s="34">
        <f t="shared" si="0"/>
        <v>6127.4864954304567</v>
      </c>
      <c r="M3" s="34">
        <f t="shared" si="0"/>
        <v>10476.981395506766</v>
      </c>
      <c r="N3" s="25">
        <f t="shared" ref="N3:N6" si="1">AVERAGE(B3:M3)</f>
        <v>8860.0590659286845</v>
      </c>
      <c r="P3" s="2">
        <v>1996</v>
      </c>
      <c r="Q3" s="410">
        <v>8668</v>
      </c>
      <c r="R3" s="410">
        <v>8807</v>
      </c>
      <c r="S3" s="410">
        <v>7246</v>
      </c>
      <c r="T3" s="410">
        <v>5614</v>
      </c>
      <c r="U3" s="410">
        <v>6360</v>
      </c>
      <c r="V3" s="410">
        <v>6768</v>
      </c>
      <c r="W3" s="410">
        <v>7164</v>
      </c>
      <c r="X3" s="410">
        <v>6802</v>
      </c>
      <c r="Y3" s="410">
        <v>7052</v>
      </c>
      <c r="Z3" s="410">
        <v>5508</v>
      </c>
      <c r="AA3" s="410">
        <v>5190</v>
      </c>
      <c r="AB3" s="410">
        <v>7286</v>
      </c>
      <c r="AC3" s="25">
        <f t="shared" ref="AC3:AC19" si="2">AVERAGE(Q3:AB3)</f>
        <v>6872.083333333333</v>
      </c>
    </row>
    <row r="4" spans="1:29">
      <c r="A4" s="2">
        <v>2011</v>
      </c>
      <c r="B4" s="34">
        <f t="shared" ref="B4:M4" si="3">B84+B164+B364</f>
        <v>9892.648104628588</v>
      </c>
      <c r="C4" s="34">
        <f t="shared" si="3"/>
        <v>7402.8481046285888</v>
      </c>
      <c r="D4" s="34">
        <f t="shared" si="3"/>
        <v>6185.7481046285893</v>
      </c>
      <c r="E4" s="34">
        <f t="shared" si="3"/>
        <v>8083.8481046285888</v>
      </c>
      <c r="F4" s="34">
        <f t="shared" si="3"/>
        <v>8327.8219798144564</v>
      </c>
      <c r="G4" s="34">
        <f t="shared" si="3"/>
        <v>9167.8219798144564</v>
      </c>
      <c r="H4" s="34">
        <f t="shared" si="3"/>
        <v>8878.8219798144564</v>
      </c>
      <c r="I4" s="34">
        <f t="shared" si="3"/>
        <v>9176.8219798144564</v>
      </c>
      <c r="J4" s="34">
        <f t="shared" si="3"/>
        <v>8270.8219798144564</v>
      </c>
      <c r="K4" s="34">
        <f t="shared" si="3"/>
        <v>7188.8219798144564</v>
      </c>
      <c r="L4" s="34">
        <f t="shared" si="3"/>
        <v>6167.7219798144561</v>
      </c>
      <c r="M4" s="34">
        <f t="shared" si="3"/>
        <v>5562.8219798144564</v>
      </c>
      <c r="N4" s="25">
        <f t="shared" si="1"/>
        <v>7858.8806880858328</v>
      </c>
      <c r="P4" s="2">
        <f>P3+1</f>
        <v>1997</v>
      </c>
      <c r="Q4" s="410">
        <v>8066</v>
      </c>
      <c r="R4" s="410">
        <v>5794</v>
      </c>
      <c r="S4" s="410">
        <v>5028</v>
      </c>
      <c r="T4" s="410">
        <v>5085</v>
      </c>
      <c r="U4" s="410">
        <v>6798</v>
      </c>
      <c r="V4" s="410">
        <v>6964</v>
      </c>
      <c r="W4" s="410">
        <v>7462</v>
      </c>
      <c r="X4" s="410">
        <v>7300</v>
      </c>
      <c r="Y4" s="410">
        <v>6932</v>
      </c>
      <c r="Z4" s="410">
        <v>6426</v>
      </c>
      <c r="AA4" s="410">
        <v>5239</v>
      </c>
      <c r="AB4" s="410">
        <v>6608</v>
      </c>
      <c r="AC4" s="25">
        <f t="shared" si="2"/>
        <v>6475.166666666667</v>
      </c>
    </row>
    <row r="5" spans="1:29">
      <c r="A5" s="2">
        <v>2012</v>
      </c>
      <c r="B5" s="34">
        <f t="shared" ref="B5:M5" si="4">B85+B165+B365</f>
        <v>8728.6080000000002</v>
      </c>
      <c r="C5" s="34">
        <f t="shared" si="4"/>
        <v>8539.6080000000002</v>
      </c>
      <c r="D5" s="34">
        <f t="shared" si="4"/>
        <v>6669.6080000000002</v>
      </c>
      <c r="E5" s="34">
        <f t="shared" si="4"/>
        <v>7408.6080000000002</v>
      </c>
      <c r="F5" s="34">
        <f t="shared" si="4"/>
        <v>8366.6080000000002</v>
      </c>
      <c r="G5" s="34">
        <f t="shared" si="4"/>
        <v>8748.6080000000002</v>
      </c>
      <c r="H5" s="34">
        <f t="shared" si="4"/>
        <v>8926.6080000000002</v>
      </c>
      <c r="I5" s="34">
        <f t="shared" si="4"/>
        <v>8955.6080000000002</v>
      </c>
      <c r="J5" s="34">
        <f t="shared" si="4"/>
        <v>8557.6080000000002</v>
      </c>
      <c r="K5" s="34">
        <f t="shared" si="4"/>
        <v>8010.6080000000002</v>
      </c>
      <c r="L5" s="34">
        <f t="shared" si="4"/>
        <v>5819.6080000000002</v>
      </c>
      <c r="M5" s="34">
        <f t="shared" si="4"/>
        <v>6717.6080000000002</v>
      </c>
      <c r="N5" s="25">
        <f t="shared" si="1"/>
        <v>7954.1080000000029</v>
      </c>
      <c r="P5" s="2">
        <f t="shared" ref="P5:P37" si="5">P4+1</f>
        <v>1998</v>
      </c>
      <c r="Q5" s="410">
        <v>6097</v>
      </c>
      <c r="R5" s="410">
        <v>6156</v>
      </c>
      <c r="S5" s="410">
        <v>6885</v>
      </c>
      <c r="T5" s="410">
        <v>5630</v>
      </c>
      <c r="U5" s="410">
        <v>7066</v>
      </c>
      <c r="V5" s="410">
        <v>8109</v>
      </c>
      <c r="W5" s="410">
        <v>8010</v>
      </c>
      <c r="X5" s="410">
        <v>7812</v>
      </c>
      <c r="Y5" s="410">
        <v>7310</v>
      </c>
      <c r="Z5" s="410">
        <v>7034</v>
      </c>
      <c r="AA5" s="410">
        <v>5387</v>
      </c>
      <c r="AB5" s="410">
        <v>5948</v>
      </c>
      <c r="AC5" s="25">
        <f t="shared" si="2"/>
        <v>6787</v>
      </c>
    </row>
    <row r="6" spans="1:29">
      <c r="A6" s="2">
        <v>2013</v>
      </c>
      <c r="B6" s="34">
        <f t="shared" ref="B6:M6" si="6">B86+B166+B366</f>
        <v>6376.73</v>
      </c>
      <c r="C6" s="34">
        <f t="shared" si="6"/>
        <v>7976.8</v>
      </c>
      <c r="D6" s="34">
        <f t="shared" si="6"/>
        <v>7812.22</v>
      </c>
      <c r="E6" s="34">
        <f t="shared" si="6"/>
        <v>7263.17</v>
      </c>
      <c r="F6" s="34">
        <f t="shared" si="6"/>
        <v>8071.34</v>
      </c>
      <c r="G6" s="34">
        <f t="shared" si="6"/>
        <v>8634.26</v>
      </c>
      <c r="H6" s="880">
        <f t="shared" si="6"/>
        <v>9274.83</v>
      </c>
      <c r="I6" s="880">
        <f t="shared" si="6"/>
        <v>9414.86</v>
      </c>
      <c r="J6" s="880">
        <f t="shared" si="6"/>
        <v>8733.01</v>
      </c>
      <c r="K6" s="880">
        <f t="shared" si="6"/>
        <v>8063.42</v>
      </c>
      <c r="L6" s="880">
        <f t="shared" si="6"/>
        <v>6633.29</v>
      </c>
      <c r="M6" s="880">
        <f t="shared" si="6"/>
        <v>8189.51</v>
      </c>
      <c r="N6" s="25">
        <f t="shared" si="1"/>
        <v>8036.953333333332</v>
      </c>
      <c r="P6" s="2">
        <f t="shared" si="5"/>
        <v>1999</v>
      </c>
      <c r="Q6" s="410">
        <v>8929</v>
      </c>
      <c r="R6" s="410">
        <v>7460</v>
      </c>
      <c r="S6" s="410">
        <v>6311</v>
      </c>
      <c r="T6" s="410">
        <v>6650</v>
      </c>
      <c r="U6" s="410">
        <v>7226</v>
      </c>
      <c r="V6" s="410">
        <v>7571</v>
      </c>
      <c r="W6" s="410">
        <v>8179</v>
      </c>
      <c r="X6" s="410">
        <v>8351</v>
      </c>
      <c r="Y6" s="410">
        <v>7602</v>
      </c>
      <c r="Z6" s="410">
        <v>6840</v>
      </c>
      <c r="AA6" s="410">
        <v>5731</v>
      </c>
      <c r="AB6" s="410">
        <v>7414</v>
      </c>
      <c r="AC6" s="25">
        <f t="shared" si="2"/>
        <v>7355.333333333333</v>
      </c>
    </row>
    <row r="7" spans="1:29">
      <c r="A7" s="2">
        <v>2014</v>
      </c>
      <c r="B7" s="880">
        <f t="shared" ref="B7:M7" si="7">B87+B167+B367</f>
        <v>9972.93</v>
      </c>
      <c r="C7" s="880">
        <f t="shared" si="7"/>
        <v>8453.65</v>
      </c>
      <c r="D7" s="880">
        <f t="shared" si="7"/>
        <v>7479.28</v>
      </c>
      <c r="E7" s="880">
        <f t="shared" si="7"/>
        <v>7537.21</v>
      </c>
      <c r="F7" s="880">
        <f t="shared" si="7"/>
        <v>8467.42</v>
      </c>
      <c r="G7" s="880">
        <f t="shared" si="7"/>
        <v>9021.2900000000009</v>
      </c>
      <c r="H7" s="880">
        <f t="shared" si="7"/>
        <v>9326.99</v>
      </c>
      <c r="I7" s="880">
        <f t="shared" si="7"/>
        <v>9508.98</v>
      </c>
      <c r="J7" s="880">
        <f t="shared" si="7"/>
        <v>8778.18</v>
      </c>
      <c r="K7" s="880">
        <f t="shared" si="7"/>
        <v>8192.2099999999991</v>
      </c>
      <c r="L7" s="880">
        <f t="shared" si="7"/>
        <v>6697.17</v>
      </c>
      <c r="M7" s="880">
        <f t="shared" si="7"/>
        <v>8763.59</v>
      </c>
      <c r="N7" s="25">
        <f t="shared" ref="N7:N27" si="8">AVERAGE(B7:M7)</f>
        <v>8516.5749999999989</v>
      </c>
      <c r="P7" s="2">
        <f t="shared" si="5"/>
        <v>2000</v>
      </c>
      <c r="Q7" s="410">
        <v>9293</v>
      </c>
      <c r="R7" s="410">
        <v>8127</v>
      </c>
      <c r="S7" s="410">
        <v>5912</v>
      </c>
      <c r="T7" s="410">
        <v>5913</v>
      </c>
      <c r="U7" s="410">
        <v>8151</v>
      </c>
      <c r="V7" s="410">
        <v>8139</v>
      </c>
      <c r="W7" s="410">
        <v>8344</v>
      </c>
      <c r="X7" s="410">
        <v>8484</v>
      </c>
      <c r="Y7" s="410">
        <v>7998</v>
      </c>
      <c r="Z7" s="410">
        <v>7683</v>
      </c>
      <c r="AA7" s="410">
        <v>7589</v>
      </c>
      <c r="AB7" s="410">
        <v>9187</v>
      </c>
      <c r="AC7" s="25">
        <f t="shared" si="2"/>
        <v>7901.666666666667</v>
      </c>
    </row>
    <row r="8" spans="1:29">
      <c r="A8" s="2">
        <v>2015</v>
      </c>
      <c r="B8" s="880">
        <f t="shared" ref="B8:M8" si="9">B88+B168+B368</f>
        <v>10257.049999999999</v>
      </c>
      <c r="C8" s="880">
        <f t="shared" si="9"/>
        <v>9126.67</v>
      </c>
      <c r="D8" s="880">
        <f t="shared" si="9"/>
        <v>8188.3</v>
      </c>
      <c r="E8" s="880">
        <f t="shared" si="9"/>
        <v>7781.19</v>
      </c>
      <c r="F8" s="880">
        <f t="shared" si="9"/>
        <v>8693.5400000000009</v>
      </c>
      <c r="G8" s="880">
        <f t="shared" si="9"/>
        <v>9246.4500000000007</v>
      </c>
      <c r="H8" s="880">
        <f t="shared" si="9"/>
        <v>9562.11</v>
      </c>
      <c r="I8" s="880">
        <f t="shared" si="9"/>
        <v>9750.06</v>
      </c>
      <c r="J8" s="880">
        <f t="shared" si="9"/>
        <v>8984.39</v>
      </c>
      <c r="K8" s="880">
        <f t="shared" si="9"/>
        <v>8472.2900000000009</v>
      </c>
      <c r="L8" s="880">
        <f t="shared" si="9"/>
        <v>6902.19</v>
      </c>
      <c r="M8" s="880">
        <f t="shared" si="9"/>
        <v>8878.7000000000007</v>
      </c>
      <c r="N8" s="25">
        <f t="shared" si="8"/>
        <v>8820.244999999999</v>
      </c>
      <c r="P8" s="2">
        <f t="shared" si="5"/>
        <v>2001</v>
      </c>
      <c r="Q8" s="410">
        <v>9839</v>
      </c>
      <c r="R8" s="410">
        <v>7735</v>
      </c>
      <c r="S8" s="410">
        <v>6271</v>
      </c>
      <c r="T8" s="410">
        <v>7157</v>
      </c>
      <c r="U8" s="410">
        <v>7752</v>
      </c>
      <c r="V8" s="410">
        <v>8269</v>
      </c>
      <c r="W8" s="410">
        <v>8163</v>
      </c>
      <c r="X8" s="410">
        <v>8471</v>
      </c>
      <c r="Y8" s="410">
        <v>7930</v>
      </c>
      <c r="Z8" s="410">
        <v>6909</v>
      </c>
      <c r="AA8" s="410">
        <v>5386</v>
      </c>
      <c r="AB8" s="410">
        <v>6465</v>
      </c>
      <c r="AC8" s="25">
        <f t="shared" si="2"/>
        <v>7528.916666666667</v>
      </c>
    </row>
    <row r="9" spans="1:29">
      <c r="A9" s="2">
        <v>2016</v>
      </c>
      <c r="B9" s="880">
        <f t="shared" ref="B9:M9" si="10">B89+B169+B369</f>
        <v>10511.27</v>
      </c>
      <c r="C9" s="880">
        <f t="shared" si="10"/>
        <v>9337.7000000000007</v>
      </c>
      <c r="D9" s="880">
        <f t="shared" si="10"/>
        <v>8445.41</v>
      </c>
      <c r="E9" s="880">
        <f t="shared" si="10"/>
        <v>8037.27</v>
      </c>
      <c r="F9" s="880">
        <f t="shared" si="10"/>
        <v>9012.67</v>
      </c>
      <c r="G9" s="880">
        <f t="shared" si="10"/>
        <v>9318.6200000000008</v>
      </c>
      <c r="H9" s="880">
        <f t="shared" si="10"/>
        <v>9641.33</v>
      </c>
      <c r="I9" s="880">
        <f t="shared" si="10"/>
        <v>9865.23</v>
      </c>
      <c r="J9" s="880">
        <f t="shared" si="10"/>
        <v>9036.51</v>
      </c>
      <c r="K9" s="880">
        <f t="shared" si="10"/>
        <v>8597.35</v>
      </c>
      <c r="L9" s="880">
        <f t="shared" si="10"/>
        <v>6955.27</v>
      </c>
      <c r="M9" s="880">
        <f t="shared" si="10"/>
        <v>8841.83</v>
      </c>
      <c r="N9" s="25">
        <f t="shared" si="8"/>
        <v>8966.7049999999999</v>
      </c>
      <c r="P9" s="2">
        <f t="shared" si="5"/>
        <v>2002</v>
      </c>
      <c r="Q9" s="410">
        <v>9721</v>
      </c>
      <c r="R9" s="410">
        <v>8941</v>
      </c>
      <c r="S9" s="410">
        <v>8345</v>
      </c>
      <c r="T9" s="410">
        <v>7208</v>
      </c>
      <c r="U9" s="410">
        <v>8127</v>
      </c>
      <c r="V9" s="410">
        <v>8076</v>
      </c>
      <c r="W9" s="410">
        <v>9034</v>
      </c>
      <c r="X9" s="410">
        <v>8372</v>
      </c>
      <c r="Y9" s="410">
        <v>8362</v>
      </c>
      <c r="Z9" s="410">
        <v>7920</v>
      </c>
      <c r="AA9" s="410">
        <v>6978</v>
      </c>
      <c r="AB9" s="410">
        <v>7828</v>
      </c>
      <c r="AC9" s="25">
        <f t="shared" si="2"/>
        <v>8242.6666666666661</v>
      </c>
    </row>
    <row r="10" spans="1:29">
      <c r="A10" s="2">
        <v>2017</v>
      </c>
      <c r="B10" s="880">
        <f t="shared" ref="B10:M10" si="11">B90+B170+B370</f>
        <v>10472.66</v>
      </c>
      <c r="C10" s="880">
        <f t="shared" si="11"/>
        <v>9280.94</v>
      </c>
      <c r="D10" s="880">
        <f t="shared" si="11"/>
        <v>8212.39</v>
      </c>
      <c r="E10" s="880">
        <f t="shared" si="11"/>
        <v>8010.62</v>
      </c>
      <c r="F10" s="880">
        <f t="shared" si="11"/>
        <v>9017.3799999999992</v>
      </c>
      <c r="G10" s="880">
        <f t="shared" si="11"/>
        <v>9476.0400000000009</v>
      </c>
      <c r="H10" s="880">
        <f t="shared" si="11"/>
        <v>9805.5400000000009</v>
      </c>
      <c r="I10" s="880">
        <f t="shared" si="11"/>
        <v>10064.18</v>
      </c>
      <c r="J10" s="880">
        <f t="shared" si="11"/>
        <v>9191.58</v>
      </c>
      <c r="K10" s="880">
        <f t="shared" si="11"/>
        <v>8728.4500000000007</v>
      </c>
      <c r="L10" s="880">
        <f t="shared" si="11"/>
        <v>7039</v>
      </c>
      <c r="M10" s="880">
        <f t="shared" si="11"/>
        <v>8821.5300000000007</v>
      </c>
      <c r="N10" s="25">
        <f t="shared" si="8"/>
        <v>9010.0258333333331</v>
      </c>
      <c r="P10" s="2">
        <f t="shared" si="5"/>
        <v>2003</v>
      </c>
      <c r="Q10" s="410">
        <v>10507</v>
      </c>
      <c r="R10" s="410">
        <v>6508</v>
      </c>
      <c r="S10" s="410">
        <v>7178</v>
      </c>
      <c r="T10" s="410">
        <v>7209</v>
      </c>
      <c r="U10" s="410">
        <v>8037</v>
      </c>
      <c r="V10" s="410">
        <v>8287</v>
      </c>
      <c r="W10" s="410">
        <v>8476</v>
      </c>
      <c r="X10" s="410">
        <v>8254</v>
      </c>
      <c r="Y10" s="410">
        <v>7982</v>
      </c>
      <c r="Z10" s="410">
        <v>7383</v>
      </c>
      <c r="AA10" s="410">
        <v>6887</v>
      </c>
      <c r="AB10" s="410">
        <v>8172</v>
      </c>
      <c r="AC10" s="25">
        <f t="shared" si="2"/>
        <v>7906.666666666667</v>
      </c>
    </row>
    <row r="11" spans="1:29">
      <c r="A11" s="2">
        <v>2018</v>
      </c>
      <c r="B11" s="880">
        <f t="shared" ref="B11:M11" si="12">B91+B171+B371</f>
        <v>10741.85</v>
      </c>
      <c r="C11" s="880">
        <f t="shared" si="12"/>
        <v>9369.94</v>
      </c>
      <c r="D11" s="880">
        <f t="shared" si="12"/>
        <v>8308.5300000000007</v>
      </c>
      <c r="E11" s="880">
        <f t="shared" si="12"/>
        <v>8276.75</v>
      </c>
      <c r="F11" s="880">
        <f t="shared" si="12"/>
        <v>9344.48</v>
      </c>
      <c r="G11" s="880">
        <f t="shared" si="12"/>
        <v>9706.17</v>
      </c>
      <c r="H11" s="880">
        <f t="shared" si="12"/>
        <v>9949.64</v>
      </c>
      <c r="I11" s="880">
        <f t="shared" si="12"/>
        <v>10213.219999999999</v>
      </c>
      <c r="J11" s="880">
        <f t="shared" si="12"/>
        <v>9310.61</v>
      </c>
      <c r="K11" s="880">
        <f t="shared" si="12"/>
        <v>8863.48</v>
      </c>
      <c r="L11" s="880">
        <f t="shared" si="12"/>
        <v>7109.05</v>
      </c>
      <c r="M11" s="880">
        <f t="shared" si="12"/>
        <v>8889.7999999999993</v>
      </c>
      <c r="N11" s="25">
        <f t="shared" si="8"/>
        <v>9173.626666666667</v>
      </c>
      <c r="P11" s="2">
        <f t="shared" si="5"/>
        <v>2004</v>
      </c>
      <c r="Q11" s="410">
        <v>8748.2999999999993</v>
      </c>
      <c r="R11" s="410">
        <v>7791.3</v>
      </c>
      <c r="S11" s="410">
        <v>6017.3</v>
      </c>
      <c r="T11" s="410">
        <v>6760.3</v>
      </c>
      <c r="U11" s="410">
        <v>8446.2999999999993</v>
      </c>
      <c r="V11" s="410">
        <v>9125.2999999999993</v>
      </c>
      <c r="W11" s="410">
        <v>9058.2999999999993</v>
      </c>
      <c r="X11" s="410">
        <v>8842.2999999999993</v>
      </c>
      <c r="Y11" s="410">
        <v>8628.2999999999993</v>
      </c>
      <c r="Z11" s="410">
        <v>8324.2999999999993</v>
      </c>
      <c r="AA11" s="410">
        <v>7313.3</v>
      </c>
      <c r="AB11" s="410">
        <v>8303.2999999999993</v>
      </c>
      <c r="AC11" s="25">
        <f t="shared" si="2"/>
        <v>8113.2166666666681</v>
      </c>
    </row>
    <row r="12" spans="1:29">
      <c r="A12" s="2">
        <v>2019</v>
      </c>
      <c r="B12" s="880">
        <f t="shared" ref="B12:M12" si="13">B92+B172+B372</f>
        <v>10895.05</v>
      </c>
      <c r="C12" s="880">
        <f t="shared" si="13"/>
        <v>9493.07</v>
      </c>
      <c r="D12" s="880">
        <f t="shared" si="13"/>
        <v>8441.66</v>
      </c>
      <c r="E12" s="880">
        <f t="shared" si="13"/>
        <v>8455.7999999999993</v>
      </c>
      <c r="F12" s="880">
        <f t="shared" si="13"/>
        <v>9704.57</v>
      </c>
      <c r="G12" s="880">
        <f t="shared" si="13"/>
        <v>10127.219999999999</v>
      </c>
      <c r="H12" s="880">
        <f t="shared" si="13"/>
        <v>10374.73</v>
      </c>
      <c r="I12" s="880">
        <f t="shared" si="13"/>
        <v>10643.27</v>
      </c>
      <c r="J12" s="880">
        <f t="shared" si="13"/>
        <v>9713.7199999999993</v>
      </c>
      <c r="K12" s="880">
        <f t="shared" si="13"/>
        <v>9278.61</v>
      </c>
      <c r="L12" s="880">
        <f t="shared" si="13"/>
        <v>7465.18</v>
      </c>
      <c r="M12" s="880">
        <f t="shared" si="13"/>
        <v>9239.9</v>
      </c>
      <c r="N12" s="25">
        <f t="shared" si="8"/>
        <v>9486.0650000000005</v>
      </c>
      <c r="P12" s="2">
        <f t="shared" si="5"/>
        <v>2005</v>
      </c>
      <c r="Q12" s="410">
        <v>10226</v>
      </c>
      <c r="R12" s="410">
        <v>7398</v>
      </c>
      <c r="S12" s="410">
        <v>7610</v>
      </c>
      <c r="T12" s="410">
        <v>7012</v>
      </c>
      <c r="U12" s="410">
        <v>8478</v>
      </c>
      <c r="V12" s="410">
        <v>8927</v>
      </c>
      <c r="W12" s="410">
        <v>9671</v>
      </c>
      <c r="X12" s="410">
        <v>9686</v>
      </c>
      <c r="Y12" s="410">
        <v>9095</v>
      </c>
      <c r="Z12" s="410">
        <v>8301</v>
      </c>
      <c r="AA12" s="410">
        <v>6424</v>
      </c>
      <c r="AB12" s="410">
        <v>7772</v>
      </c>
      <c r="AC12" s="25">
        <f t="shared" si="2"/>
        <v>8383.3333333333339</v>
      </c>
    </row>
    <row r="13" spans="1:29">
      <c r="A13" s="2">
        <v>2020</v>
      </c>
      <c r="B13" s="880">
        <f t="shared" ref="B13:M13" si="14">B93+B173+B373</f>
        <v>11264.24</v>
      </c>
      <c r="C13" s="880">
        <f t="shared" si="14"/>
        <v>9834.07</v>
      </c>
      <c r="D13" s="880">
        <f t="shared" si="14"/>
        <v>8789.7000000000007</v>
      </c>
      <c r="E13" s="880">
        <f t="shared" si="14"/>
        <v>8851.85</v>
      </c>
      <c r="F13" s="880">
        <f t="shared" si="14"/>
        <v>10113.67</v>
      </c>
      <c r="G13" s="880">
        <f t="shared" si="14"/>
        <v>10270.36</v>
      </c>
      <c r="H13" s="880">
        <f t="shared" si="14"/>
        <v>10522.92</v>
      </c>
      <c r="I13" s="880">
        <f t="shared" si="14"/>
        <v>10796.41</v>
      </c>
      <c r="J13" s="880">
        <f t="shared" si="14"/>
        <v>9838.75</v>
      </c>
      <c r="K13" s="880">
        <f t="shared" si="14"/>
        <v>9418.74</v>
      </c>
      <c r="L13" s="880">
        <f t="shared" si="14"/>
        <v>7545.23</v>
      </c>
      <c r="M13" s="880">
        <f t="shared" si="14"/>
        <v>9316.09</v>
      </c>
      <c r="N13" s="25">
        <f t="shared" si="8"/>
        <v>9713.5025000000005</v>
      </c>
      <c r="P13" s="2">
        <f t="shared" si="5"/>
        <v>2006</v>
      </c>
      <c r="Q13" s="410">
        <v>7870</v>
      </c>
      <c r="R13" s="410">
        <v>10095</v>
      </c>
      <c r="S13" s="410">
        <v>6441</v>
      </c>
      <c r="T13" s="410">
        <v>7837</v>
      </c>
      <c r="U13" s="410">
        <v>8382</v>
      </c>
      <c r="V13" s="410">
        <v>9349</v>
      </c>
      <c r="W13" s="410">
        <v>9462</v>
      </c>
      <c r="X13" s="410">
        <v>9689</v>
      </c>
      <c r="Y13" s="410">
        <v>8794</v>
      </c>
      <c r="Z13" s="410">
        <v>8286</v>
      </c>
      <c r="AA13" s="410">
        <v>6415</v>
      </c>
      <c r="AB13" s="410">
        <v>6793</v>
      </c>
      <c r="AC13" s="25">
        <f t="shared" si="2"/>
        <v>8284.4166666666661</v>
      </c>
    </row>
    <row r="14" spans="1:29">
      <c r="A14" s="2">
        <v>2021</v>
      </c>
      <c r="B14" s="880">
        <f t="shared" ref="B14:M14" si="15">B94+B174+B374</f>
        <v>11367.34</v>
      </c>
      <c r="C14" s="880">
        <f t="shared" si="15"/>
        <v>9906.16</v>
      </c>
      <c r="D14" s="880">
        <f t="shared" si="15"/>
        <v>8868.82</v>
      </c>
      <c r="E14" s="880">
        <f t="shared" si="15"/>
        <v>8973.98</v>
      </c>
      <c r="F14" s="880">
        <f t="shared" si="15"/>
        <v>10245.77</v>
      </c>
      <c r="G14" s="880">
        <f t="shared" si="15"/>
        <v>10288.41</v>
      </c>
      <c r="H14" s="880">
        <f t="shared" si="15"/>
        <v>10542.92</v>
      </c>
      <c r="I14" s="880">
        <f t="shared" si="15"/>
        <v>10823.45</v>
      </c>
      <c r="J14" s="880">
        <f t="shared" si="15"/>
        <v>9839.77</v>
      </c>
      <c r="K14" s="880">
        <f t="shared" si="15"/>
        <v>9534.7800000000007</v>
      </c>
      <c r="L14" s="880">
        <f t="shared" si="15"/>
        <v>7604.37</v>
      </c>
      <c r="M14" s="880">
        <f t="shared" si="15"/>
        <v>9372.2800000000007</v>
      </c>
      <c r="N14" s="25">
        <f t="shared" si="8"/>
        <v>9780.6708333333336</v>
      </c>
      <c r="P14" s="2">
        <f t="shared" si="5"/>
        <v>2007</v>
      </c>
      <c r="Q14" s="410">
        <v>8803</v>
      </c>
      <c r="R14" s="410">
        <v>9097</v>
      </c>
      <c r="S14" s="410">
        <v>6990</v>
      </c>
      <c r="T14" s="410">
        <v>7474</v>
      </c>
      <c r="U14" s="410">
        <v>8123</v>
      </c>
      <c r="V14" s="410">
        <v>9398</v>
      </c>
      <c r="W14" s="410">
        <v>9842</v>
      </c>
      <c r="X14" s="410">
        <v>10405</v>
      </c>
      <c r="Y14" s="410">
        <v>9443</v>
      </c>
      <c r="Z14" s="410">
        <v>8618</v>
      </c>
      <c r="AA14" s="410">
        <v>6812</v>
      </c>
      <c r="AB14" s="410">
        <v>7162</v>
      </c>
      <c r="AC14" s="25">
        <f t="shared" si="2"/>
        <v>8513.9166666666661</v>
      </c>
    </row>
    <row r="15" spans="1:29">
      <c r="A15" s="2">
        <v>2022</v>
      </c>
      <c r="B15" s="880">
        <f t="shared" ref="B15:M15" si="16">B95+B175+B375</f>
        <v>11465.53</v>
      </c>
      <c r="C15" s="880">
        <f t="shared" si="16"/>
        <v>9976.16</v>
      </c>
      <c r="D15" s="880">
        <f t="shared" si="16"/>
        <v>8944.86</v>
      </c>
      <c r="E15" s="880">
        <f t="shared" si="16"/>
        <v>9091.0300000000007</v>
      </c>
      <c r="F15" s="880">
        <f t="shared" si="16"/>
        <v>10373.77</v>
      </c>
      <c r="G15" s="880">
        <f t="shared" si="16"/>
        <v>10403.450000000001</v>
      </c>
      <c r="H15" s="880">
        <f t="shared" si="16"/>
        <v>10662.1</v>
      </c>
      <c r="I15" s="880">
        <f t="shared" si="16"/>
        <v>10947.59</v>
      </c>
      <c r="J15" s="880">
        <f t="shared" si="16"/>
        <v>9936.7900000000009</v>
      </c>
      <c r="K15" s="880">
        <f t="shared" si="16"/>
        <v>9645.99</v>
      </c>
      <c r="L15" s="880">
        <f t="shared" si="16"/>
        <v>7661.42</v>
      </c>
      <c r="M15" s="880">
        <f t="shared" si="16"/>
        <v>9426.4599999999991</v>
      </c>
      <c r="N15" s="25">
        <f t="shared" si="8"/>
        <v>9877.9291666666668</v>
      </c>
      <c r="P15" s="2">
        <f t="shared" si="5"/>
        <v>2008</v>
      </c>
      <c r="Q15" s="410">
        <v>10210</v>
      </c>
      <c r="R15" s="410">
        <v>8223</v>
      </c>
      <c r="S15" s="410">
        <v>6794</v>
      </c>
      <c r="T15" s="410">
        <v>7620</v>
      </c>
      <c r="U15" s="410">
        <v>9298</v>
      </c>
      <c r="V15" s="410">
        <v>9898</v>
      </c>
      <c r="W15" s="410">
        <v>10017</v>
      </c>
      <c r="X15" s="410">
        <v>10036</v>
      </c>
      <c r="Y15" s="410">
        <v>9501</v>
      </c>
      <c r="Z15" s="410">
        <v>8059</v>
      </c>
      <c r="AA15" s="410">
        <v>7446</v>
      </c>
      <c r="AB15" s="410">
        <v>8133</v>
      </c>
      <c r="AC15" s="25">
        <f t="shared" si="2"/>
        <v>8769.5833333333339</v>
      </c>
    </row>
    <row r="16" spans="1:29">
      <c r="A16" s="2">
        <v>2023</v>
      </c>
      <c r="B16" s="880">
        <f t="shared" ref="B16:M16" si="17">B96+B176+B376</f>
        <v>11560.72</v>
      </c>
      <c r="C16" s="880">
        <f t="shared" si="17"/>
        <v>10042.25</v>
      </c>
      <c r="D16" s="880">
        <f t="shared" si="17"/>
        <v>9019.9</v>
      </c>
      <c r="E16" s="880">
        <f t="shared" si="17"/>
        <v>9201.17</v>
      </c>
      <c r="F16" s="880">
        <f t="shared" si="17"/>
        <v>10492.86</v>
      </c>
      <c r="G16" s="880">
        <f t="shared" si="17"/>
        <v>10510.59</v>
      </c>
      <c r="H16" s="880">
        <f t="shared" si="17"/>
        <v>10771.19</v>
      </c>
      <c r="I16" s="880">
        <f t="shared" si="17"/>
        <v>11062.73</v>
      </c>
      <c r="J16" s="880">
        <f t="shared" si="17"/>
        <v>10028.82</v>
      </c>
      <c r="K16" s="880">
        <f t="shared" si="17"/>
        <v>9751.1299999999992</v>
      </c>
      <c r="L16" s="880">
        <f t="shared" si="17"/>
        <v>7713.64</v>
      </c>
      <c r="M16" s="880">
        <f t="shared" si="17"/>
        <v>9477.66</v>
      </c>
      <c r="N16" s="25">
        <f t="shared" si="8"/>
        <v>9969.3883333333342</v>
      </c>
      <c r="P16" s="2">
        <f t="shared" si="5"/>
        <v>2009</v>
      </c>
      <c r="Q16" s="410">
        <v>11195</v>
      </c>
      <c r="R16" s="410">
        <v>11313</v>
      </c>
      <c r="S16" s="410">
        <v>7829</v>
      </c>
      <c r="T16" s="410">
        <v>6818</v>
      </c>
      <c r="U16" s="410">
        <v>8736</v>
      </c>
      <c r="V16" s="410">
        <v>10247</v>
      </c>
      <c r="W16" s="410">
        <v>9294</v>
      </c>
      <c r="X16" s="410">
        <v>9591</v>
      </c>
      <c r="Y16" s="410">
        <v>8392</v>
      </c>
      <c r="Z16" s="410">
        <v>8949</v>
      </c>
      <c r="AA16" s="410">
        <v>6236</v>
      </c>
      <c r="AB16" s="410">
        <v>7154</v>
      </c>
      <c r="AC16" s="25">
        <f t="shared" si="2"/>
        <v>8812.8333333333339</v>
      </c>
    </row>
    <row r="17" spans="1:29">
      <c r="A17" s="2">
        <v>2024</v>
      </c>
      <c r="B17" s="880">
        <f t="shared" ref="B17:M17" si="18">B97+B177+B377</f>
        <v>11649.82</v>
      </c>
      <c r="C17" s="880">
        <f t="shared" si="18"/>
        <v>10104.34</v>
      </c>
      <c r="D17" s="880">
        <f t="shared" si="18"/>
        <v>9088.0300000000007</v>
      </c>
      <c r="E17" s="880">
        <f t="shared" si="18"/>
        <v>9306.2199999999993</v>
      </c>
      <c r="F17" s="880">
        <f t="shared" si="18"/>
        <v>10608.96</v>
      </c>
      <c r="G17" s="880">
        <f t="shared" si="18"/>
        <v>10613.64</v>
      </c>
      <c r="H17" s="880">
        <f t="shared" si="18"/>
        <v>10877.33</v>
      </c>
      <c r="I17" s="880">
        <f t="shared" si="18"/>
        <v>11174.86</v>
      </c>
      <c r="J17" s="880">
        <f t="shared" si="18"/>
        <v>10114.93</v>
      </c>
      <c r="K17" s="880">
        <f t="shared" si="18"/>
        <v>9851.17</v>
      </c>
      <c r="L17" s="880">
        <f t="shared" si="18"/>
        <v>7762.69</v>
      </c>
      <c r="M17" s="880">
        <f t="shared" si="18"/>
        <v>9524.76</v>
      </c>
      <c r="N17" s="25">
        <f t="shared" si="8"/>
        <v>10056.395833333334</v>
      </c>
      <c r="P17" s="2">
        <f t="shared" si="5"/>
        <v>2010</v>
      </c>
      <c r="Q17" s="410">
        <v>11644</v>
      </c>
      <c r="R17" s="410">
        <v>8746</v>
      </c>
      <c r="S17" s="410">
        <v>8276</v>
      </c>
      <c r="T17" s="410">
        <v>6183</v>
      </c>
      <c r="U17" s="410">
        <v>8585</v>
      </c>
      <c r="V17" s="410">
        <v>9516</v>
      </c>
      <c r="W17" s="410">
        <v>9600</v>
      </c>
      <c r="X17" s="410">
        <v>9467</v>
      </c>
      <c r="Y17" s="410">
        <v>8844</v>
      </c>
      <c r="Z17" s="410">
        <v>7753</v>
      </c>
      <c r="AA17" s="410">
        <v>6180</v>
      </c>
      <c r="AB17" s="410">
        <v>10381</v>
      </c>
      <c r="AC17" s="25">
        <f t="shared" si="2"/>
        <v>8764.5833333333339</v>
      </c>
    </row>
    <row r="18" spans="1:29">
      <c r="A18" s="2">
        <v>2025</v>
      </c>
      <c r="B18" s="880">
        <f t="shared" ref="B18:M18" si="19">B98+B178+B378</f>
        <v>11736</v>
      </c>
      <c r="C18" s="880">
        <f t="shared" si="19"/>
        <v>10164.52</v>
      </c>
      <c r="D18" s="880">
        <f t="shared" si="19"/>
        <v>9155.07</v>
      </c>
      <c r="E18" s="880">
        <f t="shared" si="19"/>
        <v>9408.26</v>
      </c>
      <c r="F18" s="880">
        <f t="shared" si="19"/>
        <v>10721.01</v>
      </c>
      <c r="G18" s="880">
        <f t="shared" si="19"/>
        <v>10712.77</v>
      </c>
      <c r="H18" s="880">
        <f t="shared" si="19"/>
        <v>10980.46</v>
      </c>
      <c r="I18" s="880">
        <f t="shared" si="19"/>
        <v>11282</v>
      </c>
      <c r="J18" s="880">
        <f t="shared" si="19"/>
        <v>10200.959999999999</v>
      </c>
      <c r="K18" s="880">
        <f t="shared" si="19"/>
        <v>9948.2999999999993</v>
      </c>
      <c r="L18" s="880">
        <f t="shared" si="19"/>
        <v>7811.82</v>
      </c>
      <c r="M18" s="880">
        <f t="shared" si="19"/>
        <v>9570.85</v>
      </c>
      <c r="N18" s="25">
        <f t="shared" si="8"/>
        <v>10141.001666666665</v>
      </c>
      <c r="P18" s="2">
        <f t="shared" si="5"/>
        <v>2011</v>
      </c>
      <c r="Q18" s="410">
        <v>9586</v>
      </c>
      <c r="R18" s="410">
        <v>7395</v>
      </c>
      <c r="S18" s="410">
        <v>6133</v>
      </c>
      <c r="T18" s="410">
        <v>8187</v>
      </c>
      <c r="U18" s="410">
        <v>8443</v>
      </c>
      <c r="V18" s="410">
        <v>9277</v>
      </c>
      <c r="W18" s="410">
        <v>8917</v>
      </c>
      <c r="X18" s="410">
        <v>9196</v>
      </c>
      <c r="Y18" s="410">
        <v>8207</v>
      </c>
      <c r="Z18" s="410">
        <v>7176</v>
      </c>
      <c r="AA18" s="410">
        <v>5854</v>
      </c>
      <c r="AB18" s="410">
        <v>5043</v>
      </c>
      <c r="AC18" s="25">
        <f t="shared" si="2"/>
        <v>7784.5</v>
      </c>
    </row>
    <row r="19" spans="1:29">
      <c r="A19" s="2">
        <v>2026</v>
      </c>
      <c r="B19" s="880">
        <f t="shared" ref="B19:M19" si="20">B99+B179+B379</f>
        <v>11817.19</v>
      </c>
      <c r="C19" s="880">
        <f t="shared" si="20"/>
        <v>10221.61</v>
      </c>
      <c r="D19" s="880">
        <f t="shared" si="20"/>
        <v>9220.2000000000007</v>
      </c>
      <c r="E19" s="880">
        <f t="shared" si="20"/>
        <v>9504.31</v>
      </c>
      <c r="F19" s="880">
        <f t="shared" si="20"/>
        <v>10825.05</v>
      </c>
      <c r="G19" s="880">
        <f t="shared" si="20"/>
        <v>10806.91</v>
      </c>
      <c r="H19" s="880">
        <f t="shared" si="20"/>
        <v>11075.59</v>
      </c>
      <c r="I19" s="880">
        <f t="shared" si="20"/>
        <v>11382.15</v>
      </c>
      <c r="J19" s="880">
        <f t="shared" si="20"/>
        <v>10280.07</v>
      </c>
      <c r="K19" s="880">
        <f t="shared" si="20"/>
        <v>10040.33</v>
      </c>
      <c r="L19" s="880">
        <f t="shared" si="20"/>
        <v>7857.87</v>
      </c>
      <c r="M19" s="880">
        <f t="shared" si="20"/>
        <v>9614.9500000000007</v>
      </c>
      <c r="N19" s="25">
        <f t="shared" si="8"/>
        <v>10220.519166666665</v>
      </c>
      <c r="P19" s="2">
        <f t="shared" si="5"/>
        <v>2012</v>
      </c>
      <c r="Q19" s="410">
        <v>8722</v>
      </c>
      <c r="R19" s="410">
        <v>8519</v>
      </c>
      <c r="S19" s="410">
        <v>6135</v>
      </c>
      <c r="T19" s="410">
        <v>7004</v>
      </c>
      <c r="U19" s="410">
        <v>7942</v>
      </c>
      <c r="V19" s="410">
        <v>8185</v>
      </c>
      <c r="W19" s="410">
        <v>9026</v>
      </c>
      <c r="X19" s="410">
        <v>8850</v>
      </c>
      <c r="Y19" s="410">
        <v>8108</v>
      </c>
      <c r="Z19" s="410">
        <v>7790</v>
      </c>
      <c r="AA19" s="410">
        <v>5749</v>
      </c>
      <c r="AB19" s="410">
        <v>6555</v>
      </c>
      <c r="AC19" s="25">
        <f t="shared" si="2"/>
        <v>7715.416666666667</v>
      </c>
    </row>
    <row r="20" spans="1:29">
      <c r="A20" s="2">
        <v>2027</v>
      </c>
      <c r="B20" s="880">
        <f t="shared" ref="B20:M20" si="21">B100+B180+B380</f>
        <v>11894.38</v>
      </c>
      <c r="C20" s="880">
        <f t="shared" si="21"/>
        <v>10276.61</v>
      </c>
      <c r="D20" s="880">
        <f t="shared" si="21"/>
        <v>9280.24</v>
      </c>
      <c r="E20" s="880">
        <f t="shared" si="21"/>
        <v>9598.5499999999993</v>
      </c>
      <c r="F20" s="880">
        <f t="shared" si="21"/>
        <v>10928.09</v>
      </c>
      <c r="G20" s="880">
        <f t="shared" si="21"/>
        <v>10898.05</v>
      </c>
      <c r="H20" s="880">
        <f t="shared" si="21"/>
        <v>11169.72</v>
      </c>
      <c r="I20" s="880">
        <f t="shared" si="21"/>
        <v>11482.28</v>
      </c>
      <c r="J20" s="880">
        <f t="shared" si="21"/>
        <v>10358.18</v>
      </c>
      <c r="K20" s="880">
        <f t="shared" si="21"/>
        <v>10130.370000000001</v>
      </c>
      <c r="L20" s="880">
        <f t="shared" si="21"/>
        <v>7903.01</v>
      </c>
      <c r="M20" s="880">
        <f t="shared" si="21"/>
        <v>9657.14</v>
      </c>
      <c r="N20" s="25">
        <f t="shared" si="8"/>
        <v>10298.051666666666</v>
      </c>
      <c r="P20" s="2">
        <f t="shared" si="5"/>
        <v>2013</v>
      </c>
      <c r="Q20" s="410">
        <v>5877</v>
      </c>
      <c r="R20" s="410">
        <v>8032</v>
      </c>
      <c r="S20" s="410">
        <v>7856</v>
      </c>
      <c r="T20" s="410">
        <v>7153</v>
      </c>
      <c r="U20" s="410">
        <v>7863</v>
      </c>
      <c r="V20" s="410">
        <v>8514</v>
      </c>
      <c r="W20" s="410"/>
      <c r="X20" s="410"/>
      <c r="Y20" s="410"/>
      <c r="Z20" s="410"/>
      <c r="AA20" s="410"/>
      <c r="AB20" s="410"/>
      <c r="AC20" s="25"/>
    </row>
    <row r="21" spans="1:29">
      <c r="A21" s="2">
        <v>2028</v>
      </c>
      <c r="B21" s="880">
        <f t="shared" ref="B21:M21" si="22">B101+B181+B381</f>
        <v>11971.57</v>
      </c>
      <c r="C21" s="880">
        <f t="shared" si="22"/>
        <v>10329.700000000001</v>
      </c>
      <c r="D21" s="880">
        <f t="shared" si="22"/>
        <v>9337.36</v>
      </c>
      <c r="E21" s="880">
        <f t="shared" si="22"/>
        <v>9687.6</v>
      </c>
      <c r="F21" s="880">
        <f t="shared" si="22"/>
        <v>11027.13</v>
      </c>
      <c r="G21" s="880">
        <f t="shared" si="22"/>
        <v>10986.09</v>
      </c>
      <c r="H21" s="880">
        <f t="shared" si="22"/>
        <v>11260.76</v>
      </c>
      <c r="I21" s="880">
        <f t="shared" si="22"/>
        <v>11577.33</v>
      </c>
      <c r="J21" s="880">
        <f t="shared" si="22"/>
        <v>10434.299999999999</v>
      </c>
      <c r="K21" s="880">
        <f t="shared" si="22"/>
        <v>10217.41</v>
      </c>
      <c r="L21" s="880">
        <f t="shared" si="22"/>
        <v>7945.05</v>
      </c>
      <c r="M21" s="880">
        <f t="shared" si="22"/>
        <v>9699.33</v>
      </c>
      <c r="N21" s="25">
        <f t="shared" si="8"/>
        <v>10372.8025</v>
      </c>
      <c r="P21" s="2">
        <f t="shared" si="5"/>
        <v>2014</v>
      </c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25"/>
    </row>
    <row r="22" spans="1:29">
      <c r="A22" s="2">
        <v>2029</v>
      </c>
      <c r="B22" s="880">
        <f t="shared" ref="B22:M22" si="23">B102+B182+B382</f>
        <v>12047.76</v>
      </c>
      <c r="C22" s="880">
        <f t="shared" si="23"/>
        <v>10382.700000000001</v>
      </c>
      <c r="D22" s="880">
        <f t="shared" si="23"/>
        <v>9396.49</v>
      </c>
      <c r="E22" s="880">
        <f t="shared" si="23"/>
        <v>9778.64</v>
      </c>
      <c r="F22" s="880">
        <f t="shared" si="23"/>
        <v>11125.25</v>
      </c>
      <c r="G22" s="880">
        <f t="shared" si="23"/>
        <v>11075.23</v>
      </c>
      <c r="H22" s="880">
        <f t="shared" si="23"/>
        <v>11351.89</v>
      </c>
      <c r="I22" s="880">
        <f t="shared" si="23"/>
        <v>11673.47</v>
      </c>
      <c r="J22" s="880">
        <f t="shared" si="23"/>
        <v>10509.41</v>
      </c>
      <c r="K22" s="880">
        <f t="shared" si="23"/>
        <v>10302.540000000001</v>
      </c>
      <c r="L22" s="880">
        <f t="shared" si="23"/>
        <v>7988.19</v>
      </c>
      <c r="M22" s="880">
        <f t="shared" si="23"/>
        <v>9740.42</v>
      </c>
      <c r="N22" s="25">
        <f t="shared" si="8"/>
        <v>10447.665833333334</v>
      </c>
      <c r="P22" s="2">
        <f t="shared" si="5"/>
        <v>2015</v>
      </c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25"/>
    </row>
    <row r="23" spans="1:29">
      <c r="A23" s="2">
        <v>2030</v>
      </c>
      <c r="B23" s="880">
        <f t="shared" ref="B23:M23" si="24">B103+B183+B383</f>
        <v>12118.86</v>
      </c>
      <c r="C23" s="880">
        <f t="shared" si="24"/>
        <v>10432.790000000001</v>
      </c>
      <c r="D23" s="880">
        <f t="shared" si="24"/>
        <v>9452.5300000000007</v>
      </c>
      <c r="E23" s="880">
        <f t="shared" si="24"/>
        <v>9862.7800000000007</v>
      </c>
      <c r="F23" s="880">
        <f t="shared" si="24"/>
        <v>11217.29</v>
      </c>
      <c r="G23" s="880">
        <f t="shared" si="24"/>
        <v>11156.37</v>
      </c>
      <c r="H23" s="880">
        <f t="shared" si="24"/>
        <v>11436.02</v>
      </c>
      <c r="I23" s="880">
        <f t="shared" si="24"/>
        <v>11761.6</v>
      </c>
      <c r="J23" s="880">
        <f t="shared" si="24"/>
        <v>10578.52</v>
      </c>
      <c r="K23" s="880">
        <f t="shared" si="24"/>
        <v>10382.58</v>
      </c>
      <c r="L23" s="880">
        <f t="shared" si="24"/>
        <v>8029.23</v>
      </c>
      <c r="M23" s="880">
        <f t="shared" si="24"/>
        <v>9779.61</v>
      </c>
      <c r="N23" s="25">
        <f t="shared" si="8"/>
        <v>10517.348333333333</v>
      </c>
      <c r="P23" s="2">
        <f t="shared" si="5"/>
        <v>2016</v>
      </c>
    </row>
    <row r="24" spans="1:29">
      <c r="A24" s="2">
        <v>2031</v>
      </c>
      <c r="B24" s="880">
        <f t="shared" ref="B24:M24" si="25">B104+B184+B384</f>
        <v>12173.02</v>
      </c>
      <c r="C24" s="880">
        <f t="shared" si="25"/>
        <v>10463.84</v>
      </c>
      <c r="D24" s="880">
        <f t="shared" si="25"/>
        <v>9489.57</v>
      </c>
      <c r="E24" s="880">
        <f t="shared" si="25"/>
        <v>9926.83</v>
      </c>
      <c r="F24" s="880">
        <f t="shared" si="25"/>
        <v>11289.31</v>
      </c>
      <c r="G24" s="880">
        <f t="shared" si="25"/>
        <v>11220.38</v>
      </c>
      <c r="H24" s="880">
        <f t="shared" si="25"/>
        <v>11501</v>
      </c>
      <c r="I24" s="880">
        <f t="shared" si="25"/>
        <v>11831.59</v>
      </c>
      <c r="J24" s="880">
        <f t="shared" si="25"/>
        <v>10630.56</v>
      </c>
      <c r="K24" s="880">
        <f t="shared" si="25"/>
        <v>10446.67</v>
      </c>
      <c r="L24" s="880">
        <f t="shared" si="25"/>
        <v>8051.3</v>
      </c>
      <c r="M24" s="880">
        <f t="shared" si="25"/>
        <v>9800.74</v>
      </c>
      <c r="N24" s="25">
        <f t="shared" si="8"/>
        <v>10568.734166666667</v>
      </c>
      <c r="P24" s="2">
        <f t="shared" si="5"/>
        <v>2017</v>
      </c>
    </row>
    <row r="25" spans="1:29">
      <c r="A25" s="2">
        <v>2032</v>
      </c>
      <c r="B25" s="880">
        <f t="shared" ref="B25:M25" si="26">B105+B185+B385</f>
        <v>12225.17</v>
      </c>
      <c r="C25" s="880">
        <f t="shared" si="26"/>
        <v>10495.89</v>
      </c>
      <c r="D25" s="880">
        <f t="shared" si="26"/>
        <v>9524.65</v>
      </c>
      <c r="E25" s="880">
        <f t="shared" si="26"/>
        <v>9989.8799999999992</v>
      </c>
      <c r="F25" s="880">
        <f t="shared" si="26"/>
        <v>11357.36</v>
      </c>
      <c r="G25" s="880">
        <f t="shared" si="26"/>
        <v>11282.47</v>
      </c>
      <c r="H25" s="880">
        <f t="shared" si="26"/>
        <v>11564.09</v>
      </c>
      <c r="I25" s="880">
        <f t="shared" si="26"/>
        <v>11900.7</v>
      </c>
      <c r="J25" s="880">
        <f t="shared" si="26"/>
        <v>10680.64</v>
      </c>
      <c r="K25" s="880">
        <f t="shared" si="26"/>
        <v>10507.75</v>
      </c>
      <c r="L25" s="880">
        <f t="shared" si="26"/>
        <v>8075.38</v>
      </c>
      <c r="M25" s="880">
        <f t="shared" si="26"/>
        <v>9824.8799999999992</v>
      </c>
      <c r="N25" s="25">
        <f t="shared" si="8"/>
        <v>10619.071666666667</v>
      </c>
      <c r="P25" s="2">
        <f t="shared" si="5"/>
        <v>2018</v>
      </c>
    </row>
    <row r="26" spans="1:29">
      <c r="A26" s="2">
        <v>2033</v>
      </c>
      <c r="B26" s="880">
        <f t="shared" ref="B26:M26" si="27">B106+B186+B386</f>
        <v>12290.33</v>
      </c>
      <c r="C26" s="880">
        <f t="shared" si="27"/>
        <v>10540.93</v>
      </c>
      <c r="D26" s="880">
        <f t="shared" si="27"/>
        <v>9574.73</v>
      </c>
      <c r="E26" s="880">
        <f t="shared" si="27"/>
        <v>10066.92</v>
      </c>
      <c r="F26" s="880">
        <f t="shared" si="27"/>
        <v>11441.42</v>
      </c>
      <c r="G26" s="880">
        <f t="shared" si="27"/>
        <v>11357.56</v>
      </c>
      <c r="H26" s="880">
        <f t="shared" si="27"/>
        <v>11642.18</v>
      </c>
      <c r="I26" s="880">
        <f t="shared" si="27"/>
        <v>11981.79</v>
      </c>
      <c r="J26" s="880">
        <f t="shared" si="27"/>
        <v>10744.72</v>
      </c>
      <c r="K26" s="880">
        <f t="shared" si="27"/>
        <v>10581.83</v>
      </c>
      <c r="L26" s="880">
        <f t="shared" si="27"/>
        <v>8112.47</v>
      </c>
      <c r="M26" s="880">
        <f t="shared" si="27"/>
        <v>9860.0300000000007</v>
      </c>
      <c r="N26" s="25">
        <f t="shared" si="8"/>
        <v>10682.909166666668</v>
      </c>
      <c r="P26" s="2">
        <f t="shared" si="5"/>
        <v>2019</v>
      </c>
    </row>
    <row r="27" spans="1:29">
      <c r="A27" s="2">
        <v>2034</v>
      </c>
      <c r="B27" s="880">
        <f t="shared" ref="B27:M27" si="28">B107+B187+B387</f>
        <v>12353.5</v>
      </c>
      <c r="C27" s="880">
        <f t="shared" si="28"/>
        <v>10584.98</v>
      </c>
      <c r="D27" s="880">
        <f t="shared" si="28"/>
        <v>9623.7900000000009</v>
      </c>
      <c r="E27" s="880">
        <f t="shared" si="28"/>
        <v>10141.94</v>
      </c>
      <c r="F27" s="880">
        <f t="shared" si="28"/>
        <v>11522.47</v>
      </c>
      <c r="G27" s="880">
        <f t="shared" si="28"/>
        <v>11430.66</v>
      </c>
      <c r="H27" s="880">
        <f t="shared" si="28"/>
        <v>11718.27</v>
      </c>
      <c r="I27" s="880">
        <f t="shared" si="28"/>
        <v>12062.89</v>
      </c>
      <c r="J27" s="880">
        <f t="shared" si="28"/>
        <v>10807.8</v>
      </c>
      <c r="K27" s="880">
        <f t="shared" si="28"/>
        <v>10653.91</v>
      </c>
      <c r="L27" s="880">
        <f t="shared" si="28"/>
        <v>8148.57</v>
      </c>
      <c r="M27" s="880">
        <f t="shared" si="28"/>
        <v>9895.18</v>
      </c>
      <c r="N27" s="25">
        <f t="shared" si="8"/>
        <v>10745.33</v>
      </c>
      <c r="P27" s="2">
        <f t="shared" si="5"/>
        <v>2020</v>
      </c>
    </row>
    <row r="28" spans="1:29">
      <c r="A28" s="2">
        <v>2035</v>
      </c>
      <c r="B28" s="880">
        <f t="shared" ref="B28:M28" si="29">B108+B188+B388</f>
        <v>12415.66</v>
      </c>
      <c r="C28" s="880">
        <f t="shared" si="29"/>
        <v>10628.03</v>
      </c>
      <c r="D28" s="880">
        <f t="shared" si="29"/>
        <v>9670.869999999999</v>
      </c>
      <c r="E28" s="880">
        <f t="shared" si="29"/>
        <v>10215.01</v>
      </c>
      <c r="F28" s="880">
        <f t="shared" si="29"/>
        <v>11601.52</v>
      </c>
      <c r="G28" s="880">
        <f t="shared" si="29"/>
        <v>11502.75</v>
      </c>
      <c r="H28" s="880">
        <f t="shared" si="29"/>
        <v>11792.36</v>
      </c>
      <c r="I28" s="880">
        <f t="shared" si="29"/>
        <v>12139.99</v>
      </c>
      <c r="J28" s="880">
        <f t="shared" si="29"/>
        <v>10868.88</v>
      </c>
      <c r="K28" s="880">
        <f t="shared" si="29"/>
        <v>10723.98</v>
      </c>
      <c r="L28" s="880">
        <f t="shared" si="29"/>
        <v>8183.65</v>
      </c>
      <c r="M28" s="880">
        <f t="shared" si="29"/>
        <v>9929.34</v>
      </c>
      <c r="N28" s="25">
        <f t="shared" ref="N28:N33" si="30">AVERAGE(B28:M28)</f>
        <v>10806.003333333332</v>
      </c>
      <c r="P28" s="2">
        <f t="shared" si="5"/>
        <v>2021</v>
      </c>
    </row>
    <row r="29" spans="1:29">
      <c r="A29" s="2">
        <v>2036</v>
      </c>
      <c r="B29" s="880">
        <f t="shared" ref="B29:M29" si="31">B109+B189+B389</f>
        <v>12476.83</v>
      </c>
      <c r="C29" s="880">
        <f t="shared" si="31"/>
        <v>10671.07</v>
      </c>
      <c r="D29" s="880">
        <f t="shared" si="31"/>
        <v>9716.9500000000007</v>
      </c>
      <c r="E29" s="880">
        <f t="shared" si="31"/>
        <v>10286.120000000001</v>
      </c>
      <c r="F29" s="880">
        <f t="shared" si="31"/>
        <v>11678.57</v>
      </c>
      <c r="G29" s="880">
        <f t="shared" si="31"/>
        <v>11571.85</v>
      </c>
      <c r="H29" s="880">
        <f t="shared" si="31"/>
        <v>11863.46</v>
      </c>
      <c r="I29" s="880">
        <f t="shared" si="31"/>
        <v>12216.1</v>
      </c>
      <c r="J29" s="880">
        <f t="shared" si="31"/>
        <v>10928.97</v>
      </c>
      <c r="K29" s="880">
        <f t="shared" si="31"/>
        <v>10795.07</v>
      </c>
      <c r="L29" s="880">
        <f t="shared" si="31"/>
        <v>8220.74</v>
      </c>
      <c r="M29" s="880">
        <f t="shared" si="31"/>
        <v>9964.48</v>
      </c>
      <c r="N29" s="25">
        <f t="shared" si="30"/>
        <v>10865.850833333336</v>
      </c>
      <c r="P29" s="2">
        <f t="shared" si="5"/>
        <v>2022</v>
      </c>
    </row>
    <row r="30" spans="1:29">
      <c r="A30" s="2">
        <v>2037</v>
      </c>
      <c r="B30" s="880">
        <f t="shared" ref="B30:M30" si="32">B110+B190+B390</f>
        <v>12538.99</v>
      </c>
      <c r="C30" s="880">
        <f t="shared" si="32"/>
        <v>10715.119999999999</v>
      </c>
      <c r="D30" s="880">
        <f t="shared" si="32"/>
        <v>9762.0300000000007</v>
      </c>
      <c r="E30" s="880">
        <f t="shared" si="32"/>
        <v>10362.17</v>
      </c>
      <c r="F30" s="880">
        <f t="shared" si="32"/>
        <v>11761.63</v>
      </c>
      <c r="G30" s="880">
        <f t="shared" si="32"/>
        <v>11647.94</v>
      </c>
      <c r="H30" s="880">
        <f t="shared" si="32"/>
        <v>11942.55</v>
      </c>
      <c r="I30" s="880">
        <f t="shared" si="32"/>
        <v>12299.19</v>
      </c>
      <c r="J30" s="880">
        <f t="shared" si="32"/>
        <v>10995.04</v>
      </c>
      <c r="K30" s="880">
        <f t="shared" si="32"/>
        <v>10871.15</v>
      </c>
      <c r="L30" s="880">
        <f t="shared" si="32"/>
        <v>8260.82</v>
      </c>
      <c r="M30" s="880">
        <f t="shared" si="32"/>
        <v>10003.629999999999</v>
      </c>
      <c r="N30" s="25">
        <f t="shared" si="30"/>
        <v>10930.021666666667</v>
      </c>
      <c r="P30" s="2">
        <f t="shared" si="5"/>
        <v>2023</v>
      </c>
    </row>
    <row r="31" spans="1:29">
      <c r="A31" s="2">
        <v>2038</v>
      </c>
      <c r="B31" s="880">
        <f t="shared" ref="B31:M31" si="33">B111+B191+B391</f>
        <v>12608.15</v>
      </c>
      <c r="C31" s="880">
        <f t="shared" si="33"/>
        <v>10765.17</v>
      </c>
      <c r="D31" s="880">
        <f t="shared" si="33"/>
        <v>9811.11</v>
      </c>
      <c r="E31" s="880">
        <f t="shared" si="33"/>
        <v>10442.219999999999</v>
      </c>
      <c r="F31" s="880">
        <f t="shared" si="33"/>
        <v>11848.68</v>
      </c>
      <c r="G31" s="880">
        <f t="shared" si="33"/>
        <v>11728.04</v>
      </c>
      <c r="H31" s="880">
        <f t="shared" si="33"/>
        <v>12024.63</v>
      </c>
      <c r="I31" s="880">
        <f t="shared" si="33"/>
        <v>12385.29</v>
      </c>
      <c r="J31" s="880">
        <f t="shared" si="33"/>
        <v>11063.13</v>
      </c>
      <c r="K31" s="880">
        <f t="shared" si="33"/>
        <v>10949.23</v>
      </c>
      <c r="L31" s="880">
        <f t="shared" si="33"/>
        <v>8300.92</v>
      </c>
      <c r="M31" s="880">
        <f t="shared" si="33"/>
        <v>10042.780000000001</v>
      </c>
      <c r="N31" s="25">
        <f t="shared" si="30"/>
        <v>10997.445833333333</v>
      </c>
      <c r="P31" s="2">
        <f t="shared" si="5"/>
        <v>2024</v>
      </c>
    </row>
    <row r="32" spans="1:29">
      <c r="A32" s="2">
        <v>2039</v>
      </c>
      <c r="B32" s="880">
        <f t="shared" ref="B32:M32" si="34">B112+B192+B392</f>
        <v>12676.31</v>
      </c>
      <c r="C32" s="880">
        <f t="shared" si="34"/>
        <v>10812.21</v>
      </c>
      <c r="D32" s="880">
        <f t="shared" si="34"/>
        <v>9863.19</v>
      </c>
      <c r="E32" s="880">
        <f t="shared" si="34"/>
        <v>10520.29</v>
      </c>
      <c r="F32" s="880">
        <f t="shared" si="34"/>
        <v>11932.73</v>
      </c>
      <c r="G32" s="880">
        <f t="shared" si="34"/>
        <v>11803.13</v>
      </c>
      <c r="H32" s="880">
        <f t="shared" si="34"/>
        <v>12102.73</v>
      </c>
      <c r="I32" s="880">
        <f t="shared" si="34"/>
        <v>12468.4</v>
      </c>
      <c r="J32" s="880">
        <f t="shared" si="34"/>
        <v>11129.21</v>
      </c>
      <c r="K32" s="880">
        <f t="shared" si="34"/>
        <v>11024.3</v>
      </c>
      <c r="L32" s="880">
        <f t="shared" si="34"/>
        <v>8341</v>
      </c>
      <c r="M32" s="880">
        <f t="shared" si="34"/>
        <v>10081.92</v>
      </c>
      <c r="N32" s="25">
        <f t="shared" si="30"/>
        <v>11062.951666666666</v>
      </c>
      <c r="P32" s="2">
        <f t="shared" si="5"/>
        <v>2025</v>
      </c>
    </row>
    <row r="33" spans="1:29">
      <c r="A33" s="2">
        <v>2040</v>
      </c>
      <c r="B33" s="880">
        <f t="shared" ref="B33:M33" si="35">B113+B193+B393</f>
        <v>12744.47</v>
      </c>
      <c r="C33" s="880">
        <f t="shared" si="35"/>
        <v>10862.26</v>
      </c>
      <c r="D33" s="880">
        <f t="shared" si="35"/>
        <v>9913.27</v>
      </c>
      <c r="E33" s="880">
        <f t="shared" si="35"/>
        <v>10599.36</v>
      </c>
      <c r="F33" s="880">
        <f t="shared" si="35"/>
        <v>12018.79</v>
      </c>
      <c r="G33" s="880">
        <f t="shared" si="35"/>
        <v>11882.22</v>
      </c>
      <c r="H33" s="880">
        <f t="shared" si="35"/>
        <v>12183.82</v>
      </c>
      <c r="I33" s="880">
        <f t="shared" si="35"/>
        <v>12550.49</v>
      </c>
      <c r="J33" s="880">
        <f t="shared" si="35"/>
        <v>11195.28</v>
      </c>
      <c r="K33" s="880">
        <f t="shared" si="35"/>
        <v>11099.38</v>
      </c>
      <c r="L33" s="880">
        <f t="shared" si="35"/>
        <v>8381.09</v>
      </c>
      <c r="M33" s="880">
        <f t="shared" si="35"/>
        <v>10121.07</v>
      </c>
      <c r="N33" s="25">
        <f t="shared" si="30"/>
        <v>11129.291666666666</v>
      </c>
      <c r="P33" s="2">
        <f t="shared" si="5"/>
        <v>2026</v>
      </c>
    </row>
    <row r="34" spans="1:29">
      <c r="A34" s="2">
        <v>2041</v>
      </c>
      <c r="B34" s="880">
        <f t="shared" ref="B34:M34" si="36">B114+B194+B394</f>
        <v>0</v>
      </c>
      <c r="C34" s="880">
        <f t="shared" si="36"/>
        <v>0</v>
      </c>
      <c r="D34" s="880">
        <f t="shared" si="36"/>
        <v>0</v>
      </c>
      <c r="E34" s="880">
        <f t="shared" si="36"/>
        <v>0</v>
      </c>
      <c r="F34" s="880">
        <f t="shared" si="36"/>
        <v>0</v>
      </c>
      <c r="G34" s="880">
        <f t="shared" si="36"/>
        <v>0</v>
      </c>
      <c r="H34" s="880">
        <f t="shared" si="36"/>
        <v>0</v>
      </c>
      <c r="I34" s="880">
        <f t="shared" si="36"/>
        <v>0</v>
      </c>
      <c r="J34" s="880">
        <f t="shared" si="36"/>
        <v>0</v>
      </c>
      <c r="K34" s="880">
        <f t="shared" si="36"/>
        <v>0</v>
      </c>
      <c r="L34" s="880">
        <f t="shared" si="36"/>
        <v>0</v>
      </c>
      <c r="M34" s="880">
        <f t="shared" si="36"/>
        <v>0</v>
      </c>
      <c r="N34" s="25">
        <f>AVERAGE(B34:M34)</f>
        <v>0</v>
      </c>
      <c r="P34" s="2">
        <f t="shared" si="5"/>
        <v>2027</v>
      </c>
    </row>
    <row r="35" spans="1:29">
      <c r="A35" s="2">
        <v>2042</v>
      </c>
      <c r="B35" s="880">
        <f t="shared" ref="B35:M35" si="37">B115+B195+B395</f>
        <v>0</v>
      </c>
      <c r="C35" s="880">
        <f t="shared" si="37"/>
        <v>0</v>
      </c>
      <c r="D35" s="880">
        <f t="shared" si="37"/>
        <v>0</v>
      </c>
      <c r="E35" s="880">
        <f t="shared" si="37"/>
        <v>0</v>
      </c>
      <c r="F35" s="880">
        <f t="shared" si="37"/>
        <v>0</v>
      </c>
      <c r="G35" s="880">
        <f t="shared" si="37"/>
        <v>0</v>
      </c>
      <c r="H35" s="880">
        <f t="shared" si="37"/>
        <v>0</v>
      </c>
      <c r="I35" s="880">
        <f t="shared" si="37"/>
        <v>0</v>
      </c>
      <c r="J35" s="880">
        <f t="shared" si="37"/>
        <v>0</v>
      </c>
      <c r="K35" s="880">
        <f t="shared" si="37"/>
        <v>0</v>
      </c>
      <c r="L35" s="880">
        <f t="shared" si="37"/>
        <v>0</v>
      </c>
      <c r="M35" s="880">
        <f t="shared" si="37"/>
        <v>0</v>
      </c>
      <c r="N35" s="25">
        <f>AVERAGE(B35:M35)</f>
        <v>0</v>
      </c>
      <c r="P35" s="2">
        <f t="shared" si="5"/>
        <v>2028</v>
      </c>
    </row>
    <row r="36" spans="1:29">
      <c r="A36" s="2">
        <v>2043</v>
      </c>
      <c r="B36" s="880">
        <f t="shared" ref="B36:M36" si="38">B116+B196+B396</f>
        <v>0</v>
      </c>
      <c r="C36" s="880">
        <f t="shared" si="38"/>
        <v>0</v>
      </c>
      <c r="D36" s="880">
        <f t="shared" si="38"/>
        <v>0</v>
      </c>
      <c r="E36" s="880">
        <f t="shared" si="38"/>
        <v>0</v>
      </c>
      <c r="F36" s="880">
        <f t="shared" si="38"/>
        <v>0</v>
      </c>
      <c r="G36" s="880">
        <f t="shared" si="38"/>
        <v>0</v>
      </c>
      <c r="H36" s="880">
        <f t="shared" si="38"/>
        <v>0</v>
      </c>
      <c r="I36" s="880">
        <f t="shared" si="38"/>
        <v>0</v>
      </c>
      <c r="J36" s="880">
        <f t="shared" si="38"/>
        <v>0</v>
      </c>
      <c r="K36" s="880">
        <f t="shared" si="38"/>
        <v>0</v>
      </c>
      <c r="L36" s="880">
        <f t="shared" si="38"/>
        <v>0</v>
      </c>
      <c r="M36" s="880">
        <f t="shared" si="38"/>
        <v>0</v>
      </c>
      <c r="N36" s="25">
        <f>AVERAGE(B36:M36)</f>
        <v>0</v>
      </c>
      <c r="P36" s="2">
        <f t="shared" si="5"/>
        <v>2029</v>
      </c>
    </row>
    <row r="37" spans="1:29">
      <c r="A37" s="2">
        <v>2044</v>
      </c>
      <c r="B37" s="880">
        <f t="shared" ref="B37:M37" si="39">B117+B197+B397</f>
        <v>0</v>
      </c>
      <c r="C37" s="880">
        <f t="shared" si="39"/>
        <v>0</v>
      </c>
      <c r="D37" s="880">
        <f t="shared" si="39"/>
        <v>0</v>
      </c>
      <c r="E37" s="880">
        <f t="shared" si="39"/>
        <v>0</v>
      </c>
      <c r="F37" s="880">
        <f t="shared" si="39"/>
        <v>0</v>
      </c>
      <c r="G37" s="880">
        <f t="shared" si="39"/>
        <v>0</v>
      </c>
      <c r="H37" s="880">
        <f t="shared" si="39"/>
        <v>0</v>
      </c>
      <c r="I37" s="880">
        <f t="shared" si="39"/>
        <v>0</v>
      </c>
      <c r="J37" s="880">
        <f t="shared" si="39"/>
        <v>0</v>
      </c>
      <c r="K37" s="880">
        <f t="shared" si="39"/>
        <v>0</v>
      </c>
      <c r="L37" s="880">
        <f t="shared" si="39"/>
        <v>0</v>
      </c>
      <c r="M37" s="880">
        <f t="shared" si="39"/>
        <v>0</v>
      </c>
      <c r="N37" s="25">
        <f>AVERAGE(B37:M37)</f>
        <v>0</v>
      </c>
      <c r="P37" s="2">
        <f t="shared" si="5"/>
        <v>2030</v>
      </c>
    </row>
    <row r="38" spans="1:29">
      <c r="A38" s="2">
        <v>2045</v>
      </c>
      <c r="B38" s="880">
        <f t="shared" ref="B38:M38" si="40">B118+B198+B398</f>
        <v>0</v>
      </c>
      <c r="C38" s="880">
        <f t="shared" si="40"/>
        <v>0</v>
      </c>
      <c r="D38" s="880">
        <f t="shared" si="40"/>
        <v>0</v>
      </c>
      <c r="E38" s="880">
        <f t="shared" si="40"/>
        <v>0</v>
      </c>
      <c r="F38" s="880">
        <f t="shared" si="40"/>
        <v>0</v>
      </c>
      <c r="G38" s="880">
        <f t="shared" si="40"/>
        <v>0</v>
      </c>
      <c r="H38" s="880">
        <f t="shared" si="40"/>
        <v>0</v>
      </c>
      <c r="I38" s="880">
        <f t="shared" si="40"/>
        <v>0</v>
      </c>
      <c r="J38" s="880">
        <f t="shared" si="40"/>
        <v>0</v>
      </c>
      <c r="K38" s="880">
        <f t="shared" si="40"/>
        <v>0</v>
      </c>
      <c r="L38" s="880">
        <f t="shared" si="40"/>
        <v>0</v>
      </c>
      <c r="M38" s="880">
        <f t="shared" si="40"/>
        <v>0</v>
      </c>
      <c r="N38" s="25">
        <f>AVERAGE(B38:M38)</f>
        <v>0</v>
      </c>
    </row>
    <row r="41" spans="1:29">
      <c r="A41" s="31" t="s">
        <v>128</v>
      </c>
      <c r="D41" s="31" t="s">
        <v>516</v>
      </c>
      <c r="L41" s="1194" t="s">
        <v>556</v>
      </c>
      <c r="M41" s="1195"/>
      <c r="N41" s="1195"/>
      <c r="P41" s="31" t="s">
        <v>536</v>
      </c>
      <c r="W41" s="2" t="s">
        <v>310</v>
      </c>
    </row>
    <row r="42" spans="1:29">
      <c r="A42" s="27" t="s">
        <v>9</v>
      </c>
      <c r="B42" s="27" t="s">
        <v>28</v>
      </c>
      <c r="C42" s="27" t="s">
        <v>29</v>
      </c>
      <c r="D42" s="27" t="s">
        <v>30</v>
      </c>
      <c r="E42" s="27" t="s">
        <v>31</v>
      </c>
      <c r="F42" s="27" t="s">
        <v>32</v>
      </c>
      <c r="G42" s="27" t="s">
        <v>33</v>
      </c>
      <c r="H42" s="27" t="s">
        <v>34</v>
      </c>
      <c r="I42" s="27" t="s">
        <v>35</v>
      </c>
      <c r="J42" s="27" t="s">
        <v>36</v>
      </c>
      <c r="K42" s="27" t="s">
        <v>37</v>
      </c>
      <c r="L42" s="27" t="s">
        <v>38</v>
      </c>
      <c r="M42" s="27" t="s">
        <v>39</v>
      </c>
      <c r="N42" s="27" t="s">
        <v>53</v>
      </c>
      <c r="P42" s="27" t="s">
        <v>9</v>
      </c>
      <c r="Q42" s="27" t="s">
        <v>28</v>
      </c>
      <c r="R42" s="27" t="s">
        <v>29</v>
      </c>
      <c r="S42" s="27" t="s">
        <v>30</v>
      </c>
      <c r="T42" s="27" t="s">
        <v>31</v>
      </c>
      <c r="U42" s="27" t="s">
        <v>32</v>
      </c>
      <c r="V42" s="27" t="s">
        <v>33</v>
      </c>
      <c r="W42" s="27" t="s">
        <v>34</v>
      </c>
      <c r="X42" s="27" t="s">
        <v>35</v>
      </c>
      <c r="Y42" s="27" t="s">
        <v>36</v>
      </c>
      <c r="Z42" s="27" t="s">
        <v>37</v>
      </c>
      <c r="AA42" s="27" t="s">
        <v>38</v>
      </c>
      <c r="AB42" s="27" t="s">
        <v>39</v>
      </c>
      <c r="AC42" s="27" t="s">
        <v>53</v>
      </c>
    </row>
    <row r="43" spans="1:29">
      <c r="A43" s="2">
        <f>A3</f>
        <v>2010</v>
      </c>
      <c r="B43" s="34">
        <f>B123+B203+B363</f>
        <v>11637.003058474749</v>
      </c>
      <c r="C43" s="34">
        <f t="shared" ref="C43:M43" si="41">C123+C203+C363</f>
        <v>8063.2340584747499</v>
      </c>
      <c r="D43" s="34">
        <f t="shared" si="41"/>
        <v>7368.7030584747499</v>
      </c>
      <c r="E43" s="34">
        <f t="shared" si="41"/>
        <v>5561.2940584747494</v>
      </c>
      <c r="F43" s="34">
        <f t="shared" si="41"/>
        <v>7880.6340584747495</v>
      </c>
      <c r="G43" s="34">
        <f t="shared" si="41"/>
        <v>8814.2490584747502</v>
      </c>
      <c r="H43" s="34">
        <f t="shared" si="41"/>
        <v>8907.2420584747488</v>
      </c>
      <c r="I43" s="34">
        <f t="shared" si="41"/>
        <v>8794.0709162261574</v>
      </c>
      <c r="J43" s="34">
        <f t="shared" si="41"/>
        <v>8163.3937096371101</v>
      </c>
      <c r="K43" s="34">
        <f t="shared" si="41"/>
        <v>7159.4018650204989</v>
      </c>
      <c r="L43" s="34">
        <f t="shared" si="41"/>
        <v>5436.5664954304566</v>
      </c>
      <c r="M43" s="34">
        <f t="shared" si="41"/>
        <v>9590.9813955067657</v>
      </c>
      <c r="N43" s="25">
        <f t="shared" ref="N43:N46" si="42">AVERAGE(B43:M43)</f>
        <v>8114.7311492620202</v>
      </c>
      <c r="P43" s="2">
        <v>1996</v>
      </c>
      <c r="Q43" s="410">
        <v>1300</v>
      </c>
      <c r="R43" s="410">
        <v>1485</v>
      </c>
      <c r="S43" s="410">
        <v>907</v>
      </c>
      <c r="T43" s="410">
        <v>373</v>
      </c>
      <c r="U43" s="410">
        <v>617</v>
      </c>
      <c r="V43" s="410">
        <v>719</v>
      </c>
      <c r="W43" s="410">
        <v>824</v>
      </c>
      <c r="X43" s="410">
        <v>692</v>
      </c>
      <c r="Y43" s="410">
        <v>710</v>
      </c>
      <c r="Z43" s="410">
        <v>601</v>
      </c>
      <c r="AA43" s="410">
        <v>293</v>
      </c>
      <c r="AB43" s="410">
        <v>991</v>
      </c>
      <c r="AC43" s="25">
        <f t="shared" ref="AC43:AC59" si="43">AVERAGE(Q43:AB43)</f>
        <v>792.66666666666663</v>
      </c>
    </row>
    <row r="44" spans="1:29">
      <c r="A44" s="2">
        <f t="shared" ref="A44:A78" si="44">A4</f>
        <v>2011</v>
      </c>
      <c r="B44" s="34">
        <f t="shared" ref="B44:M44" si="45">B124+B204+B364</f>
        <v>8742.648104628588</v>
      </c>
      <c r="C44" s="34">
        <f t="shared" si="45"/>
        <v>6392.8481046285888</v>
      </c>
      <c r="D44" s="34">
        <f t="shared" si="45"/>
        <v>5281.7481046285893</v>
      </c>
      <c r="E44" s="34">
        <f t="shared" si="45"/>
        <v>7526.8481046285888</v>
      </c>
      <c r="F44" s="34">
        <f t="shared" si="45"/>
        <v>7687.8219798144564</v>
      </c>
      <c r="G44" s="34">
        <f t="shared" si="45"/>
        <v>8516.8219798144564</v>
      </c>
      <c r="H44" s="34">
        <f t="shared" si="45"/>
        <v>8219.8219798144564</v>
      </c>
      <c r="I44" s="34">
        <f t="shared" si="45"/>
        <v>8511.8219798144564</v>
      </c>
      <c r="J44" s="34">
        <f t="shared" si="45"/>
        <v>7598.8219798144564</v>
      </c>
      <c r="K44" s="34">
        <f t="shared" si="45"/>
        <v>6647.8219798144564</v>
      </c>
      <c r="L44" s="34">
        <f t="shared" si="45"/>
        <v>5442.7219798144561</v>
      </c>
      <c r="M44" s="34">
        <f t="shared" si="45"/>
        <v>4836.8219798144564</v>
      </c>
      <c r="N44" s="25">
        <f t="shared" si="42"/>
        <v>7117.2140214191668</v>
      </c>
      <c r="P44" s="2">
        <f>P43+1</f>
        <v>1997</v>
      </c>
      <c r="Q44" s="410">
        <v>1233</v>
      </c>
      <c r="R44" s="410">
        <v>692</v>
      </c>
      <c r="S44" s="410">
        <v>210</v>
      </c>
      <c r="T44" s="410">
        <v>297</v>
      </c>
      <c r="U44" s="410">
        <v>667</v>
      </c>
      <c r="V44" s="410">
        <v>643</v>
      </c>
      <c r="W44" s="410">
        <v>872</v>
      </c>
      <c r="X44" s="410">
        <v>763</v>
      </c>
      <c r="Y44" s="410">
        <v>737</v>
      </c>
      <c r="Z44" s="410">
        <v>560</v>
      </c>
      <c r="AA44" s="410">
        <v>539</v>
      </c>
      <c r="AB44" s="410">
        <v>793</v>
      </c>
      <c r="AC44" s="25">
        <f t="shared" si="43"/>
        <v>667.16666666666663</v>
      </c>
    </row>
    <row r="45" spans="1:29">
      <c r="A45" s="2">
        <f t="shared" si="44"/>
        <v>2012</v>
      </c>
      <c r="B45" s="34">
        <f t="shared" ref="B45:M45" si="46">B125+B205+B365</f>
        <v>7691.6080000000002</v>
      </c>
      <c r="C45" s="34">
        <f t="shared" si="46"/>
        <v>7551.6080000000002</v>
      </c>
      <c r="D45" s="34">
        <f t="shared" si="46"/>
        <v>5842.6080000000002</v>
      </c>
      <c r="E45" s="34">
        <f t="shared" si="46"/>
        <v>6846.6080000000002</v>
      </c>
      <c r="F45" s="34">
        <f t="shared" si="46"/>
        <v>7761.6080000000002</v>
      </c>
      <c r="G45" s="34">
        <f t="shared" si="46"/>
        <v>8063.6080000000002</v>
      </c>
      <c r="H45" s="34">
        <f t="shared" si="46"/>
        <v>8244.6080000000002</v>
      </c>
      <c r="I45" s="34">
        <f t="shared" si="46"/>
        <v>8280.6080000000002</v>
      </c>
      <c r="J45" s="34">
        <f t="shared" si="46"/>
        <v>7913.6080000000002</v>
      </c>
      <c r="K45" s="34">
        <f t="shared" si="46"/>
        <v>7518.6080000000002</v>
      </c>
      <c r="L45" s="34">
        <f t="shared" si="46"/>
        <v>5079.6080000000002</v>
      </c>
      <c r="M45" s="34">
        <f t="shared" si="46"/>
        <v>6004.6080000000002</v>
      </c>
      <c r="N45" s="25">
        <f t="shared" si="42"/>
        <v>7233.274666666669</v>
      </c>
      <c r="P45" s="2">
        <f t="shared" ref="P45:P77" si="47">P44+1</f>
        <v>1998</v>
      </c>
      <c r="Q45" s="410">
        <v>831</v>
      </c>
      <c r="R45" s="410">
        <v>741</v>
      </c>
      <c r="S45" s="410">
        <v>940</v>
      </c>
      <c r="T45" s="410">
        <v>365</v>
      </c>
      <c r="U45" s="410">
        <v>765</v>
      </c>
      <c r="V45" s="410">
        <v>1149</v>
      </c>
      <c r="W45" s="410">
        <v>941</v>
      </c>
      <c r="X45" s="410">
        <v>897</v>
      </c>
      <c r="Y45" s="410">
        <v>790</v>
      </c>
      <c r="Z45" s="410">
        <v>713</v>
      </c>
      <c r="AA45" s="410">
        <v>285</v>
      </c>
      <c r="AB45" s="410">
        <v>759</v>
      </c>
      <c r="AC45" s="25">
        <f t="shared" si="43"/>
        <v>764.66666666666663</v>
      </c>
    </row>
    <row r="46" spans="1:29">
      <c r="A46" s="2">
        <f t="shared" si="44"/>
        <v>2013</v>
      </c>
      <c r="B46" s="34">
        <f t="shared" ref="B46:M46" si="48">B126+B206+B366</f>
        <v>5306.72</v>
      </c>
      <c r="C46" s="34">
        <f t="shared" si="48"/>
        <v>7001.79</v>
      </c>
      <c r="D46" s="34">
        <f t="shared" si="48"/>
        <v>6961.21</v>
      </c>
      <c r="E46" s="34">
        <f t="shared" si="48"/>
        <v>6712.16</v>
      </c>
      <c r="F46" s="34">
        <f t="shared" si="48"/>
        <v>7411.33</v>
      </c>
      <c r="G46" s="34">
        <f t="shared" si="48"/>
        <v>7921.25</v>
      </c>
      <c r="H46" s="880">
        <f t="shared" si="48"/>
        <v>8584.82</v>
      </c>
      <c r="I46" s="880">
        <f t="shared" si="48"/>
        <v>8727.85</v>
      </c>
      <c r="J46" s="880">
        <f t="shared" si="48"/>
        <v>8063</v>
      </c>
      <c r="K46" s="880">
        <f t="shared" si="48"/>
        <v>7549.41</v>
      </c>
      <c r="L46" s="880">
        <f t="shared" si="48"/>
        <v>5929.28</v>
      </c>
      <c r="M46" s="880">
        <f t="shared" si="48"/>
        <v>7418.5</v>
      </c>
      <c r="N46" s="25">
        <f t="shared" si="42"/>
        <v>7298.9433333333336</v>
      </c>
      <c r="P46" s="2">
        <f t="shared" si="47"/>
        <v>1999</v>
      </c>
      <c r="Q46" s="410">
        <v>1736</v>
      </c>
      <c r="R46" s="410">
        <v>1090</v>
      </c>
      <c r="S46" s="410">
        <v>890</v>
      </c>
      <c r="T46" s="410">
        <v>748</v>
      </c>
      <c r="U46" s="410">
        <v>910</v>
      </c>
      <c r="V46" s="410">
        <v>942</v>
      </c>
      <c r="W46" s="410">
        <v>1223</v>
      </c>
      <c r="X46" s="410">
        <v>1321</v>
      </c>
      <c r="Y46" s="410">
        <v>1024</v>
      </c>
      <c r="Z46" s="410">
        <v>887</v>
      </c>
      <c r="AA46" s="410">
        <v>636</v>
      </c>
      <c r="AB46" s="410">
        <v>1364</v>
      </c>
      <c r="AC46" s="25">
        <f t="shared" si="43"/>
        <v>1064.25</v>
      </c>
    </row>
    <row r="47" spans="1:29">
      <c r="A47" s="2">
        <f t="shared" si="44"/>
        <v>2014</v>
      </c>
      <c r="B47" s="880">
        <f t="shared" ref="B47:M47" si="49">B127+B207+B367</f>
        <v>8869.93</v>
      </c>
      <c r="C47" s="880">
        <f t="shared" si="49"/>
        <v>7455.65</v>
      </c>
      <c r="D47" s="880">
        <f t="shared" si="49"/>
        <v>6627.28</v>
      </c>
      <c r="E47" s="880">
        <f t="shared" si="49"/>
        <v>6948.21</v>
      </c>
      <c r="F47" s="880">
        <f t="shared" si="49"/>
        <v>7826.42</v>
      </c>
      <c r="G47" s="880">
        <f t="shared" si="49"/>
        <v>8329.2900000000009</v>
      </c>
      <c r="H47" s="880">
        <f t="shared" si="49"/>
        <v>8633.99</v>
      </c>
      <c r="I47" s="880">
        <f t="shared" si="49"/>
        <v>8811.98</v>
      </c>
      <c r="J47" s="880">
        <f t="shared" si="49"/>
        <v>8098.18</v>
      </c>
      <c r="K47" s="880">
        <f t="shared" si="49"/>
        <v>7671.21</v>
      </c>
      <c r="L47" s="880">
        <f t="shared" si="49"/>
        <v>5982.17</v>
      </c>
      <c r="M47" s="880">
        <f t="shared" si="49"/>
        <v>7983.59</v>
      </c>
      <c r="N47" s="25">
        <f t="shared" ref="N47:N67" si="50">AVERAGE(B47:M47)</f>
        <v>7769.8249999999998</v>
      </c>
      <c r="P47" s="2">
        <f t="shared" si="47"/>
        <v>2000</v>
      </c>
      <c r="Q47" s="410">
        <v>1724</v>
      </c>
      <c r="R47" s="410">
        <v>1531</v>
      </c>
      <c r="S47" s="410">
        <v>611</v>
      </c>
      <c r="T47" s="410">
        <v>621</v>
      </c>
      <c r="U47" s="410">
        <v>1207</v>
      </c>
      <c r="V47" s="410">
        <v>1161</v>
      </c>
      <c r="W47" s="410">
        <v>1254</v>
      </c>
      <c r="X47" s="410">
        <v>1315</v>
      </c>
      <c r="Y47" s="410">
        <v>1190</v>
      </c>
      <c r="Z47" s="410">
        <v>1087</v>
      </c>
      <c r="AA47" s="410">
        <v>1413</v>
      </c>
      <c r="AB47" s="410">
        <v>1812</v>
      </c>
      <c r="AC47" s="25">
        <f t="shared" si="43"/>
        <v>1243.8333333333333</v>
      </c>
    </row>
    <row r="48" spans="1:29">
      <c r="A48" s="2">
        <f t="shared" si="44"/>
        <v>2015</v>
      </c>
      <c r="B48" s="880">
        <f t="shared" ref="B48:M48" si="51">B128+B208+B368</f>
        <v>9133.0499999999993</v>
      </c>
      <c r="C48" s="880">
        <f t="shared" si="51"/>
        <v>8112.67</v>
      </c>
      <c r="D48" s="880">
        <f t="shared" si="51"/>
        <v>7321.3</v>
      </c>
      <c r="E48" s="880">
        <f t="shared" si="51"/>
        <v>7183.19</v>
      </c>
      <c r="F48" s="880">
        <f t="shared" si="51"/>
        <v>8042.54</v>
      </c>
      <c r="G48" s="880">
        <f t="shared" si="51"/>
        <v>8543.4500000000007</v>
      </c>
      <c r="H48" s="880">
        <f t="shared" si="51"/>
        <v>8858.11</v>
      </c>
      <c r="I48" s="880">
        <f t="shared" si="51"/>
        <v>9042.06</v>
      </c>
      <c r="J48" s="880">
        <f t="shared" si="51"/>
        <v>8293.39</v>
      </c>
      <c r="K48" s="880">
        <f t="shared" si="51"/>
        <v>7943.29</v>
      </c>
      <c r="L48" s="880">
        <f t="shared" si="51"/>
        <v>6174.19</v>
      </c>
      <c r="M48" s="880">
        <f t="shared" si="51"/>
        <v>8086.7</v>
      </c>
      <c r="N48" s="25">
        <f t="shared" si="50"/>
        <v>8061.161666666666</v>
      </c>
      <c r="P48" s="2">
        <f t="shared" si="47"/>
        <v>2001</v>
      </c>
      <c r="Q48" s="410">
        <v>1980</v>
      </c>
      <c r="R48" s="410">
        <v>1250</v>
      </c>
      <c r="S48" s="410">
        <v>967</v>
      </c>
      <c r="T48" s="410">
        <v>1062</v>
      </c>
      <c r="U48" s="410">
        <v>839</v>
      </c>
      <c r="V48" s="410">
        <v>1003</v>
      </c>
      <c r="W48" s="410">
        <v>1017</v>
      </c>
      <c r="X48" s="410">
        <v>1113</v>
      </c>
      <c r="Y48" s="410">
        <v>858</v>
      </c>
      <c r="Z48" s="410">
        <v>951</v>
      </c>
      <c r="AA48" s="410">
        <v>365</v>
      </c>
      <c r="AB48" s="410">
        <v>581</v>
      </c>
      <c r="AC48" s="25">
        <f t="shared" si="43"/>
        <v>998.83333333333337</v>
      </c>
    </row>
    <row r="49" spans="1:29">
      <c r="A49" s="2">
        <f t="shared" si="44"/>
        <v>2016</v>
      </c>
      <c r="B49" s="880">
        <f t="shared" ref="B49:M49" si="52">B129+B209+B369</f>
        <v>9370.27</v>
      </c>
      <c r="C49" s="880">
        <f t="shared" si="52"/>
        <v>8310.7000000000007</v>
      </c>
      <c r="D49" s="880">
        <f t="shared" si="52"/>
        <v>7567.41</v>
      </c>
      <c r="E49" s="880">
        <f t="shared" si="52"/>
        <v>7432.27</v>
      </c>
      <c r="F49" s="880">
        <f t="shared" si="52"/>
        <v>8354.67</v>
      </c>
      <c r="G49" s="880">
        <f t="shared" si="52"/>
        <v>8607.6200000000008</v>
      </c>
      <c r="H49" s="880">
        <f t="shared" si="52"/>
        <v>8929.33</v>
      </c>
      <c r="I49" s="880">
        <f t="shared" si="52"/>
        <v>9149.23</v>
      </c>
      <c r="J49" s="880">
        <f t="shared" si="52"/>
        <v>8337.51</v>
      </c>
      <c r="K49" s="880">
        <f t="shared" si="52"/>
        <v>8063.35</v>
      </c>
      <c r="L49" s="880">
        <f t="shared" si="52"/>
        <v>6218.27</v>
      </c>
      <c r="M49" s="880">
        <f t="shared" si="52"/>
        <v>8038.83</v>
      </c>
      <c r="N49" s="25">
        <f t="shared" si="50"/>
        <v>8198.2883333333339</v>
      </c>
      <c r="P49" s="2">
        <f t="shared" si="47"/>
        <v>2002</v>
      </c>
      <c r="Q49" s="410">
        <v>1619</v>
      </c>
      <c r="R49" s="410">
        <v>1404</v>
      </c>
      <c r="S49" s="410">
        <v>1132</v>
      </c>
      <c r="T49" s="410">
        <v>663</v>
      </c>
      <c r="U49" s="410">
        <v>1019</v>
      </c>
      <c r="V49" s="410">
        <v>746</v>
      </c>
      <c r="W49" s="410">
        <v>1199</v>
      </c>
      <c r="X49" s="410">
        <v>924</v>
      </c>
      <c r="Y49" s="410">
        <v>974</v>
      </c>
      <c r="Z49" s="410">
        <v>986</v>
      </c>
      <c r="AA49" s="410">
        <v>806</v>
      </c>
      <c r="AB49" s="410">
        <v>1056</v>
      </c>
      <c r="AC49" s="25">
        <f t="shared" si="43"/>
        <v>1044</v>
      </c>
    </row>
    <row r="50" spans="1:29">
      <c r="A50" s="2">
        <f t="shared" si="44"/>
        <v>2017</v>
      </c>
      <c r="B50" s="880">
        <f t="shared" ref="B50:M50" si="53">B130+B210+B370</f>
        <v>9297.66</v>
      </c>
      <c r="C50" s="880">
        <f t="shared" si="53"/>
        <v>8222.94</v>
      </c>
      <c r="D50" s="880">
        <f t="shared" si="53"/>
        <v>7310.3899999999994</v>
      </c>
      <c r="E50" s="880">
        <f t="shared" si="53"/>
        <v>7378.62</v>
      </c>
      <c r="F50" s="880">
        <f t="shared" si="53"/>
        <v>8326.3799999999992</v>
      </c>
      <c r="G50" s="880">
        <f t="shared" si="53"/>
        <v>8725.0400000000009</v>
      </c>
      <c r="H50" s="880">
        <f t="shared" si="53"/>
        <v>9053.5400000000009</v>
      </c>
      <c r="I50" s="880">
        <f t="shared" si="53"/>
        <v>9307.18</v>
      </c>
      <c r="J50" s="880">
        <f t="shared" si="53"/>
        <v>8454.58</v>
      </c>
      <c r="K50" s="880">
        <f t="shared" si="53"/>
        <v>8170.45</v>
      </c>
      <c r="L50" s="880">
        <f t="shared" si="53"/>
        <v>6282</v>
      </c>
      <c r="M50" s="880">
        <f t="shared" si="53"/>
        <v>7998.53</v>
      </c>
      <c r="N50" s="25">
        <f t="shared" si="50"/>
        <v>8210.6091666666671</v>
      </c>
      <c r="P50" s="2">
        <f t="shared" si="47"/>
        <v>2003</v>
      </c>
      <c r="Q50" s="410">
        <v>1533</v>
      </c>
      <c r="R50" s="410">
        <v>651</v>
      </c>
      <c r="S50" s="410">
        <v>726</v>
      </c>
      <c r="T50" s="410">
        <v>710</v>
      </c>
      <c r="U50" s="410">
        <v>709</v>
      </c>
      <c r="V50" s="410">
        <v>728</v>
      </c>
      <c r="W50" s="410">
        <v>883</v>
      </c>
      <c r="X50" s="410">
        <v>791</v>
      </c>
      <c r="Y50" s="410">
        <v>703</v>
      </c>
      <c r="Z50" s="410">
        <v>536</v>
      </c>
      <c r="AA50" s="410">
        <v>544</v>
      </c>
      <c r="AB50" s="410">
        <v>1195</v>
      </c>
      <c r="AC50" s="25">
        <f t="shared" si="43"/>
        <v>809.08333333333337</v>
      </c>
    </row>
    <row r="51" spans="1:29">
      <c r="A51" s="2">
        <f t="shared" si="44"/>
        <v>2018</v>
      </c>
      <c r="B51" s="880">
        <f t="shared" ref="B51:M51" si="54">B131+B211+B371</f>
        <v>9543.85</v>
      </c>
      <c r="C51" s="880">
        <f t="shared" si="54"/>
        <v>8292.94</v>
      </c>
      <c r="D51" s="880">
        <f t="shared" si="54"/>
        <v>7389.53</v>
      </c>
      <c r="E51" s="880">
        <f t="shared" si="54"/>
        <v>7629.75</v>
      </c>
      <c r="F51" s="880">
        <f t="shared" si="54"/>
        <v>8637.48</v>
      </c>
      <c r="G51" s="880">
        <f t="shared" si="54"/>
        <v>8938.17</v>
      </c>
      <c r="H51" s="880">
        <f t="shared" si="54"/>
        <v>9180.64</v>
      </c>
      <c r="I51" s="880">
        <f t="shared" si="54"/>
        <v>9439.2199999999993</v>
      </c>
      <c r="J51" s="880">
        <f t="shared" si="54"/>
        <v>8556.61</v>
      </c>
      <c r="K51" s="880">
        <f t="shared" si="54"/>
        <v>8291.48</v>
      </c>
      <c r="L51" s="880">
        <f t="shared" si="54"/>
        <v>6336.05</v>
      </c>
      <c r="M51" s="880">
        <f t="shared" si="54"/>
        <v>8049.8</v>
      </c>
      <c r="N51" s="25">
        <f t="shared" si="50"/>
        <v>8357.126666666667</v>
      </c>
      <c r="P51" s="2">
        <f t="shared" si="47"/>
        <v>2004</v>
      </c>
      <c r="Q51" s="410">
        <v>1163</v>
      </c>
      <c r="R51" s="410">
        <v>890</v>
      </c>
      <c r="S51" s="410">
        <v>552</v>
      </c>
      <c r="T51" s="410">
        <v>549</v>
      </c>
      <c r="U51" s="410">
        <v>837</v>
      </c>
      <c r="V51" s="410">
        <v>1067</v>
      </c>
      <c r="W51" s="410">
        <v>1078</v>
      </c>
      <c r="X51" s="410">
        <v>1002</v>
      </c>
      <c r="Y51" s="410">
        <v>959</v>
      </c>
      <c r="Z51" s="410">
        <v>820</v>
      </c>
      <c r="AA51" s="410">
        <v>752</v>
      </c>
      <c r="AB51" s="410">
        <v>1067</v>
      </c>
      <c r="AC51" s="25">
        <f t="shared" si="43"/>
        <v>894.66666666666663</v>
      </c>
    </row>
    <row r="52" spans="1:29">
      <c r="A52" s="2">
        <f t="shared" si="44"/>
        <v>2019</v>
      </c>
      <c r="B52" s="880">
        <f t="shared" ref="B52:M52" si="55">B132+B212+B372</f>
        <v>9639.0499999999993</v>
      </c>
      <c r="C52" s="880">
        <f t="shared" si="55"/>
        <v>8356.07</v>
      </c>
      <c r="D52" s="880">
        <f t="shared" si="55"/>
        <v>7464.66</v>
      </c>
      <c r="E52" s="880">
        <f t="shared" si="55"/>
        <v>7749.8</v>
      </c>
      <c r="F52" s="880">
        <f t="shared" si="55"/>
        <v>8939.57</v>
      </c>
      <c r="G52" s="880">
        <f t="shared" si="55"/>
        <v>9303.2199999999993</v>
      </c>
      <c r="H52" s="880">
        <f t="shared" si="55"/>
        <v>9547.73</v>
      </c>
      <c r="I52" s="880">
        <f t="shared" si="55"/>
        <v>9813.27</v>
      </c>
      <c r="J52" s="880">
        <f t="shared" si="55"/>
        <v>8902.7199999999993</v>
      </c>
      <c r="K52" s="880">
        <f t="shared" si="55"/>
        <v>8655.61</v>
      </c>
      <c r="L52" s="880">
        <f t="shared" si="55"/>
        <v>6638.18</v>
      </c>
      <c r="M52" s="880">
        <f t="shared" si="55"/>
        <v>8347.9</v>
      </c>
      <c r="N52" s="25">
        <f t="shared" si="50"/>
        <v>8613.1483333333326</v>
      </c>
      <c r="P52" s="2">
        <f t="shared" si="47"/>
        <v>2005</v>
      </c>
      <c r="Q52" s="410">
        <v>1600</v>
      </c>
      <c r="R52" s="410">
        <v>950</v>
      </c>
      <c r="S52" s="410">
        <v>948</v>
      </c>
      <c r="T52" s="410">
        <v>689</v>
      </c>
      <c r="U52" s="410">
        <v>1025</v>
      </c>
      <c r="V52" s="410">
        <v>1032</v>
      </c>
      <c r="W52" s="410">
        <v>1267</v>
      </c>
      <c r="X52" s="410">
        <v>1117</v>
      </c>
      <c r="Y52" s="410">
        <v>1140</v>
      </c>
      <c r="Z52" s="410">
        <v>866</v>
      </c>
      <c r="AA52" s="410">
        <v>667</v>
      </c>
      <c r="AB52" s="410">
        <v>1166</v>
      </c>
      <c r="AC52" s="25">
        <f t="shared" si="43"/>
        <v>1038.9166666666667</v>
      </c>
    </row>
    <row r="53" spans="1:29">
      <c r="A53" s="2">
        <f t="shared" si="44"/>
        <v>2020</v>
      </c>
      <c r="B53" s="880">
        <f t="shared" ref="B53:M53" si="56">B133+B213+B373</f>
        <v>9971.24</v>
      </c>
      <c r="C53" s="880">
        <f t="shared" si="56"/>
        <v>8661.07</v>
      </c>
      <c r="D53" s="880">
        <f t="shared" si="56"/>
        <v>7779.7</v>
      </c>
      <c r="E53" s="880">
        <f t="shared" si="56"/>
        <v>8113.85</v>
      </c>
      <c r="F53" s="880">
        <f t="shared" si="56"/>
        <v>9316.67</v>
      </c>
      <c r="G53" s="880">
        <f t="shared" si="56"/>
        <v>9414.36</v>
      </c>
      <c r="H53" s="880">
        <f t="shared" si="56"/>
        <v>9663.92</v>
      </c>
      <c r="I53" s="880">
        <f t="shared" si="56"/>
        <v>9935.41</v>
      </c>
      <c r="J53" s="880">
        <f t="shared" si="56"/>
        <v>8997.75</v>
      </c>
      <c r="K53" s="880">
        <f t="shared" si="56"/>
        <v>8767.74</v>
      </c>
      <c r="L53" s="880">
        <f t="shared" si="56"/>
        <v>6687.23</v>
      </c>
      <c r="M53" s="880">
        <f t="shared" si="56"/>
        <v>8393.09</v>
      </c>
      <c r="N53" s="25">
        <f t="shared" si="50"/>
        <v>8808.5025000000005</v>
      </c>
      <c r="P53" s="2">
        <f t="shared" si="47"/>
        <v>2006</v>
      </c>
      <c r="Q53" s="410">
        <v>990</v>
      </c>
      <c r="R53" s="410">
        <v>1467</v>
      </c>
      <c r="S53" s="410">
        <v>507</v>
      </c>
      <c r="T53" s="410">
        <v>654</v>
      </c>
      <c r="U53" s="410">
        <v>914</v>
      </c>
      <c r="V53" s="410">
        <v>1148</v>
      </c>
      <c r="W53" s="410">
        <v>1204</v>
      </c>
      <c r="X53" s="410">
        <v>1257</v>
      </c>
      <c r="Y53" s="410">
        <v>954</v>
      </c>
      <c r="Z53" s="410">
        <v>801</v>
      </c>
      <c r="AA53" s="410">
        <v>625</v>
      </c>
      <c r="AB53" s="410">
        <v>999</v>
      </c>
      <c r="AC53" s="25">
        <f t="shared" si="43"/>
        <v>960</v>
      </c>
    </row>
    <row r="54" spans="1:29">
      <c r="A54" s="2">
        <f t="shared" si="44"/>
        <v>2021</v>
      </c>
      <c r="B54" s="880">
        <f t="shared" ref="B54:M54" si="57">B134+B214+B374</f>
        <v>10059.34</v>
      </c>
      <c r="C54" s="880">
        <f t="shared" si="57"/>
        <v>8720.16</v>
      </c>
      <c r="D54" s="880">
        <f t="shared" si="57"/>
        <v>7846.82</v>
      </c>
      <c r="E54" s="880">
        <f t="shared" si="57"/>
        <v>8227.98</v>
      </c>
      <c r="F54" s="880">
        <f t="shared" si="57"/>
        <v>9438.77</v>
      </c>
      <c r="G54" s="880">
        <f t="shared" si="57"/>
        <v>9421.41</v>
      </c>
      <c r="H54" s="880">
        <f t="shared" si="57"/>
        <v>9673.92</v>
      </c>
      <c r="I54" s="880">
        <f t="shared" si="57"/>
        <v>9952.4500000000007</v>
      </c>
      <c r="J54" s="880">
        <f t="shared" si="57"/>
        <v>8988.77</v>
      </c>
      <c r="K54" s="880">
        <f t="shared" si="57"/>
        <v>8875.7800000000007</v>
      </c>
      <c r="L54" s="880">
        <f t="shared" si="57"/>
        <v>6736.37</v>
      </c>
      <c r="M54" s="880">
        <f t="shared" si="57"/>
        <v>8438.2800000000007</v>
      </c>
      <c r="N54" s="25">
        <f t="shared" si="50"/>
        <v>8865.0041666666675</v>
      </c>
      <c r="P54" s="2">
        <f t="shared" si="47"/>
        <v>2007</v>
      </c>
      <c r="Q54" s="410">
        <v>1312</v>
      </c>
      <c r="R54" s="410">
        <v>1575</v>
      </c>
      <c r="S54" s="410">
        <v>936</v>
      </c>
      <c r="T54" s="410">
        <v>863</v>
      </c>
      <c r="U54" s="410">
        <v>974</v>
      </c>
      <c r="V54" s="410">
        <v>1273</v>
      </c>
      <c r="W54" s="410">
        <v>1378</v>
      </c>
      <c r="X54" s="410">
        <v>1544</v>
      </c>
      <c r="Y54" s="410">
        <v>1219</v>
      </c>
      <c r="Z54" s="410">
        <v>1010</v>
      </c>
      <c r="AA54" s="410">
        <v>941</v>
      </c>
      <c r="AB54" s="410">
        <v>1011</v>
      </c>
      <c r="AC54" s="25">
        <f t="shared" si="43"/>
        <v>1169.6666666666667</v>
      </c>
    </row>
    <row r="55" spans="1:29">
      <c r="A55" s="2">
        <f t="shared" si="44"/>
        <v>2022</v>
      </c>
      <c r="B55" s="880">
        <f t="shared" ref="B55:M55" si="58">B135+B215+B375</f>
        <v>10143.530000000001</v>
      </c>
      <c r="C55" s="880">
        <f t="shared" si="58"/>
        <v>8777.16</v>
      </c>
      <c r="D55" s="880">
        <f t="shared" si="58"/>
        <v>7912.86</v>
      </c>
      <c r="E55" s="880">
        <f t="shared" si="58"/>
        <v>8337.0300000000007</v>
      </c>
      <c r="F55" s="880">
        <f t="shared" si="58"/>
        <v>9558.77</v>
      </c>
      <c r="G55" s="880">
        <f t="shared" si="58"/>
        <v>9527.4500000000007</v>
      </c>
      <c r="H55" s="880">
        <f t="shared" si="58"/>
        <v>9784.1</v>
      </c>
      <c r="I55" s="880">
        <f t="shared" si="58"/>
        <v>10066.59</v>
      </c>
      <c r="J55" s="880">
        <f t="shared" si="58"/>
        <v>9076.7900000000009</v>
      </c>
      <c r="K55" s="880">
        <f t="shared" si="58"/>
        <v>8979.99</v>
      </c>
      <c r="L55" s="880">
        <f t="shared" si="58"/>
        <v>6785.42</v>
      </c>
      <c r="M55" s="880">
        <f t="shared" si="58"/>
        <v>8482.4599999999991</v>
      </c>
      <c r="N55" s="25">
        <f t="shared" si="50"/>
        <v>8952.6791666666668</v>
      </c>
      <c r="P55" s="2">
        <f t="shared" si="47"/>
        <v>2008</v>
      </c>
      <c r="Q55" s="410">
        <v>1828</v>
      </c>
      <c r="R55" s="410">
        <v>1427</v>
      </c>
      <c r="S55" s="410">
        <v>1054</v>
      </c>
      <c r="T55" s="410">
        <v>1316</v>
      </c>
      <c r="U55" s="410">
        <v>1578</v>
      </c>
      <c r="V55" s="410">
        <v>1584</v>
      </c>
      <c r="W55" s="410">
        <v>1559</v>
      </c>
      <c r="X55" s="410">
        <v>1512</v>
      </c>
      <c r="Y55" s="410">
        <v>1503</v>
      </c>
      <c r="Z55" s="410">
        <v>1084</v>
      </c>
      <c r="AA55" s="410">
        <v>1231</v>
      </c>
      <c r="AB55" s="410">
        <v>1408</v>
      </c>
      <c r="AC55" s="25">
        <f t="shared" si="43"/>
        <v>1423.6666666666667</v>
      </c>
    </row>
    <row r="56" spans="1:29">
      <c r="A56" s="2">
        <f t="shared" si="44"/>
        <v>2023</v>
      </c>
      <c r="B56" s="880">
        <f t="shared" ref="B56:M56" si="59">B136+B216+B376</f>
        <v>10224.719999999999</v>
      </c>
      <c r="C56" s="880">
        <f t="shared" si="59"/>
        <v>8830.25</v>
      </c>
      <c r="D56" s="880">
        <f t="shared" si="59"/>
        <v>7976.9</v>
      </c>
      <c r="E56" s="880">
        <f t="shared" si="59"/>
        <v>8440.17</v>
      </c>
      <c r="F56" s="880">
        <f t="shared" si="59"/>
        <v>9669.86</v>
      </c>
      <c r="G56" s="880">
        <f t="shared" si="59"/>
        <v>9625.59</v>
      </c>
      <c r="H56" s="880">
        <f t="shared" si="59"/>
        <v>9884.19</v>
      </c>
      <c r="I56" s="880">
        <f t="shared" si="59"/>
        <v>10172.73</v>
      </c>
      <c r="J56" s="880">
        <f t="shared" si="59"/>
        <v>9159.82</v>
      </c>
      <c r="K56" s="880">
        <f t="shared" si="59"/>
        <v>9079.1299999999992</v>
      </c>
      <c r="L56" s="880">
        <f t="shared" si="59"/>
        <v>6828.64</v>
      </c>
      <c r="M56" s="880">
        <f t="shared" si="59"/>
        <v>8524.66</v>
      </c>
      <c r="N56" s="25">
        <f t="shared" si="50"/>
        <v>9034.7216666666682</v>
      </c>
      <c r="P56" s="2">
        <f t="shared" si="47"/>
        <v>2009</v>
      </c>
      <c r="Q56" s="410">
        <v>2229</v>
      </c>
      <c r="R56" s="410">
        <v>2228</v>
      </c>
      <c r="S56" s="410">
        <v>1219</v>
      </c>
      <c r="T56" s="410">
        <v>706</v>
      </c>
      <c r="U56" s="410">
        <v>1157</v>
      </c>
      <c r="V56" s="410">
        <v>1618</v>
      </c>
      <c r="W56" s="410">
        <v>1153</v>
      </c>
      <c r="X56" s="410">
        <v>1428</v>
      </c>
      <c r="Y56" s="410">
        <v>978</v>
      </c>
      <c r="Z56" s="410">
        <v>1027</v>
      </c>
      <c r="AA56" s="410">
        <v>552</v>
      </c>
      <c r="AB56" s="410">
        <v>958</v>
      </c>
      <c r="AC56" s="25">
        <f t="shared" si="43"/>
        <v>1271.0833333333333</v>
      </c>
    </row>
    <row r="57" spans="1:29">
      <c r="A57" s="2">
        <f t="shared" si="44"/>
        <v>2024</v>
      </c>
      <c r="B57" s="880">
        <f t="shared" ref="B57:M57" si="60">B137+B217+B377</f>
        <v>10298.82</v>
      </c>
      <c r="C57" s="880">
        <f t="shared" si="60"/>
        <v>8882.34</v>
      </c>
      <c r="D57" s="880">
        <f t="shared" si="60"/>
        <v>8035.03</v>
      </c>
      <c r="E57" s="880">
        <f t="shared" si="60"/>
        <v>8539.2199999999993</v>
      </c>
      <c r="F57" s="880">
        <f t="shared" si="60"/>
        <v>9778.9599999999991</v>
      </c>
      <c r="G57" s="880">
        <f t="shared" si="60"/>
        <v>9720.64</v>
      </c>
      <c r="H57" s="880">
        <f t="shared" si="60"/>
        <v>9982.33</v>
      </c>
      <c r="I57" s="880">
        <f t="shared" si="60"/>
        <v>10276.86</v>
      </c>
      <c r="J57" s="880">
        <f t="shared" si="60"/>
        <v>9237.93</v>
      </c>
      <c r="K57" s="880">
        <f t="shared" si="60"/>
        <v>9173.17</v>
      </c>
      <c r="L57" s="880">
        <f t="shared" si="60"/>
        <v>6868.69</v>
      </c>
      <c r="M57" s="880">
        <f t="shared" si="60"/>
        <v>8562.76</v>
      </c>
      <c r="N57" s="25">
        <f t="shared" si="50"/>
        <v>9113.0625</v>
      </c>
      <c r="P57" s="2">
        <f t="shared" si="47"/>
        <v>2010</v>
      </c>
      <c r="Q57" s="410">
        <v>2174</v>
      </c>
      <c r="R57" s="410">
        <v>1268</v>
      </c>
      <c r="S57" s="410">
        <v>1039</v>
      </c>
      <c r="T57" s="410">
        <v>422</v>
      </c>
      <c r="U57" s="410">
        <v>1043</v>
      </c>
      <c r="V57" s="410">
        <v>1143</v>
      </c>
      <c r="W57" s="410">
        <v>1272</v>
      </c>
      <c r="X57" s="410">
        <v>1165</v>
      </c>
      <c r="Y57" s="410">
        <v>966</v>
      </c>
      <c r="Z57" s="410">
        <v>764</v>
      </c>
      <c r="AA57" s="410">
        <v>433</v>
      </c>
      <c r="AB57" s="410">
        <v>1625</v>
      </c>
      <c r="AC57" s="25">
        <f t="shared" si="43"/>
        <v>1109.5</v>
      </c>
    </row>
    <row r="58" spans="1:29">
      <c r="A58" s="2">
        <f t="shared" si="44"/>
        <v>2025</v>
      </c>
      <c r="B58" s="880">
        <f t="shared" ref="B58:M58" si="61">B138+B218+B378</f>
        <v>10370</v>
      </c>
      <c r="C58" s="880">
        <f t="shared" si="61"/>
        <v>8928.52</v>
      </c>
      <c r="D58" s="880">
        <f t="shared" si="61"/>
        <v>8091.07</v>
      </c>
      <c r="E58" s="880">
        <f t="shared" si="61"/>
        <v>8632.26</v>
      </c>
      <c r="F58" s="880">
        <f t="shared" si="61"/>
        <v>9882.01</v>
      </c>
      <c r="G58" s="880">
        <f t="shared" si="61"/>
        <v>9809.77</v>
      </c>
      <c r="H58" s="880">
        <f t="shared" si="61"/>
        <v>10075.459999999999</v>
      </c>
      <c r="I58" s="880">
        <f t="shared" si="61"/>
        <v>10374</v>
      </c>
      <c r="J58" s="880">
        <f t="shared" si="61"/>
        <v>9313.9599999999991</v>
      </c>
      <c r="K58" s="880">
        <f t="shared" si="61"/>
        <v>9262.2999999999993</v>
      </c>
      <c r="L58" s="880">
        <f t="shared" si="61"/>
        <v>6908.82</v>
      </c>
      <c r="M58" s="880">
        <f t="shared" si="61"/>
        <v>8597.85</v>
      </c>
      <c r="N58" s="25">
        <f t="shared" si="50"/>
        <v>9187.1683333333331</v>
      </c>
      <c r="P58" s="2">
        <f t="shared" si="47"/>
        <v>2011</v>
      </c>
      <c r="Q58" s="410">
        <v>1007</v>
      </c>
      <c r="R58" s="410">
        <v>703</v>
      </c>
      <c r="S58" s="410">
        <v>659</v>
      </c>
      <c r="T58" s="410">
        <v>831</v>
      </c>
      <c r="U58" s="410">
        <v>888</v>
      </c>
      <c r="V58" s="410">
        <v>934</v>
      </c>
      <c r="W58" s="410">
        <v>879</v>
      </c>
      <c r="X58" s="410">
        <v>903</v>
      </c>
      <c r="Y58" s="410">
        <v>755</v>
      </c>
      <c r="Z58" s="410">
        <v>728</v>
      </c>
      <c r="AA58" s="410">
        <v>354</v>
      </c>
      <c r="AB58" s="410">
        <v>150</v>
      </c>
      <c r="AC58" s="25">
        <f t="shared" si="43"/>
        <v>732.58333333333337</v>
      </c>
    </row>
    <row r="59" spans="1:29">
      <c r="A59" s="2">
        <f t="shared" si="44"/>
        <v>2026</v>
      </c>
      <c r="B59" s="880">
        <f t="shared" ref="B59:M59" si="62">B139+B219+B379</f>
        <v>10437.19</v>
      </c>
      <c r="C59" s="880">
        <f t="shared" si="62"/>
        <v>8972.61</v>
      </c>
      <c r="D59" s="880">
        <f t="shared" si="62"/>
        <v>8145.2</v>
      </c>
      <c r="E59" s="880">
        <f t="shared" si="62"/>
        <v>8721.31</v>
      </c>
      <c r="F59" s="880">
        <f t="shared" si="62"/>
        <v>9978.0499999999993</v>
      </c>
      <c r="G59" s="880">
        <f t="shared" si="62"/>
        <v>9894.91</v>
      </c>
      <c r="H59" s="880">
        <f t="shared" si="62"/>
        <v>10161.59</v>
      </c>
      <c r="I59" s="880">
        <f t="shared" si="62"/>
        <v>10464.15</v>
      </c>
      <c r="J59" s="880">
        <f t="shared" si="62"/>
        <v>9384.07</v>
      </c>
      <c r="K59" s="880">
        <f t="shared" si="62"/>
        <v>9347.33</v>
      </c>
      <c r="L59" s="880">
        <f t="shared" si="62"/>
        <v>6945.87</v>
      </c>
      <c r="M59" s="880">
        <f t="shared" si="62"/>
        <v>8632.9500000000007</v>
      </c>
      <c r="N59" s="25">
        <f t="shared" si="50"/>
        <v>9257.1024999999991</v>
      </c>
      <c r="P59" s="2">
        <f t="shared" si="47"/>
        <v>2012</v>
      </c>
      <c r="Q59" s="410">
        <v>905</v>
      </c>
      <c r="R59" s="410">
        <v>887</v>
      </c>
      <c r="S59" s="410">
        <v>315</v>
      </c>
      <c r="T59" s="410">
        <v>419</v>
      </c>
      <c r="U59" s="410">
        <v>454</v>
      </c>
      <c r="V59" s="410">
        <v>402</v>
      </c>
      <c r="W59" s="410">
        <v>1080</v>
      </c>
      <c r="X59" s="410">
        <v>861</v>
      </c>
      <c r="Y59" s="410">
        <v>510</v>
      </c>
      <c r="Z59" s="410">
        <v>660</v>
      </c>
      <c r="AA59" s="410">
        <v>737</v>
      </c>
      <c r="AB59" s="410">
        <v>673</v>
      </c>
      <c r="AC59" s="25">
        <f t="shared" si="43"/>
        <v>658.58333333333337</v>
      </c>
    </row>
    <row r="60" spans="1:29">
      <c r="A60" s="2">
        <f t="shared" si="44"/>
        <v>2027</v>
      </c>
      <c r="B60" s="880">
        <f t="shared" ref="B60:M60" si="63">B140+B220+B380</f>
        <v>10500.38</v>
      </c>
      <c r="C60" s="880">
        <f t="shared" si="63"/>
        <v>9016.61</v>
      </c>
      <c r="D60" s="880">
        <f t="shared" si="63"/>
        <v>8194.24</v>
      </c>
      <c r="E60" s="880">
        <f t="shared" si="63"/>
        <v>8808.5499999999993</v>
      </c>
      <c r="F60" s="880">
        <f t="shared" si="63"/>
        <v>10073.09</v>
      </c>
      <c r="G60" s="880">
        <f t="shared" si="63"/>
        <v>9977.0499999999993</v>
      </c>
      <c r="H60" s="880">
        <f t="shared" si="63"/>
        <v>10246.719999999999</v>
      </c>
      <c r="I60" s="880">
        <f t="shared" si="63"/>
        <v>10555.28</v>
      </c>
      <c r="J60" s="880">
        <f t="shared" si="63"/>
        <v>9453.18</v>
      </c>
      <c r="K60" s="880">
        <f t="shared" si="63"/>
        <v>9431.3700000000008</v>
      </c>
      <c r="L60" s="880">
        <f t="shared" si="63"/>
        <v>6983.01</v>
      </c>
      <c r="M60" s="880">
        <f t="shared" si="63"/>
        <v>8665.14</v>
      </c>
      <c r="N60" s="25">
        <f t="shared" si="50"/>
        <v>9325.3850000000002</v>
      </c>
      <c r="P60" s="2">
        <f t="shared" si="47"/>
        <v>2013</v>
      </c>
      <c r="Q60" s="410">
        <v>396</v>
      </c>
      <c r="R60" s="410">
        <v>832</v>
      </c>
      <c r="S60" s="410">
        <v>837</v>
      </c>
      <c r="T60" s="410">
        <v>657</v>
      </c>
      <c r="U60" s="410">
        <v>593</v>
      </c>
      <c r="V60" s="410"/>
      <c r="W60" s="410"/>
      <c r="X60" s="410"/>
      <c r="Y60" s="410"/>
      <c r="Z60" s="410"/>
      <c r="AA60" s="410"/>
      <c r="AB60" s="410"/>
      <c r="AC60" s="25"/>
    </row>
    <row r="61" spans="1:29">
      <c r="A61" s="2">
        <f t="shared" si="44"/>
        <v>2028</v>
      </c>
      <c r="B61" s="880">
        <f t="shared" ref="B61:M61" si="64">B141+B221+B381</f>
        <v>10563.57</v>
      </c>
      <c r="C61" s="880">
        <f t="shared" si="64"/>
        <v>9057.7000000000007</v>
      </c>
      <c r="D61" s="880">
        <f t="shared" si="64"/>
        <v>8241.36</v>
      </c>
      <c r="E61" s="880">
        <f t="shared" si="64"/>
        <v>8891.6</v>
      </c>
      <c r="F61" s="880">
        <f t="shared" si="64"/>
        <v>10165.129999999999</v>
      </c>
      <c r="G61" s="880">
        <f t="shared" si="64"/>
        <v>10057.09</v>
      </c>
      <c r="H61" s="880">
        <f t="shared" si="64"/>
        <v>10329.76</v>
      </c>
      <c r="I61" s="880">
        <f t="shared" si="64"/>
        <v>10642.33</v>
      </c>
      <c r="J61" s="880">
        <f t="shared" si="64"/>
        <v>9521.2999999999993</v>
      </c>
      <c r="K61" s="880">
        <f t="shared" si="64"/>
        <v>9512.41</v>
      </c>
      <c r="L61" s="880">
        <f t="shared" si="64"/>
        <v>7017.05</v>
      </c>
      <c r="M61" s="880">
        <f t="shared" si="64"/>
        <v>8699.33</v>
      </c>
      <c r="N61" s="25">
        <f t="shared" si="50"/>
        <v>9391.5524999999998</v>
      </c>
      <c r="P61" s="2">
        <f t="shared" si="47"/>
        <v>2014</v>
      </c>
      <c r="Q61" s="410"/>
      <c r="R61" s="410"/>
      <c r="S61" s="410"/>
      <c r="T61" s="410"/>
      <c r="U61" s="410"/>
      <c r="V61" s="410"/>
      <c r="W61" s="410"/>
      <c r="X61" s="410"/>
      <c r="Y61" s="410"/>
      <c r="Z61" s="410"/>
      <c r="AA61" s="410"/>
      <c r="AB61" s="410"/>
      <c r="AC61" s="25"/>
    </row>
    <row r="62" spans="1:29">
      <c r="A62" s="2">
        <f t="shared" si="44"/>
        <v>2029</v>
      </c>
      <c r="B62" s="880">
        <f t="shared" ref="B62:M62" si="65">B142+B222+B382</f>
        <v>10624.76</v>
      </c>
      <c r="C62" s="880">
        <f t="shared" si="65"/>
        <v>9096.7000000000007</v>
      </c>
      <c r="D62" s="880">
        <f t="shared" si="65"/>
        <v>8289.49</v>
      </c>
      <c r="E62" s="880">
        <f t="shared" si="65"/>
        <v>8973.64</v>
      </c>
      <c r="F62" s="880">
        <f t="shared" si="65"/>
        <v>10254.25</v>
      </c>
      <c r="G62" s="880">
        <f t="shared" si="65"/>
        <v>10136.23</v>
      </c>
      <c r="H62" s="880">
        <f t="shared" si="65"/>
        <v>10410.89</v>
      </c>
      <c r="I62" s="880">
        <f t="shared" si="65"/>
        <v>10728.47</v>
      </c>
      <c r="J62" s="880">
        <f t="shared" si="65"/>
        <v>9586.41</v>
      </c>
      <c r="K62" s="880">
        <f t="shared" si="65"/>
        <v>9589.5400000000009</v>
      </c>
      <c r="L62" s="880">
        <f t="shared" si="65"/>
        <v>7051.19</v>
      </c>
      <c r="M62" s="880">
        <f t="shared" si="65"/>
        <v>8729.42</v>
      </c>
      <c r="N62" s="25">
        <f t="shared" si="50"/>
        <v>9455.9158333333344</v>
      </c>
      <c r="P62" s="2">
        <f t="shared" si="47"/>
        <v>2015</v>
      </c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25"/>
    </row>
    <row r="63" spans="1:29">
      <c r="A63" s="2">
        <f t="shared" si="44"/>
        <v>2030</v>
      </c>
      <c r="B63" s="880">
        <f t="shared" ref="B63:M63" si="66">B143+B223+B383</f>
        <v>10682.86</v>
      </c>
      <c r="C63" s="880">
        <f t="shared" si="66"/>
        <v>9134.7900000000009</v>
      </c>
      <c r="D63" s="880">
        <f t="shared" si="66"/>
        <v>8335.5300000000007</v>
      </c>
      <c r="E63" s="880">
        <f t="shared" si="66"/>
        <v>9050.7800000000007</v>
      </c>
      <c r="F63" s="880">
        <f t="shared" si="66"/>
        <v>10337.290000000001</v>
      </c>
      <c r="G63" s="880">
        <f t="shared" si="66"/>
        <v>10208.370000000001</v>
      </c>
      <c r="H63" s="880">
        <f t="shared" si="66"/>
        <v>10486.02</v>
      </c>
      <c r="I63" s="880">
        <f t="shared" si="66"/>
        <v>10807.6</v>
      </c>
      <c r="J63" s="880">
        <f t="shared" si="66"/>
        <v>9646.52</v>
      </c>
      <c r="K63" s="880">
        <f t="shared" si="66"/>
        <v>9662.58</v>
      </c>
      <c r="L63" s="880">
        <f t="shared" si="66"/>
        <v>7083.23</v>
      </c>
      <c r="M63" s="880">
        <f t="shared" si="66"/>
        <v>8759.61</v>
      </c>
      <c r="N63" s="25">
        <f t="shared" si="50"/>
        <v>9516.2650000000012</v>
      </c>
      <c r="P63" s="2">
        <f t="shared" si="47"/>
        <v>2016</v>
      </c>
    </row>
    <row r="64" spans="1:29">
      <c r="A64" s="2">
        <f t="shared" si="44"/>
        <v>2031</v>
      </c>
      <c r="B64" s="880">
        <f t="shared" ref="B64:M64" si="67">B144+B224+B384</f>
        <v>10738.02</v>
      </c>
      <c r="C64" s="880">
        <f t="shared" si="67"/>
        <v>9170.84</v>
      </c>
      <c r="D64" s="880">
        <f t="shared" si="67"/>
        <v>8377.57</v>
      </c>
      <c r="E64" s="880">
        <f t="shared" si="67"/>
        <v>9125.83</v>
      </c>
      <c r="F64" s="880">
        <f t="shared" si="67"/>
        <v>10418.31</v>
      </c>
      <c r="G64" s="880">
        <f t="shared" si="67"/>
        <v>10279.379999999999</v>
      </c>
      <c r="H64" s="880">
        <f t="shared" si="67"/>
        <v>10559</v>
      </c>
      <c r="I64" s="880">
        <f t="shared" si="67"/>
        <v>10883.59</v>
      </c>
      <c r="J64" s="880">
        <f t="shared" si="67"/>
        <v>9706.56</v>
      </c>
      <c r="K64" s="880">
        <f t="shared" si="67"/>
        <v>9735.67</v>
      </c>
      <c r="L64" s="880">
        <f t="shared" si="67"/>
        <v>7112.3</v>
      </c>
      <c r="M64" s="880">
        <f t="shared" si="67"/>
        <v>8786.74</v>
      </c>
      <c r="N64" s="25">
        <f t="shared" si="50"/>
        <v>9574.4841666666671</v>
      </c>
      <c r="P64" s="2">
        <f t="shared" si="47"/>
        <v>2017</v>
      </c>
    </row>
    <row r="65" spans="1:28">
      <c r="A65" s="2">
        <f t="shared" si="44"/>
        <v>2032</v>
      </c>
      <c r="B65" s="880">
        <f t="shared" ref="B65:M65" si="68">B145+B225+B385</f>
        <v>10790.17</v>
      </c>
      <c r="C65" s="880">
        <f t="shared" si="68"/>
        <v>9205.89</v>
      </c>
      <c r="D65" s="880">
        <f t="shared" si="68"/>
        <v>8417.65</v>
      </c>
      <c r="E65" s="880">
        <f t="shared" si="68"/>
        <v>9197.8799999999992</v>
      </c>
      <c r="F65" s="880">
        <f t="shared" si="68"/>
        <v>10495.36</v>
      </c>
      <c r="G65" s="880">
        <f t="shared" si="68"/>
        <v>10348.469999999999</v>
      </c>
      <c r="H65" s="880">
        <f t="shared" si="68"/>
        <v>10629.09</v>
      </c>
      <c r="I65" s="880">
        <f t="shared" si="68"/>
        <v>10958.7</v>
      </c>
      <c r="J65" s="880">
        <f t="shared" si="68"/>
        <v>9763.64</v>
      </c>
      <c r="K65" s="880">
        <f t="shared" si="68"/>
        <v>9804.75</v>
      </c>
      <c r="L65" s="880">
        <f t="shared" si="68"/>
        <v>7143.38</v>
      </c>
      <c r="M65" s="880">
        <f t="shared" si="68"/>
        <v>8813.8799999999992</v>
      </c>
      <c r="N65" s="25">
        <f t="shared" si="50"/>
        <v>9630.7383333333328</v>
      </c>
      <c r="P65" s="2">
        <f t="shared" si="47"/>
        <v>2018</v>
      </c>
      <c r="Q65" s="578"/>
      <c r="R65" s="578"/>
      <c r="S65" s="578"/>
      <c r="T65" s="578"/>
      <c r="U65" s="578"/>
      <c r="V65" s="578"/>
      <c r="W65" s="578"/>
      <c r="X65" s="578"/>
      <c r="Y65" s="578"/>
      <c r="Z65" s="578"/>
      <c r="AA65" s="578"/>
      <c r="AB65" s="578"/>
    </row>
    <row r="66" spans="1:28">
      <c r="A66" s="2">
        <f t="shared" si="44"/>
        <v>2033</v>
      </c>
      <c r="B66" s="880">
        <f t="shared" ref="B66:M66" si="69">B146+B226+B386</f>
        <v>10840.33</v>
      </c>
      <c r="C66" s="880">
        <f t="shared" si="69"/>
        <v>9237.93</v>
      </c>
      <c r="D66" s="880">
        <f t="shared" si="69"/>
        <v>8456.73</v>
      </c>
      <c r="E66" s="880">
        <f t="shared" si="69"/>
        <v>9267.92</v>
      </c>
      <c r="F66" s="880">
        <f t="shared" si="69"/>
        <v>10571.42</v>
      </c>
      <c r="G66" s="880">
        <f t="shared" si="69"/>
        <v>10413.56</v>
      </c>
      <c r="H66" s="880">
        <f t="shared" si="69"/>
        <v>10698.18</v>
      </c>
      <c r="I66" s="880">
        <f t="shared" si="69"/>
        <v>11030.79</v>
      </c>
      <c r="J66" s="880">
        <f t="shared" si="69"/>
        <v>9818.7199999999993</v>
      </c>
      <c r="K66" s="880">
        <f t="shared" si="69"/>
        <v>9871.83</v>
      </c>
      <c r="L66" s="880">
        <f t="shared" si="69"/>
        <v>7171.47</v>
      </c>
      <c r="M66" s="880">
        <f t="shared" si="69"/>
        <v>8840.0300000000007</v>
      </c>
      <c r="N66" s="25">
        <f t="shared" si="50"/>
        <v>9684.9091666666682</v>
      </c>
      <c r="P66" s="2">
        <f t="shared" si="47"/>
        <v>2019</v>
      </c>
      <c r="Q66" s="578"/>
      <c r="R66" s="578"/>
      <c r="S66" s="578"/>
      <c r="T66" s="578"/>
      <c r="U66" s="578"/>
      <c r="V66" s="578"/>
      <c r="W66" s="578"/>
      <c r="X66" s="578"/>
      <c r="Y66" s="578"/>
      <c r="Z66" s="578"/>
      <c r="AA66" s="578"/>
      <c r="AB66" s="578"/>
    </row>
    <row r="67" spans="1:28">
      <c r="A67" s="2">
        <f t="shared" si="44"/>
        <v>2034</v>
      </c>
      <c r="B67" s="880">
        <f t="shared" ref="B67:M67" si="70">B147+B227+B387</f>
        <v>10890.5</v>
      </c>
      <c r="C67" s="880">
        <f t="shared" si="70"/>
        <v>9270.98</v>
      </c>
      <c r="D67" s="880">
        <f t="shared" si="70"/>
        <v>8495.7900000000009</v>
      </c>
      <c r="E67" s="880">
        <f t="shared" si="70"/>
        <v>9335.94</v>
      </c>
      <c r="F67" s="880">
        <f t="shared" si="70"/>
        <v>10645.47</v>
      </c>
      <c r="G67" s="880">
        <f t="shared" si="70"/>
        <v>10478.66</v>
      </c>
      <c r="H67" s="880">
        <f t="shared" si="70"/>
        <v>10765.27</v>
      </c>
      <c r="I67" s="880">
        <f t="shared" si="70"/>
        <v>11101.89</v>
      </c>
      <c r="J67" s="880">
        <f t="shared" si="70"/>
        <v>9872.7999999999993</v>
      </c>
      <c r="K67" s="880">
        <f t="shared" si="70"/>
        <v>9937.91</v>
      </c>
      <c r="L67" s="880">
        <f t="shared" si="70"/>
        <v>7199.57</v>
      </c>
      <c r="M67" s="880">
        <f t="shared" si="70"/>
        <v>8865.18</v>
      </c>
      <c r="N67" s="25">
        <f t="shared" si="50"/>
        <v>9738.33</v>
      </c>
      <c r="P67" s="2">
        <f t="shared" si="47"/>
        <v>2020</v>
      </c>
      <c r="Q67" s="578"/>
      <c r="R67" s="578"/>
      <c r="S67" s="578"/>
      <c r="T67" s="578"/>
      <c r="U67" s="578"/>
      <c r="V67" s="578"/>
      <c r="W67" s="578"/>
      <c r="X67" s="578"/>
      <c r="Y67" s="578"/>
      <c r="Z67" s="578"/>
      <c r="AA67" s="578"/>
      <c r="AB67" s="578"/>
    </row>
    <row r="68" spans="1:28">
      <c r="A68" s="2">
        <f t="shared" si="44"/>
        <v>2035</v>
      </c>
      <c r="B68" s="880">
        <f t="shared" ref="B68:M68" si="71">B148+B228+B388</f>
        <v>10938.66</v>
      </c>
      <c r="C68" s="880">
        <f t="shared" si="71"/>
        <v>9301.0300000000007</v>
      </c>
      <c r="D68" s="880">
        <f t="shared" si="71"/>
        <v>8531.869999999999</v>
      </c>
      <c r="E68" s="880">
        <f t="shared" si="71"/>
        <v>9401.01</v>
      </c>
      <c r="F68" s="880">
        <f t="shared" si="71"/>
        <v>10715.52</v>
      </c>
      <c r="G68" s="880">
        <f t="shared" si="71"/>
        <v>10541.75</v>
      </c>
      <c r="H68" s="880">
        <f t="shared" si="71"/>
        <v>10831.36</v>
      </c>
      <c r="I68" s="880">
        <f t="shared" si="71"/>
        <v>11170.99</v>
      </c>
      <c r="J68" s="880">
        <f t="shared" si="71"/>
        <v>9925.8799999999992</v>
      </c>
      <c r="K68" s="880">
        <f t="shared" si="71"/>
        <v>9999.98</v>
      </c>
      <c r="L68" s="880">
        <f t="shared" si="71"/>
        <v>7224.65</v>
      </c>
      <c r="M68" s="880">
        <f t="shared" si="71"/>
        <v>8890.34</v>
      </c>
      <c r="N68" s="25">
        <f t="shared" ref="N68:N73" si="72">AVERAGE(B68:M68)</f>
        <v>9789.42</v>
      </c>
      <c r="P68" s="2">
        <f t="shared" si="47"/>
        <v>2021</v>
      </c>
      <c r="Q68" s="578"/>
      <c r="R68" s="578"/>
      <c r="S68" s="578"/>
      <c r="T68" s="578"/>
      <c r="U68" s="578"/>
      <c r="V68" s="578"/>
      <c r="W68" s="578"/>
      <c r="X68" s="578"/>
      <c r="Y68" s="578"/>
      <c r="Z68" s="578"/>
      <c r="AA68" s="578"/>
      <c r="AB68" s="578"/>
    </row>
    <row r="69" spans="1:28">
      <c r="A69" s="2">
        <f t="shared" si="44"/>
        <v>2036</v>
      </c>
      <c r="B69" s="880">
        <f t="shared" ref="B69:M69" si="73">B149+B229+B389</f>
        <v>10985.83</v>
      </c>
      <c r="C69" s="880">
        <f t="shared" si="73"/>
        <v>9333.07</v>
      </c>
      <c r="D69" s="880">
        <f t="shared" si="73"/>
        <v>8568.9500000000007</v>
      </c>
      <c r="E69" s="880">
        <f t="shared" si="73"/>
        <v>9465.1200000000008</v>
      </c>
      <c r="F69" s="880">
        <f t="shared" si="73"/>
        <v>10785.57</v>
      </c>
      <c r="G69" s="880">
        <f t="shared" si="73"/>
        <v>10601.85</v>
      </c>
      <c r="H69" s="880">
        <f t="shared" si="73"/>
        <v>10892.46</v>
      </c>
      <c r="I69" s="880">
        <f t="shared" si="73"/>
        <v>11237.1</v>
      </c>
      <c r="J69" s="880">
        <f t="shared" si="73"/>
        <v>9975.9699999999993</v>
      </c>
      <c r="K69" s="880">
        <f t="shared" si="73"/>
        <v>10065.07</v>
      </c>
      <c r="L69" s="880">
        <f t="shared" si="73"/>
        <v>7253.74</v>
      </c>
      <c r="M69" s="880">
        <f t="shared" si="73"/>
        <v>8915.48</v>
      </c>
      <c r="N69" s="25">
        <f t="shared" si="72"/>
        <v>9840.0175000000017</v>
      </c>
      <c r="P69" s="2">
        <f t="shared" si="47"/>
        <v>2022</v>
      </c>
      <c r="Q69" s="578"/>
      <c r="R69" s="578"/>
      <c r="S69" s="578"/>
      <c r="T69" s="578"/>
      <c r="U69" s="578"/>
      <c r="V69" s="578"/>
      <c r="W69" s="578"/>
      <c r="X69" s="578"/>
      <c r="Y69" s="578"/>
      <c r="Z69" s="578"/>
      <c r="AA69" s="578"/>
      <c r="AB69" s="578"/>
    </row>
    <row r="70" spans="1:28">
      <c r="A70" s="2">
        <f t="shared" si="44"/>
        <v>2037</v>
      </c>
      <c r="B70" s="880">
        <f t="shared" ref="B70:M70" si="74">B150+B230+B390</f>
        <v>11032.99</v>
      </c>
      <c r="C70" s="880">
        <f t="shared" si="74"/>
        <v>9364.119999999999</v>
      </c>
      <c r="D70" s="880">
        <f t="shared" si="74"/>
        <v>8603.0300000000007</v>
      </c>
      <c r="E70" s="880">
        <f t="shared" si="74"/>
        <v>9534.17</v>
      </c>
      <c r="F70" s="880">
        <f t="shared" si="74"/>
        <v>10860.63</v>
      </c>
      <c r="G70" s="880">
        <f t="shared" si="74"/>
        <v>10668.94</v>
      </c>
      <c r="H70" s="880">
        <f t="shared" si="74"/>
        <v>10963.55</v>
      </c>
      <c r="I70" s="880">
        <f t="shared" si="74"/>
        <v>11312.19</v>
      </c>
      <c r="J70" s="880">
        <f t="shared" si="74"/>
        <v>10034.040000000001</v>
      </c>
      <c r="K70" s="880">
        <f t="shared" si="74"/>
        <v>10134.15</v>
      </c>
      <c r="L70" s="880">
        <f t="shared" si="74"/>
        <v>7284.82</v>
      </c>
      <c r="M70" s="880">
        <f t="shared" si="74"/>
        <v>8944.6299999999992</v>
      </c>
      <c r="N70" s="25">
        <f t="shared" si="72"/>
        <v>9894.7716666666674</v>
      </c>
      <c r="P70" s="2">
        <f t="shared" si="47"/>
        <v>2023</v>
      </c>
      <c r="Q70" s="578"/>
      <c r="R70" s="578"/>
      <c r="S70" s="578"/>
      <c r="T70" s="578"/>
      <c r="U70" s="578"/>
      <c r="V70" s="578"/>
      <c r="W70" s="578"/>
      <c r="X70" s="578"/>
      <c r="Y70" s="578"/>
      <c r="Z70" s="578"/>
      <c r="AA70" s="578"/>
      <c r="AB70" s="578"/>
    </row>
    <row r="71" spans="1:28">
      <c r="A71" s="2">
        <f t="shared" si="44"/>
        <v>2038</v>
      </c>
      <c r="B71" s="880">
        <f t="shared" ref="B71:M71" si="75">B151+B231+B391</f>
        <v>11088.15</v>
      </c>
      <c r="C71" s="880">
        <f t="shared" si="75"/>
        <v>9402.17</v>
      </c>
      <c r="D71" s="880">
        <f t="shared" si="75"/>
        <v>8641.11</v>
      </c>
      <c r="E71" s="880">
        <f t="shared" si="75"/>
        <v>9606.2199999999993</v>
      </c>
      <c r="F71" s="880">
        <f t="shared" si="75"/>
        <v>10938.68</v>
      </c>
      <c r="G71" s="880">
        <f t="shared" si="75"/>
        <v>10741.04</v>
      </c>
      <c r="H71" s="880">
        <f t="shared" si="75"/>
        <v>11036.63</v>
      </c>
      <c r="I71" s="880">
        <f t="shared" si="75"/>
        <v>11389.29</v>
      </c>
      <c r="J71" s="880">
        <f t="shared" si="75"/>
        <v>10094.129999999999</v>
      </c>
      <c r="K71" s="880">
        <f t="shared" si="75"/>
        <v>10205.23</v>
      </c>
      <c r="L71" s="880">
        <f t="shared" si="75"/>
        <v>7316.92</v>
      </c>
      <c r="M71" s="880">
        <f t="shared" si="75"/>
        <v>8974.7800000000007</v>
      </c>
      <c r="N71" s="25">
        <f t="shared" si="72"/>
        <v>9952.8625000000011</v>
      </c>
      <c r="P71" s="2">
        <f t="shared" si="47"/>
        <v>2024</v>
      </c>
      <c r="Q71" s="578"/>
      <c r="R71" s="578"/>
      <c r="S71" s="578"/>
      <c r="T71" s="578"/>
      <c r="U71" s="578"/>
      <c r="V71" s="578"/>
      <c r="W71" s="578"/>
      <c r="X71" s="578"/>
      <c r="Y71" s="578"/>
      <c r="Z71" s="578"/>
      <c r="AA71" s="578"/>
      <c r="AB71" s="578"/>
    </row>
    <row r="72" spans="1:28">
      <c r="A72" s="2">
        <f t="shared" si="44"/>
        <v>2039</v>
      </c>
      <c r="B72" s="880">
        <f t="shared" ref="B72:M72" si="76">B152+B232+B392</f>
        <v>11143.31</v>
      </c>
      <c r="C72" s="880">
        <f t="shared" si="76"/>
        <v>9436.2099999999991</v>
      </c>
      <c r="D72" s="880">
        <f t="shared" si="76"/>
        <v>8683.19</v>
      </c>
      <c r="E72" s="880">
        <f t="shared" si="76"/>
        <v>9677.2900000000009</v>
      </c>
      <c r="F72" s="880">
        <f t="shared" si="76"/>
        <v>11015.73</v>
      </c>
      <c r="G72" s="880">
        <f t="shared" si="76"/>
        <v>10806.13</v>
      </c>
      <c r="H72" s="880">
        <f t="shared" si="76"/>
        <v>11105.73</v>
      </c>
      <c r="I72" s="880">
        <f t="shared" si="76"/>
        <v>11462.4</v>
      </c>
      <c r="J72" s="880">
        <f t="shared" si="76"/>
        <v>10150.209999999999</v>
      </c>
      <c r="K72" s="880">
        <f t="shared" si="76"/>
        <v>10273.299999999999</v>
      </c>
      <c r="L72" s="880">
        <f t="shared" si="76"/>
        <v>7348</v>
      </c>
      <c r="M72" s="880">
        <f t="shared" si="76"/>
        <v>9003.92</v>
      </c>
      <c r="N72" s="25">
        <f t="shared" si="72"/>
        <v>10008.784999999998</v>
      </c>
      <c r="P72" s="2">
        <f t="shared" si="47"/>
        <v>2025</v>
      </c>
      <c r="Q72" s="578"/>
      <c r="R72" s="578"/>
      <c r="S72" s="578"/>
      <c r="T72" s="578"/>
      <c r="U72" s="578"/>
      <c r="V72" s="578"/>
      <c r="W72" s="578"/>
      <c r="X72" s="578"/>
      <c r="Y72" s="578"/>
      <c r="Z72" s="578"/>
      <c r="AA72" s="578"/>
      <c r="AB72" s="578"/>
    </row>
    <row r="73" spans="1:28">
      <c r="A73" s="2">
        <f t="shared" si="44"/>
        <v>2040</v>
      </c>
      <c r="B73" s="880">
        <f t="shared" ref="B73:M73" si="77">B153+B233+B393</f>
        <v>11197.47</v>
      </c>
      <c r="C73" s="880">
        <f t="shared" si="77"/>
        <v>9473.26</v>
      </c>
      <c r="D73" s="880">
        <f t="shared" si="77"/>
        <v>8723.27</v>
      </c>
      <c r="E73" s="880">
        <f t="shared" si="77"/>
        <v>9749.36</v>
      </c>
      <c r="F73" s="880">
        <f t="shared" si="77"/>
        <v>11093.79</v>
      </c>
      <c r="G73" s="880">
        <f t="shared" si="77"/>
        <v>10877.22</v>
      </c>
      <c r="H73" s="880">
        <f t="shared" si="77"/>
        <v>11178.82</v>
      </c>
      <c r="I73" s="880">
        <f t="shared" si="77"/>
        <v>11536.49</v>
      </c>
      <c r="J73" s="880">
        <f t="shared" si="77"/>
        <v>10208.280000000001</v>
      </c>
      <c r="K73" s="880">
        <f t="shared" si="77"/>
        <v>10342.379999999999</v>
      </c>
      <c r="L73" s="880">
        <f t="shared" si="77"/>
        <v>7380.09</v>
      </c>
      <c r="M73" s="880">
        <f t="shared" si="77"/>
        <v>9034.07</v>
      </c>
      <c r="N73" s="25">
        <f t="shared" si="72"/>
        <v>10066.208333333334</v>
      </c>
      <c r="P73" s="2">
        <f t="shared" si="47"/>
        <v>2026</v>
      </c>
      <c r="Q73" s="578"/>
      <c r="R73" s="578"/>
      <c r="S73" s="578"/>
      <c r="T73" s="578"/>
      <c r="U73" s="578"/>
      <c r="V73" s="578"/>
      <c r="W73" s="578"/>
      <c r="X73" s="578"/>
      <c r="Y73" s="578"/>
      <c r="Z73" s="578"/>
      <c r="AA73" s="578"/>
      <c r="AB73" s="578"/>
    </row>
    <row r="74" spans="1:28">
      <c r="A74" s="2">
        <f t="shared" si="44"/>
        <v>2041</v>
      </c>
      <c r="B74" s="880">
        <f t="shared" ref="B74:M74" si="78">B154+B234+B394</f>
        <v>0</v>
      </c>
      <c r="C74" s="880">
        <f t="shared" si="78"/>
        <v>0</v>
      </c>
      <c r="D74" s="880">
        <f t="shared" si="78"/>
        <v>0</v>
      </c>
      <c r="E74" s="880">
        <f t="shared" si="78"/>
        <v>0</v>
      </c>
      <c r="F74" s="880">
        <f t="shared" si="78"/>
        <v>0</v>
      </c>
      <c r="G74" s="880">
        <f t="shared" si="78"/>
        <v>0</v>
      </c>
      <c r="H74" s="880">
        <f t="shared" si="78"/>
        <v>0</v>
      </c>
      <c r="I74" s="880">
        <f t="shared" si="78"/>
        <v>0</v>
      </c>
      <c r="J74" s="880">
        <f t="shared" si="78"/>
        <v>0</v>
      </c>
      <c r="K74" s="880">
        <f t="shared" si="78"/>
        <v>0</v>
      </c>
      <c r="L74" s="880">
        <f t="shared" si="78"/>
        <v>0</v>
      </c>
      <c r="M74" s="880">
        <f t="shared" si="78"/>
        <v>0</v>
      </c>
      <c r="N74" s="25">
        <f>AVERAGE(B74:M74)</f>
        <v>0</v>
      </c>
      <c r="P74" s="2">
        <f t="shared" si="47"/>
        <v>2027</v>
      </c>
      <c r="Q74" s="578"/>
      <c r="R74" s="578"/>
      <c r="S74" s="578"/>
      <c r="T74" s="578"/>
      <c r="U74" s="578"/>
      <c r="V74" s="578"/>
      <c r="W74" s="578"/>
      <c r="X74" s="578"/>
      <c r="Y74" s="578"/>
      <c r="Z74" s="578"/>
      <c r="AA74" s="578"/>
      <c r="AB74" s="578"/>
    </row>
    <row r="75" spans="1:28">
      <c r="A75" s="2">
        <f t="shared" si="44"/>
        <v>2042</v>
      </c>
      <c r="B75" s="880">
        <f t="shared" ref="B75:M75" si="79">B155+B235+B395</f>
        <v>0</v>
      </c>
      <c r="C75" s="880">
        <f t="shared" si="79"/>
        <v>0</v>
      </c>
      <c r="D75" s="880">
        <f t="shared" si="79"/>
        <v>0</v>
      </c>
      <c r="E75" s="880">
        <f t="shared" si="79"/>
        <v>0</v>
      </c>
      <c r="F75" s="880">
        <f t="shared" si="79"/>
        <v>0</v>
      </c>
      <c r="G75" s="880">
        <f t="shared" si="79"/>
        <v>0</v>
      </c>
      <c r="H75" s="880">
        <f t="shared" si="79"/>
        <v>0</v>
      </c>
      <c r="I75" s="880">
        <f t="shared" si="79"/>
        <v>0</v>
      </c>
      <c r="J75" s="880">
        <f t="shared" si="79"/>
        <v>0</v>
      </c>
      <c r="K75" s="880">
        <f t="shared" si="79"/>
        <v>0</v>
      </c>
      <c r="L75" s="880">
        <f t="shared" si="79"/>
        <v>0</v>
      </c>
      <c r="M75" s="880">
        <f t="shared" si="79"/>
        <v>0</v>
      </c>
      <c r="N75" s="25">
        <f>AVERAGE(B75:M75)</f>
        <v>0</v>
      </c>
      <c r="P75" s="2">
        <f t="shared" si="47"/>
        <v>2028</v>
      </c>
      <c r="Q75" s="578"/>
      <c r="R75" s="578"/>
      <c r="S75" s="578"/>
      <c r="T75" s="578"/>
      <c r="U75" s="578"/>
      <c r="V75" s="578"/>
      <c r="W75" s="578"/>
      <c r="X75" s="578"/>
      <c r="Y75" s="578"/>
      <c r="Z75" s="578"/>
      <c r="AA75" s="578"/>
      <c r="AB75" s="578"/>
    </row>
    <row r="76" spans="1:28">
      <c r="A76" s="2">
        <f t="shared" si="44"/>
        <v>2043</v>
      </c>
      <c r="B76" s="880">
        <f t="shared" ref="B76:M76" si="80">B156+B236+B396</f>
        <v>0</v>
      </c>
      <c r="C76" s="880">
        <f t="shared" si="80"/>
        <v>0</v>
      </c>
      <c r="D76" s="880">
        <f t="shared" si="80"/>
        <v>0</v>
      </c>
      <c r="E76" s="880">
        <f t="shared" si="80"/>
        <v>0</v>
      </c>
      <c r="F76" s="880">
        <f t="shared" si="80"/>
        <v>0</v>
      </c>
      <c r="G76" s="880">
        <f t="shared" si="80"/>
        <v>0</v>
      </c>
      <c r="H76" s="880">
        <f t="shared" si="80"/>
        <v>0</v>
      </c>
      <c r="I76" s="880">
        <f t="shared" si="80"/>
        <v>0</v>
      </c>
      <c r="J76" s="880">
        <f t="shared" si="80"/>
        <v>0</v>
      </c>
      <c r="K76" s="880">
        <f t="shared" si="80"/>
        <v>0</v>
      </c>
      <c r="L76" s="880">
        <f t="shared" si="80"/>
        <v>0</v>
      </c>
      <c r="M76" s="880">
        <f t="shared" si="80"/>
        <v>0</v>
      </c>
      <c r="N76" s="25">
        <f>AVERAGE(B76:M76)</f>
        <v>0</v>
      </c>
      <c r="P76" s="2">
        <f t="shared" si="47"/>
        <v>2029</v>
      </c>
      <c r="Q76" s="578"/>
      <c r="R76" s="578"/>
      <c r="S76" s="578"/>
      <c r="T76" s="578"/>
      <c r="U76" s="578"/>
      <c r="V76" s="578"/>
      <c r="W76" s="578"/>
      <c r="X76" s="578"/>
      <c r="Y76" s="578"/>
      <c r="Z76" s="578"/>
      <c r="AA76" s="578"/>
      <c r="AB76" s="578"/>
    </row>
    <row r="77" spans="1:28">
      <c r="A77" s="2">
        <f t="shared" si="44"/>
        <v>2044</v>
      </c>
      <c r="B77" s="880">
        <f t="shared" ref="B77:M77" si="81">B157+B237+B397</f>
        <v>0</v>
      </c>
      <c r="C77" s="880">
        <f t="shared" si="81"/>
        <v>0</v>
      </c>
      <c r="D77" s="880">
        <f t="shared" si="81"/>
        <v>0</v>
      </c>
      <c r="E77" s="880">
        <f t="shared" si="81"/>
        <v>0</v>
      </c>
      <c r="F77" s="880">
        <f t="shared" si="81"/>
        <v>0</v>
      </c>
      <c r="G77" s="880">
        <f t="shared" si="81"/>
        <v>0</v>
      </c>
      <c r="H77" s="880">
        <f t="shared" si="81"/>
        <v>0</v>
      </c>
      <c r="I77" s="880">
        <f t="shared" si="81"/>
        <v>0</v>
      </c>
      <c r="J77" s="880">
        <f t="shared" si="81"/>
        <v>0</v>
      </c>
      <c r="K77" s="880">
        <f t="shared" si="81"/>
        <v>0</v>
      </c>
      <c r="L77" s="880">
        <f t="shared" si="81"/>
        <v>0</v>
      </c>
      <c r="M77" s="880">
        <f t="shared" si="81"/>
        <v>0</v>
      </c>
      <c r="N77" s="25">
        <f>AVERAGE(B77:M77)</f>
        <v>0</v>
      </c>
      <c r="P77" s="2">
        <f t="shared" si="47"/>
        <v>2030</v>
      </c>
      <c r="Q77" s="578"/>
      <c r="R77" s="578"/>
      <c r="S77" s="578"/>
      <c r="T77" s="578"/>
      <c r="U77" s="578"/>
      <c r="V77" s="578"/>
      <c r="W77" s="578"/>
      <c r="X77" s="578"/>
      <c r="Y77" s="578"/>
      <c r="Z77" s="578"/>
      <c r="AA77" s="578"/>
      <c r="AB77" s="578"/>
    </row>
    <row r="78" spans="1:28">
      <c r="A78" s="2">
        <f t="shared" si="44"/>
        <v>2045</v>
      </c>
      <c r="B78" s="880">
        <f t="shared" ref="B78:M78" si="82">B158+B238+B398</f>
        <v>0</v>
      </c>
      <c r="C78" s="880">
        <f t="shared" si="82"/>
        <v>0</v>
      </c>
      <c r="D78" s="880">
        <f t="shared" si="82"/>
        <v>0</v>
      </c>
      <c r="E78" s="880">
        <f t="shared" si="82"/>
        <v>0</v>
      </c>
      <c r="F78" s="880">
        <f t="shared" si="82"/>
        <v>0</v>
      </c>
      <c r="G78" s="880">
        <f t="shared" si="82"/>
        <v>0</v>
      </c>
      <c r="H78" s="880">
        <f t="shared" si="82"/>
        <v>0</v>
      </c>
      <c r="I78" s="880">
        <f t="shared" si="82"/>
        <v>0</v>
      </c>
      <c r="J78" s="880">
        <f t="shared" si="82"/>
        <v>0</v>
      </c>
      <c r="K78" s="880">
        <f t="shared" si="82"/>
        <v>0</v>
      </c>
      <c r="L78" s="880">
        <f t="shared" si="82"/>
        <v>0</v>
      </c>
      <c r="M78" s="880">
        <f t="shared" si="82"/>
        <v>0</v>
      </c>
      <c r="N78" s="25">
        <f>AVERAGE(B78:M78)</f>
        <v>0</v>
      </c>
      <c r="Q78" s="578"/>
      <c r="R78" s="578"/>
      <c r="S78" s="578"/>
      <c r="T78" s="578"/>
      <c r="U78" s="578"/>
      <c r="V78" s="578"/>
      <c r="W78" s="578"/>
      <c r="X78" s="578"/>
      <c r="Y78" s="578"/>
      <c r="Z78" s="578"/>
      <c r="AA78" s="578"/>
      <c r="AB78" s="578"/>
    </row>
    <row r="79" spans="1:28"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25"/>
      <c r="Q79" s="578"/>
      <c r="R79" s="578"/>
      <c r="S79" s="578"/>
      <c r="T79" s="578"/>
      <c r="U79" s="578"/>
      <c r="V79" s="578"/>
      <c r="W79" s="578"/>
      <c r="X79" s="578"/>
      <c r="Y79" s="578"/>
      <c r="Z79" s="578"/>
      <c r="AA79" s="578"/>
      <c r="AB79" s="578"/>
    </row>
    <row r="80" spans="1:28"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25"/>
      <c r="Q80" s="578"/>
      <c r="R80" s="578"/>
      <c r="S80" s="578"/>
      <c r="T80" s="578"/>
      <c r="U80" s="578"/>
      <c r="V80" s="578"/>
      <c r="W80" s="578"/>
      <c r="X80" s="578"/>
      <c r="Y80" s="578"/>
      <c r="Z80" s="578"/>
      <c r="AA80" s="578"/>
      <c r="AB80" s="578"/>
    </row>
    <row r="81" spans="1:29">
      <c r="A81" s="31" t="s">
        <v>605</v>
      </c>
      <c r="P81" s="31" t="s">
        <v>604</v>
      </c>
    </row>
    <row r="82" spans="1:29">
      <c r="A82" s="27" t="s">
        <v>9</v>
      </c>
      <c r="B82" s="27" t="s">
        <v>28</v>
      </c>
      <c r="C82" s="27" t="s">
        <v>29</v>
      </c>
      <c r="D82" s="27" t="s">
        <v>30</v>
      </c>
      <c r="E82" s="27" t="s">
        <v>31</v>
      </c>
      <c r="F82" s="27" t="s">
        <v>32</v>
      </c>
      <c r="G82" s="27" t="s">
        <v>33</v>
      </c>
      <c r="H82" s="27" t="s">
        <v>34</v>
      </c>
      <c r="I82" s="27" t="s">
        <v>35</v>
      </c>
      <c r="J82" s="27" t="s">
        <v>36</v>
      </c>
      <c r="K82" s="27" t="s">
        <v>37</v>
      </c>
      <c r="L82" s="27" t="s">
        <v>38</v>
      </c>
      <c r="M82" s="27" t="s">
        <v>39</v>
      </c>
      <c r="N82" s="27" t="s">
        <v>53</v>
      </c>
      <c r="P82" s="27" t="s">
        <v>9</v>
      </c>
      <c r="Q82" s="27" t="s">
        <v>28</v>
      </c>
      <c r="R82" s="27" t="s">
        <v>29</v>
      </c>
      <c r="S82" s="27" t="s">
        <v>30</v>
      </c>
      <c r="T82" s="27" t="s">
        <v>31</v>
      </c>
      <c r="U82" s="27" t="s">
        <v>32</v>
      </c>
      <c r="V82" s="27" t="s">
        <v>33</v>
      </c>
      <c r="W82" s="27" t="s">
        <v>34</v>
      </c>
      <c r="X82" s="27" t="s">
        <v>35</v>
      </c>
      <c r="Y82" s="27" t="s">
        <v>36</v>
      </c>
      <c r="Z82" s="27" t="s">
        <v>37</v>
      </c>
      <c r="AA82" s="27" t="s">
        <v>38</v>
      </c>
      <c r="AB82" s="27" t="s">
        <v>39</v>
      </c>
      <c r="AC82" s="27" t="s">
        <v>53</v>
      </c>
    </row>
    <row r="83" spans="1:29">
      <c r="A83" s="2">
        <f>A43</f>
        <v>2010</v>
      </c>
      <c r="B83" s="34">
        <f t="shared" ref="B83:M83" si="83">ROUND(B523-B563,0)</f>
        <v>10567</v>
      </c>
      <c r="C83" s="34">
        <f t="shared" si="83"/>
        <v>7758</v>
      </c>
      <c r="D83" s="34">
        <f t="shared" si="83"/>
        <v>7127</v>
      </c>
      <c r="E83" s="34">
        <f t="shared" si="83"/>
        <v>5651</v>
      </c>
      <c r="F83" s="34">
        <f t="shared" si="83"/>
        <v>7432</v>
      </c>
      <c r="G83" s="34">
        <f t="shared" si="83"/>
        <v>8263</v>
      </c>
      <c r="H83" s="34">
        <f t="shared" si="83"/>
        <v>8218</v>
      </c>
      <c r="I83" s="34">
        <f t="shared" si="83"/>
        <v>8190</v>
      </c>
      <c r="J83" s="34">
        <f t="shared" si="83"/>
        <v>7768</v>
      </c>
      <c r="K83" s="34">
        <f t="shared" si="83"/>
        <v>6879</v>
      </c>
      <c r="L83" s="34">
        <f t="shared" si="83"/>
        <v>5637</v>
      </c>
      <c r="M83" s="34">
        <f t="shared" si="83"/>
        <v>8799</v>
      </c>
      <c r="N83" s="25">
        <f t="shared" ref="N83:N93" si="84">AVERAGE(B83:M83)</f>
        <v>7690.75</v>
      </c>
      <c r="P83" s="2">
        <f>A83</f>
        <v>2010</v>
      </c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</row>
    <row r="84" spans="1:29">
      <c r="A84" s="2">
        <f>A83+1</f>
        <v>2011</v>
      </c>
      <c r="B84" s="34">
        <f t="shared" ref="B84:M84" si="85">ROUND(B524-B564,0)</f>
        <v>8859</v>
      </c>
      <c r="C84" s="34">
        <f t="shared" si="85"/>
        <v>6584</v>
      </c>
      <c r="D84" s="34">
        <f t="shared" si="85"/>
        <v>5364</v>
      </c>
      <c r="E84" s="34">
        <f t="shared" si="85"/>
        <v>7246</v>
      </c>
      <c r="F84" s="34">
        <f t="shared" si="85"/>
        <v>7445</v>
      </c>
      <c r="G84" s="34">
        <f t="shared" si="85"/>
        <v>8233</v>
      </c>
      <c r="H84" s="34">
        <f t="shared" si="85"/>
        <v>7928</v>
      </c>
      <c r="I84" s="34">
        <f t="shared" si="85"/>
        <v>8239</v>
      </c>
      <c r="J84" s="34">
        <f t="shared" si="85"/>
        <v>7342</v>
      </c>
      <c r="K84" s="34">
        <f t="shared" si="85"/>
        <v>6338</v>
      </c>
      <c r="L84" s="34">
        <f t="shared" si="85"/>
        <v>5390</v>
      </c>
      <c r="M84" s="34">
        <f t="shared" si="85"/>
        <v>4783</v>
      </c>
      <c r="N84" s="25">
        <f t="shared" si="84"/>
        <v>6979.25</v>
      </c>
      <c r="P84" s="2">
        <f t="shared" ref="P84:P118" si="86">A84</f>
        <v>2011</v>
      </c>
      <c r="Q84" s="887"/>
      <c r="R84" s="887"/>
      <c r="S84" s="887"/>
      <c r="T84" s="887"/>
      <c r="U84" s="887"/>
      <c r="V84" s="887"/>
      <c r="W84" s="887"/>
      <c r="X84" s="887"/>
      <c r="Y84" s="887"/>
      <c r="Z84" s="887"/>
      <c r="AA84" s="887"/>
      <c r="AB84" s="887"/>
      <c r="AC84" s="887"/>
    </row>
    <row r="85" spans="1:29">
      <c r="A85" s="2">
        <f t="shared" ref="A85:A118" si="87">A84+1</f>
        <v>2012</v>
      </c>
      <c r="B85" s="34">
        <f t="shared" ref="B85:M85" si="88">ROUND(B525-B565,0)</f>
        <v>7706</v>
      </c>
      <c r="C85" s="34">
        <f t="shared" si="88"/>
        <v>7520</v>
      </c>
      <c r="D85" s="34">
        <f t="shared" si="88"/>
        <v>5710</v>
      </c>
      <c r="E85" s="34">
        <f t="shared" si="88"/>
        <v>6475</v>
      </c>
      <c r="F85" s="34">
        <f t="shared" si="88"/>
        <v>7364</v>
      </c>
      <c r="G85" s="34">
        <f t="shared" si="88"/>
        <v>7659</v>
      </c>
      <c r="H85" s="34">
        <f t="shared" si="88"/>
        <v>7822</v>
      </c>
      <c r="I85" s="34">
        <f t="shared" si="88"/>
        <v>7864</v>
      </c>
      <c r="J85" s="34">
        <f t="shared" si="88"/>
        <v>7474</v>
      </c>
      <c r="K85" s="34">
        <f t="shared" si="88"/>
        <v>7006</v>
      </c>
      <c r="L85" s="34">
        <f t="shared" si="88"/>
        <v>4888</v>
      </c>
      <c r="M85" s="34">
        <f t="shared" si="88"/>
        <v>5758</v>
      </c>
      <c r="N85" s="25">
        <f t="shared" si="84"/>
        <v>6937.166666666667</v>
      </c>
      <c r="P85" s="2">
        <f t="shared" si="86"/>
        <v>2012</v>
      </c>
      <c r="Q85" s="887"/>
      <c r="R85" s="887"/>
      <c r="S85" s="887"/>
      <c r="T85" s="887"/>
      <c r="U85" s="887"/>
      <c r="V85" s="887"/>
      <c r="W85" s="887"/>
      <c r="X85" s="887"/>
      <c r="Y85" s="887"/>
      <c r="Z85" s="887"/>
      <c r="AA85" s="887"/>
      <c r="AB85" s="887"/>
      <c r="AC85" s="887"/>
    </row>
    <row r="86" spans="1:29">
      <c r="A86" s="2">
        <f t="shared" si="87"/>
        <v>2013</v>
      </c>
      <c r="B86" s="34">
        <f t="shared" ref="B86:M86" si="89">ROUND(B526-B566,0)</f>
        <v>5480</v>
      </c>
      <c r="C86" s="34">
        <f t="shared" si="89"/>
        <v>7075</v>
      </c>
      <c r="D86" s="34">
        <f t="shared" si="89"/>
        <v>6895</v>
      </c>
      <c r="E86" s="34">
        <f t="shared" si="89"/>
        <v>6372</v>
      </c>
      <c r="F86" s="34">
        <f t="shared" si="89"/>
        <v>7146</v>
      </c>
      <c r="G86" s="34">
        <f t="shared" si="89"/>
        <v>7693</v>
      </c>
      <c r="H86" s="880">
        <f t="shared" si="89"/>
        <v>8306</v>
      </c>
      <c r="I86" s="880">
        <f t="shared" si="89"/>
        <v>8445</v>
      </c>
      <c r="J86" s="880">
        <f t="shared" si="89"/>
        <v>7784</v>
      </c>
      <c r="K86" s="880">
        <f t="shared" si="89"/>
        <v>7134</v>
      </c>
      <c r="L86" s="880">
        <f t="shared" si="89"/>
        <v>5730</v>
      </c>
      <c r="M86" s="880">
        <f t="shared" si="89"/>
        <v>7272</v>
      </c>
      <c r="N86" s="25">
        <f t="shared" si="84"/>
        <v>7111</v>
      </c>
      <c r="P86" s="2">
        <f t="shared" si="86"/>
        <v>2013</v>
      </c>
      <c r="Q86" s="887"/>
      <c r="R86" s="887"/>
      <c r="S86" s="887"/>
      <c r="T86" s="887"/>
      <c r="U86" s="887"/>
      <c r="V86" s="887"/>
      <c r="W86" s="887"/>
      <c r="X86" s="887"/>
      <c r="Y86" s="887"/>
      <c r="Z86" s="887"/>
      <c r="AA86" s="887"/>
      <c r="AB86" s="887"/>
      <c r="AC86" s="887"/>
    </row>
    <row r="87" spans="1:29">
      <c r="A87" s="2">
        <f t="shared" si="87"/>
        <v>2014</v>
      </c>
      <c r="B87" s="880">
        <f t="shared" ref="B87:M87" si="90">ROUND(B527-B567,0)</f>
        <v>9053</v>
      </c>
      <c r="C87" s="880">
        <f t="shared" si="90"/>
        <v>7557</v>
      </c>
      <c r="D87" s="880">
        <f t="shared" si="90"/>
        <v>6559</v>
      </c>
      <c r="E87" s="880">
        <f t="shared" si="90"/>
        <v>6742</v>
      </c>
      <c r="F87" s="880">
        <f t="shared" si="90"/>
        <v>7641</v>
      </c>
      <c r="G87" s="880">
        <f t="shared" si="90"/>
        <v>8192</v>
      </c>
      <c r="H87" s="880">
        <f t="shared" si="90"/>
        <v>8498</v>
      </c>
      <c r="I87" s="880">
        <f t="shared" si="90"/>
        <v>8680</v>
      </c>
      <c r="J87" s="880">
        <f t="shared" si="90"/>
        <v>7962</v>
      </c>
      <c r="K87" s="880">
        <f t="shared" si="90"/>
        <v>7385</v>
      </c>
      <c r="L87" s="880">
        <f t="shared" si="90"/>
        <v>5918</v>
      </c>
      <c r="M87" s="880">
        <f t="shared" si="90"/>
        <v>7368</v>
      </c>
      <c r="N87" s="25">
        <f t="shared" si="84"/>
        <v>7629.583333333333</v>
      </c>
      <c r="P87" s="2">
        <f t="shared" si="86"/>
        <v>2014</v>
      </c>
      <c r="Q87" s="25">
        <f>B527+25</f>
        <v>9144</v>
      </c>
      <c r="R87" s="25">
        <f t="shared" ref="R87:AA87" si="91">C527+25</f>
        <v>7644</v>
      </c>
      <c r="S87" s="25">
        <f t="shared" si="91"/>
        <v>6638</v>
      </c>
      <c r="T87" s="25">
        <f t="shared" si="91"/>
        <v>6799</v>
      </c>
      <c r="U87" s="25">
        <f t="shared" si="91"/>
        <v>7701</v>
      </c>
      <c r="V87" s="25">
        <f t="shared" si="91"/>
        <v>8262</v>
      </c>
      <c r="W87" s="25">
        <f t="shared" si="91"/>
        <v>8567</v>
      </c>
      <c r="X87" s="25">
        <f t="shared" si="91"/>
        <v>8750</v>
      </c>
      <c r="Y87" s="25">
        <f t="shared" si="91"/>
        <v>8030</v>
      </c>
      <c r="Z87" s="25">
        <f t="shared" si="91"/>
        <v>7449</v>
      </c>
      <c r="AA87" s="25">
        <f t="shared" si="91"/>
        <v>5997</v>
      </c>
      <c r="AB87" s="25">
        <f>M527+25</f>
        <v>7457</v>
      </c>
      <c r="AC87" s="887">
        <f t="shared" ref="AC87:AC113" si="92">AVERAGE(Q87:AB87)</f>
        <v>7703.166666666667</v>
      </c>
    </row>
    <row r="88" spans="1:29">
      <c r="A88" s="2">
        <f t="shared" si="87"/>
        <v>2015</v>
      </c>
      <c r="B88" s="880">
        <f t="shared" ref="B88:M88" si="93">ROUND(B528-B568,0)</f>
        <v>8856</v>
      </c>
      <c r="C88" s="880">
        <f t="shared" si="93"/>
        <v>7746</v>
      </c>
      <c r="D88" s="880">
        <f t="shared" si="93"/>
        <v>6766</v>
      </c>
      <c r="E88" s="880">
        <f t="shared" si="93"/>
        <v>6986</v>
      </c>
      <c r="F88" s="880">
        <f t="shared" si="93"/>
        <v>7865</v>
      </c>
      <c r="G88" s="880">
        <f t="shared" si="93"/>
        <v>8415</v>
      </c>
      <c r="H88" s="880">
        <f t="shared" si="93"/>
        <v>8731</v>
      </c>
      <c r="I88" s="880">
        <f t="shared" si="93"/>
        <v>8919</v>
      </c>
      <c r="J88" s="880">
        <f t="shared" si="93"/>
        <v>8168</v>
      </c>
      <c r="K88" s="880">
        <f t="shared" si="93"/>
        <v>7664</v>
      </c>
      <c r="L88" s="880">
        <f t="shared" si="93"/>
        <v>6121</v>
      </c>
      <c r="M88" s="880">
        <f t="shared" si="93"/>
        <v>7480</v>
      </c>
      <c r="N88" s="25">
        <f t="shared" si="84"/>
        <v>7809.75</v>
      </c>
      <c r="P88" s="2">
        <f t="shared" si="86"/>
        <v>2015</v>
      </c>
      <c r="Q88" s="25">
        <f t="shared" ref="Q88:Q113" si="94">B528+25</f>
        <v>9012</v>
      </c>
      <c r="R88" s="25">
        <f t="shared" ref="R88:R113" si="95">C528+25</f>
        <v>7895</v>
      </c>
      <c r="S88" s="25">
        <f t="shared" ref="S88:S113" si="96">D528+25</f>
        <v>6899</v>
      </c>
      <c r="T88" s="25">
        <f t="shared" ref="T88:T113" si="97">E528+25</f>
        <v>7078</v>
      </c>
      <c r="U88" s="25">
        <f t="shared" ref="U88:U113" si="98">F528+25</f>
        <v>7962</v>
      </c>
      <c r="V88" s="25">
        <f t="shared" ref="V88:V113" si="99">G528+25</f>
        <v>8515</v>
      </c>
      <c r="W88" s="25">
        <f t="shared" ref="W88:W113" si="100">H528+25</f>
        <v>8831</v>
      </c>
      <c r="X88" s="25">
        <f t="shared" ref="X88:X113" si="101">I528+25</f>
        <v>9020</v>
      </c>
      <c r="Y88" s="25">
        <f t="shared" ref="Y88:Y113" si="102">J528+25</f>
        <v>8266</v>
      </c>
      <c r="Z88" s="25">
        <f t="shared" ref="Z88:Z113" si="103">K528+25</f>
        <v>7754</v>
      </c>
      <c r="AA88" s="25">
        <f t="shared" ref="AA88:AB103" si="104">L528+25</f>
        <v>6240</v>
      </c>
      <c r="AB88" s="25">
        <f t="shared" si="104"/>
        <v>7617</v>
      </c>
      <c r="AC88" s="887">
        <f t="shared" si="92"/>
        <v>7924.083333333333</v>
      </c>
    </row>
    <row r="89" spans="1:29">
      <c r="A89" s="2">
        <f t="shared" si="87"/>
        <v>2016</v>
      </c>
      <c r="B89" s="880">
        <f t="shared" ref="B89:M89" si="105">ROUND(B529-B569,0)</f>
        <v>9108</v>
      </c>
      <c r="C89" s="880">
        <f t="shared" si="105"/>
        <v>7956</v>
      </c>
      <c r="D89" s="880">
        <f t="shared" si="105"/>
        <v>7021</v>
      </c>
      <c r="E89" s="880">
        <f t="shared" si="105"/>
        <v>7242</v>
      </c>
      <c r="F89" s="880">
        <f t="shared" si="105"/>
        <v>8182</v>
      </c>
      <c r="G89" s="880">
        <f t="shared" si="105"/>
        <v>8635</v>
      </c>
      <c r="H89" s="880">
        <f t="shared" si="105"/>
        <v>8958</v>
      </c>
      <c r="I89" s="880">
        <f t="shared" si="105"/>
        <v>9182</v>
      </c>
      <c r="J89" s="880">
        <f t="shared" si="105"/>
        <v>8370</v>
      </c>
      <c r="K89" s="880">
        <f t="shared" si="105"/>
        <v>7938</v>
      </c>
      <c r="L89" s="880">
        <f t="shared" si="105"/>
        <v>6322</v>
      </c>
      <c r="M89" s="880">
        <f t="shared" si="105"/>
        <v>7590</v>
      </c>
      <c r="N89" s="25">
        <f t="shared" si="84"/>
        <v>8042</v>
      </c>
      <c r="P89" s="2">
        <f t="shared" si="86"/>
        <v>2016</v>
      </c>
      <c r="Q89" s="25">
        <f t="shared" si="94"/>
        <v>9313</v>
      </c>
      <c r="R89" s="25">
        <f t="shared" si="95"/>
        <v>8152</v>
      </c>
      <c r="S89" s="25">
        <f t="shared" si="96"/>
        <v>7195</v>
      </c>
      <c r="T89" s="25">
        <f t="shared" si="97"/>
        <v>7357</v>
      </c>
      <c r="U89" s="25">
        <f t="shared" si="98"/>
        <v>8305</v>
      </c>
      <c r="V89" s="25">
        <f t="shared" si="99"/>
        <v>8762</v>
      </c>
      <c r="W89" s="25">
        <f t="shared" si="100"/>
        <v>9085</v>
      </c>
      <c r="X89" s="25">
        <f t="shared" si="101"/>
        <v>9311</v>
      </c>
      <c r="Y89" s="25">
        <f t="shared" si="102"/>
        <v>8495</v>
      </c>
      <c r="Z89" s="25">
        <f t="shared" si="103"/>
        <v>8052</v>
      </c>
      <c r="AA89" s="25">
        <f t="shared" si="104"/>
        <v>6479</v>
      </c>
      <c r="AB89" s="25">
        <f t="shared" ref="AB89:AB113" si="106">M529+25</f>
        <v>7773</v>
      </c>
      <c r="AC89" s="887">
        <f t="shared" si="92"/>
        <v>8189.916666666667</v>
      </c>
    </row>
    <row r="90" spans="1:29">
      <c r="A90" s="2">
        <f t="shared" si="87"/>
        <v>2017</v>
      </c>
      <c r="B90" s="880">
        <f t="shared" ref="B90:M90" si="107">ROUND(B530-B570,0)</f>
        <v>9360</v>
      </c>
      <c r="C90" s="880">
        <f t="shared" si="107"/>
        <v>8170</v>
      </c>
      <c r="D90" s="880">
        <f t="shared" si="107"/>
        <v>7103</v>
      </c>
      <c r="E90" s="880">
        <f t="shared" si="107"/>
        <v>7502</v>
      </c>
      <c r="F90" s="880">
        <f t="shared" si="107"/>
        <v>8506</v>
      </c>
      <c r="G90" s="880">
        <f t="shared" si="107"/>
        <v>8862</v>
      </c>
      <c r="H90" s="880">
        <f t="shared" si="107"/>
        <v>9193</v>
      </c>
      <c r="I90" s="880">
        <f t="shared" si="107"/>
        <v>9452</v>
      </c>
      <c r="J90" s="880">
        <f t="shared" si="107"/>
        <v>8580</v>
      </c>
      <c r="K90" s="880">
        <f t="shared" si="107"/>
        <v>8218</v>
      </c>
      <c r="L90" s="880">
        <f t="shared" si="107"/>
        <v>6533</v>
      </c>
      <c r="M90" s="880">
        <f t="shared" si="107"/>
        <v>7711</v>
      </c>
      <c r="N90" s="25">
        <f t="shared" si="84"/>
        <v>8265.8333333333339</v>
      </c>
      <c r="P90" s="2">
        <f t="shared" si="86"/>
        <v>2017</v>
      </c>
      <c r="Q90" s="25">
        <f t="shared" si="94"/>
        <v>9613</v>
      </c>
      <c r="R90" s="25">
        <f t="shared" si="95"/>
        <v>8410</v>
      </c>
      <c r="S90" s="25">
        <f t="shared" si="96"/>
        <v>7315</v>
      </c>
      <c r="T90" s="25">
        <f t="shared" si="97"/>
        <v>7639</v>
      </c>
      <c r="U90" s="25">
        <f t="shared" si="98"/>
        <v>8653</v>
      </c>
      <c r="V90" s="25">
        <f t="shared" si="99"/>
        <v>9014</v>
      </c>
      <c r="W90" s="25">
        <f t="shared" si="100"/>
        <v>9345</v>
      </c>
      <c r="X90" s="25">
        <f t="shared" si="101"/>
        <v>9606</v>
      </c>
      <c r="Y90" s="25">
        <f t="shared" si="102"/>
        <v>8728</v>
      </c>
      <c r="Z90" s="25">
        <f t="shared" si="103"/>
        <v>8353</v>
      </c>
      <c r="AA90" s="25">
        <f t="shared" si="104"/>
        <v>6719</v>
      </c>
      <c r="AB90" s="25">
        <f t="shared" si="106"/>
        <v>7929</v>
      </c>
      <c r="AC90" s="887">
        <f t="shared" si="92"/>
        <v>8443.6666666666661</v>
      </c>
    </row>
    <row r="91" spans="1:29">
      <c r="A91" s="2">
        <f t="shared" si="87"/>
        <v>2018</v>
      </c>
      <c r="B91" s="880">
        <f t="shared" ref="B91:M91" si="108">ROUND(B531-B571,0)</f>
        <v>9629</v>
      </c>
      <c r="C91" s="880">
        <f t="shared" si="108"/>
        <v>8259</v>
      </c>
      <c r="D91" s="880">
        <f t="shared" si="108"/>
        <v>7199</v>
      </c>
      <c r="E91" s="880">
        <f t="shared" si="108"/>
        <v>7768</v>
      </c>
      <c r="F91" s="880">
        <f t="shared" si="108"/>
        <v>8833</v>
      </c>
      <c r="G91" s="880">
        <f t="shared" si="108"/>
        <v>9092</v>
      </c>
      <c r="H91" s="880">
        <f t="shared" si="108"/>
        <v>9337</v>
      </c>
      <c r="I91" s="880">
        <f t="shared" si="108"/>
        <v>9601</v>
      </c>
      <c r="J91" s="880">
        <f t="shared" si="108"/>
        <v>8699</v>
      </c>
      <c r="K91" s="880">
        <f t="shared" si="108"/>
        <v>8353</v>
      </c>
      <c r="L91" s="880">
        <f t="shared" si="108"/>
        <v>6603</v>
      </c>
      <c r="M91" s="880">
        <f t="shared" si="108"/>
        <v>7779</v>
      </c>
      <c r="N91" s="25">
        <f t="shared" si="84"/>
        <v>8429.3333333333339</v>
      </c>
      <c r="P91" s="2">
        <f t="shared" si="86"/>
        <v>2018</v>
      </c>
      <c r="Q91" s="25">
        <f t="shared" si="94"/>
        <v>9918</v>
      </c>
      <c r="R91" s="25">
        <f t="shared" si="95"/>
        <v>8533</v>
      </c>
      <c r="S91" s="25">
        <f t="shared" si="96"/>
        <v>7441</v>
      </c>
      <c r="T91" s="25">
        <f t="shared" si="97"/>
        <v>7923</v>
      </c>
      <c r="U91" s="25">
        <f t="shared" si="98"/>
        <v>9000</v>
      </c>
      <c r="V91" s="25">
        <f t="shared" si="99"/>
        <v>9265</v>
      </c>
      <c r="W91" s="25">
        <f t="shared" si="100"/>
        <v>9510</v>
      </c>
      <c r="X91" s="25">
        <f t="shared" si="101"/>
        <v>9777</v>
      </c>
      <c r="Y91" s="25">
        <f t="shared" si="102"/>
        <v>8868</v>
      </c>
      <c r="Z91" s="25">
        <f t="shared" si="103"/>
        <v>8507</v>
      </c>
      <c r="AA91" s="25">
        <f t="shared" si="104"/>
        <v>6817</v>
      </c>
      <c r="AB91" s="25">
        <f t="shared" si="106"/>
        <v>8031</v>
      </c>
      <c r="AC91" s="887">
        <f t="shared" si="92"/>
        <v>8632.5</v>
      </c>
    </row>
    <row r="92" spans="1:29">
      <c r="A92" s="2">
        <f t="shared" si="87"/>
        <v>2019</v>
      </c>
      <c r="B92" s="880">
        <f t="shared" ref="B92:M92" si="109">ROUND(B532-B572,0)</f>
        <v>9782</v>
      </c>
      <c r="C92" s="880">
        <f t="shared" si="109"/>
        <v>8382</v>
      </c>
      <c r="D92" s="880">
        <f t="shared" si="109"/>
        <v>7332</v>
      </c>
      <c r="E92" s="880">
        <f t="shared" si="109"/>
        <v>7947</v>
      </c>
      <c r="F92" s="880">
        <f t="shared" si="109"/>
        <v>9193</v>
      </c>
      <c r="G92" s="880">
        <f t="shared" si="109"/>
        <v>9263</v>
      </c>
      <c r="H92" s="880">
        <f t="shared" si="109"/>
        <v>9512</v>
      </c>
      <c r="I92" s="880">
        <f t="shared" si="109"/>
        <v>9781</v>
      </c>
      <c r="J92" s="880">
        <f t="shared" si="109"/>
        <v>8852</v>
      </c>
      <c r="K92" s="880">
        <f t="shared" si="109"/>
        <v>8518</v>
      </c>
      <c r="L92" s="880">
        <f t="shared" si="109"/>
        <v>6709</v>
      </c>
      <c r="M92" s="880">
        <f t="shared" si="109"/>
        <v>7879</v>
      </c>
      <c r="N92" s="25">
        <f t="shared" si="84"/>
        <v>8595.8333333333339</v>
      </c>
      <c r="P92" s="2">
        <f t="shared" si="86"/>
        <v>2019</v>
      </c>
      <c r="Q92" s="25">
        <f t="shared" si="94"/>
        <v>10105</v>
      </c>
      <c r="R92" s="25">
        <f t="shared" si="95"/>
        <v>8689</v>
      </c>
      <c r="S92" s="25">
        <f t="shared" si="96"/>
        <v>7602</v>
      </c>
      <c r="T92" s="25">
        <f t="shared" si="97"/>
        <v>8119</v>
      </c>
      <c r="U92" s="25">
        <f t="shared" si="98"/>
        <v>9379</v>
      </c>
      <c r="V92" s="25">
        <f t="shared" si="99"/>
        <v>9456</v>
      </c>
      <c r="W92" s="25">
        <f t="shared" si="100"/>
        <v>9705</v>
      </c>
      <c r="X92" s="25">
        <f t="shared" si="101"/>
        <v>9978</v>
      </c>
      <c r="Y92" s="25">
        <f t="shared" si="102"/>
        <v>9041</v>
      </c>
      <c r="Z92" s="25">
        <f t="shared" si="103"/>
        <v>8690</v>
      </c>
      <c r="AA92" s="25">
        <f t="shared" si="104"/>
        <v>6949</v>
      </c>
      <c r="AB92" s="25">
        <f t="shared" si="106"/>
        <v>8163</v>
      </c>
      <c r="AC92" s="887">
        <f t="shared" si="92"/>
        <v>8823</v>
      </c>
    </row>
    <row r="93" spans="1:29">
      <c r="A93" s="2">
        <f t="shared" si="87"/>
        <v>2020</v>
      </c>
      <c r="B93" s="880">
        <f t="shared" ref="B93:M93" si="110">ROUND(B533-B573,0)</f>
        <v>9901</v>
      </c>
      <c r="C93" s="880">
        <f t="shared" si="110"/>
        <v>8473</v>
      </c>
      <c r="D93" s="880">
        <f t="shared" si="110"/>
        <v>7430</v>
      </c>
      <c r="E93" s="880">
        <f t="shared" si="110"/>
        <v>8093</v>
      </c>
      <c r="F93" s="880">
        <f t="shared" si="110"/>
        <v>9352</v>
      </c>
      <c r="G93" s="880">
        <f t="shared" si="110"/>
        <v>9406</v>
      </c>
      <c r="H93" s="880">
        <f t="shared" si="110"/>
        <v>9660</v>
      </c>
      <c r="I93" s="880">
        <f t="shared" si="110"/>
        <v>9934</v>
      </c>
      <c r="J93" s="880">
        <f t="shared" si="110"/>
        <v>8977</v>
      </c>
      <c r="K93" s="880">
        <f t="shared" si="110"/>
        <v>8658</v>
      </c>
      <c r="L93" s="880">
        <f t="shared" si="110"/>
        <v>6789</v>
      </c>
      <c r="M93" s="880">
        <f t="shared" si="110"/>
        <v>7955</v>
      </c>
      <c r="N93" s="25">
        <f t="shared" si="84"/>
        <v>8719</v>
      </c>
      <c r="P93" s="2">
        <f t="shared" si="86"/>
        <v>2020</v>
      </c>
      <c r="Q93" s="25">
        <f t="shared" si="94"/>
        <v>10264</v>
      </c>
      <c r="R93" s="25">
        <f t="shared" si="95"/>
        <v>8818</v>
      </c>
      <c r="S93" s="25">
        <f t="shared" si="96"/>
        <v>7733</v>
      </c>
      <c r="T93" s="25">
        <f t="shared" si="97"/>
        <v>8284</v>
      </c>
      <c r="U93" s="25">
        <f t="shared" si="98"/>
        <v>9558</v>
      </c>
      <c r="V93" s="25">
        <f t="shared" si="99"/>
        <v>9620</v>
      </c>
      <c r="W93" s="25">
        <f t="shared" si="100"/>
        <v>9874</v>
      </c>
      <c r="X93" s="25">
        <f t="shared" si="101"/>
        <v>10152</v>
      </c>
      <c r="Y93" s="25">
        <f t="shared" si="102"/>
        <v>9187</v>
      </c>
      <c r="Z93" s="25">
        <f t="shared" si="103"/>
        <v>8848</v>
      </c>
      <c r="AA93" s="25">
        <f t="shared" si="104"/>
        <v>7056</v>
      </c>
      <c r="AB93" s="25">
        <f t="shared" si="106"/>
        <v>8271</v>
      </c>
      <c r="AC93" s="887">
        <f t="shared" si="92"/>
        <v>8972.0833333333339</v>
      </c>
    </row>
    <row r="94" spans="1:29">
      <c r="A94" s="2">
        <f t="shared" si="87"/>
        <v>2021</v>
      </c>
      <c r="B94" s="880">
        <f t="shared" ref="B94:M94" si="111">ROUND(B534-B574,0)</f>
        <v>10004</v>
      </c>
      <c r="C94" s="880">
        <f t="shared" si="111"/>
        <v>8545</v>
      </c>
      <c r="D94" s="880">
        <f t="shared" si="111"/>
        <v>7509</v>
      </c>
      <c r="E94" s="880">
        <f t="shared" si="111"/>
        <v>8215</v>
      </c>
      <c r="F94" s="880">
        <f t="shared" si="111"/>
        <v>9484</v>
      </c>
      <c r="G94" s="880">
        <f t="shared" si="111"/>
        <v>9524</v>
      </c>
      <c r="H94" s="880">
        <f t="shared" si="111"/>
        <v>9780</v>
      </c>
      <c r="I94" s="880">
        <f t="shared" si="111"/>
        <v>10061</v>
      </c>
      <c r="J94" s="880">
        <f t="shared" si="111"/>
        <v>9078</v>
      </c>
      <c r="K94" s="880">
        <f t="shared" si="111"/>
        <v>8774</v>
      </c>
      <c r="L94" s="880">
        <f t="shared" si="111"/>
        <v>6848</v>
      </c>
      <c r="M94" s="880">
        <f t="shared" si="111"/>
        <v>8011</v>
      </c>
      <c r="N94" s="25">
        <f t="shared" ref="N94:N99" si="112">AVERAGE(B94:M94)</f>
        <v>8819.4166666666661</v>
      </c>
      <c r="P94" s="2">
        <f t="shared" si="86"/>
        <v>2021</v>
      </c>
      <c r="Q94" s="25">
        <f t="shared" si="94"/>
        <v>10401</v>
      </c>
      <c r="R94" s="25">
        <f t="shared" si="95"/>
        <v>8922</v>
      </c>
      <c r="S94" s="25">
        <f t="shared" si="96"/>
        <v>7840</v>
      </c>
      <c r="T94" s="25">
        <f t="shared" si="97"/>
        <v>8422</v>
      </c>
      <c r="U94" s="25">
        <f t="shared" si="98"/>
        <v>9708</v>
      </c>
      <c r="V94" s="25">
        <f t="shared" si="99"/>
        <v>9757</v>
      </c>
      <c r="W94" s="25">
        <f t="shared" si="100"/>
        <v>10014</v>
      </c>
      <c r="X94" s="25">
        <f t="shared" si="101"/>
        <v>10299</v>
      </c>
      <c r="Y94" s="25">
        <f t="shared" si="102"/>
        <v>9307</v>
      </c>
      <c r="Z94" s="25">
        <f t="shared" si="103"/>
        <v>8981</v>
      </c>
      <c r="AA94" s="25">
        <f t="shared" si="104"/>
        <v>7139</v>
      </c>
      <c r="AB94" s="25">
        <f t="shared" si="106"/>
        <v>8357</v>
      </c>
      <c r="AC94" s="887">
        <f t="shared" si="92"/>
        <v>9095.5833333333339</v>
      </c>
    </row>
    <row r="95" spans="1:29">
      <c r="A95" s="2">
        <f t="shared" si="87"/>
        <v>2022</v>
      </c>
      <c r="B95" s="880">
        <f t="shared" ref="B95:M95" si="113">ROUND(B535-B575,0)</f>
        <v>10102</v>
      </c>
      <c r="C95" s="880">
        <f t="shared" si="113"/>
        <v>8615</v>
      </c>
      <c r="D95" s="880">
        <f t="shared" si="113"/>
        <v>7585</v>
      </c>
      <c r="E95" s="880">
        <f t="shared" si="113"/>
        <v>8332</v>
      </c>
      <c r="F95" s="880">
        <f t="shared" si="113"/>
        <v>9612</v>
      </c>
      <c r="G95" s="880">
        <f t="shared" si="113"/>
        <v>9639</v>
      </c>
      <c r="H95" s="880">
        <f t="shared" si="113"/>
        <v>9899</v>
      </c>
      <c r="I95" s="880">
        <f t="shared" si="113"/>
        <v>10185</v>
      </c>
      <c r="J95" s="880">
        <f t="shared" si="113"/>
        <v>9175</v>
      </c>
      <c r="K95" s="880">
        <f t="shared" si="113"/>
        <v>8885</v>
      </c>
      <c r="L95" s="880">
        <f t="shared" si="113"/>
        <v>6905</v>
      </c>
      <c r="M95" s="880">
        <f t="shared" si="113"/>
        <v>8065</v>
      </c>
      <c r="N95" s="25">
        <f t="shared" si="112"/>
        <v>8916.5833333333339</v>
      </c>
      <c r="P95" s="2">
        <f t="shared" si="86"/>
        <v>2022</v>
      </c>
      <c r="Q95" s="25">
        <f t="shared" si="94"/>
        <v>10532</v>
      </c>
      <c r="R95" s="25">
        <f t="shared" si="95"/>
        <v>9023</v>
      </c>
      <c r="S95" s="25">
        <f t="shared" si="96"/>
        <v>7942</v>
      </c>
      <c r="T95" s="25">
        <f t="shared" si="97"/>
        <v>8555</v>
      </c>
      <c r="U95" s="25">
        <f t="shared" si="98"/>
        <v>9854</v>
      </c>
      <c r="V95" s="25">
        <f t="shared" si="99"/>
        <v>9891</v>
      </c>
      <c r="W95" s="25">
        <f t="shared" si="100"/>
        <v>10151</v>
      </c>
      <c r="X95" s="25">
        <f t="shared" si="101"/>
        <v>10442</v>
      </c>
      <c r="Y95" s="25">
        <f t="shared" si="102"/>
        <v>9422</v>
      </c>
      <c r="Z95" s="25">
        <f t="shared" si="103"/>
        <v>9108</v>
      </c>
      <c r="AA95" s="25">
        <f t="shared" si="104"/>
        <v>7219</v>
      </c>
      <c r="AB95" s="25">
        <f t="shared" si="106"/>
        <v>8439</v>
      </c>
      <c r="AC95" s="887">
        <f t="shared" si="92"/>
        <v>9214.8333333333339</v>
      </c>
    </row>
    <row r="96" spans="1:29">
      <c r="A96" s="2">
        <f t="shared" si="87"/>
        <v>2023</v>
      </c>
      <c r="B96" s="880">
        <f t="shared" ref="B96:M96" si="114">ROUND(B536-B576,0)</f>
        <v>10197</v>
      </c>
      <c r="C96" s="880">
        <f t="shared" si="114"/>
        <v>8681</v>
      </c>
      <c r="D96" s="880">
        <f t="shared" si="114"/>
        <v>7660</v>
      </c>
      <c r="E96" s="880">
        <f t="shared" si="114"/>
        <v>8442</v>
      </c>
      <c r="F96" s="880">
        <f t="shared" si="114"/>
        <v>9731</v>
      </c>
      <c r="G96" s="880">
        <f t="shared" si="114"/>
        <v>9746</v>
      </c>
      <c r="H96" s="880">
        <f t="shared" si="114"/>
        <v>10008</v>
      </c>
      <c r="I96" s="880">
        <f t="shared" si="114"/>
        <v>10300</v>
      </c>
      <c r="J96" s="880">
        <f t="shared" si="114"/>
        <v>9267</v>
      </c>
      <c r="K96" s="880">
        <f t="shared" si="114"/>
        <v>8990</v>
      </c>
      <c r="L96" s="880">
        <f t="shared" si="114"/>
        <v>6957</v>
      </c>
      <c r="M96" s="880">
        <f t="shared" si="114"/>
        <v>8116</v>
      </c>
      <c r="N96" s="25">
        <f t="shared" si="112"/>
        <v>9007.9166666666661</v>
      </c>
      <c r="P96" s="2">
        <f t="shared" si="86"/>
        <v>2023</v>
      </c>
      <c r="Q96" s="25">
        <f t="shared" si="94"/>
        <v>10657</v>
      </c>
      <c r="R96" s="25">
        <f t="shared" si="95"/>
        <v>9118</v>
      </c>
      <c r="S96" s="25">
        <f t="shared" si="96"/>
        <v>8042</v>
      </c>
      <c r="T96" s="25">
        <f t="shared" si="97"/>
        <v>8680</v>
      </c>
      <c r="U96" s="25">
        <f t="shared" si="98"/>
        <v>9990</v>
      </c>
      <c r="V96" s="25">
        <f t="shared" si="99"/>
        <v>10015</v>
      </c>
      <c r="W96" s="25">
        <f t="shared" si="100"/>
        <v>10278</v>
      </c>
      <c r="X96" s="25">
        <f t="shared" si="101"/>
        <v>10575</v>
      </c>
      <c r="Y96" s="25">
        <f t="shared" si="102"/>
        <v>9531</v>
      </c>
      <c r="Z96" s="25">
        <f t="shared" si="103"/>
        <v>9228</v>
      </c>
      <c r="AA96" s="25">
        <f t="shared" si="104"/>
        <v>7294</v>
      </c>
      <c r="AB96" s="25">
        <f t="shared" si="106"/>
        <v>8517</v>
      </c>
      <c r="AC96" s="887">
        <f t="shared" si="92"/>
        <v>9327.0833333333339</v>
      </c>
    </row>
    <row r="97" spans="1:29">
      <c r="A97" s="2">
        <f t="shared" si="87"/>
        <v>2024</v>
      </c>
      <c r="B97" s="880">
        <f t="shared" ref="B97:M97" si="115">ROUND(B537-B577,0)</f>
        <v>10286</v>
      </c>
      <c r="C97" s="880">
        <f t="shared" si="115"/>
        <v>8743</v>
      </c>
      <c r="D97" s="880">
        <f t="shared" si="115"/>
        <v>7728</v>
      </c>
      <c r="E97" s="880">
        <f t="shared" si="115"/>
        <v>8547</v>
      </c>
      <c r="F97" s="880">
        <f t="shared" si="115"/>
        <v>9847</v>
      </c>
      <c r="G97" s="880">
        <f t="shared" si="115"/>
        <v>9849</v>
      </c>
      <c r="H97" s="880">
        <f t="shared" si="115"/>
        <v>10114</v>
      </c>
      <c r="I97" s="880">
        <f t="shared" si="115"/>
        <v>10412</v>
      </c>
      <c r="J97" s="880">
        <f t="shared" si="115"/>
        <v>9353</v>
      </c>
      <c r="K97" s="880">
        <f t="shared" si="115"/>
        <v>9090</v>
      </c>
      <c r="L97" s="880">
        <f t="shared" si="115"/>
        <v>7006</v>
      </c>
      <c r="M97" s="880">
        <f t="shared" si="115"/>
        <v>8163</v>
      </c>
      <c r="N97" s="25">
        <f t="shared" si="112"/>
        <v>9094.8333333333339</v>
      </c>
      <c r="P97" s="2">
        <f t="shared" si="86"/>
        <v>2024</v>
      </c>
      <c r="Q97" s="25">
        <f t="shared" si="94"/>
        <v>10776</v>
      </c>
      <c r="R97" s="25">
        <f t="shared" si="95"/>
        <v>9208</v>
      </c>
      <c r="S97" s="25">
        <f t="shared" si="96"/>
        <v>8135</v>
      </c>
      <c r="T97" s="25">
        <f t="shared" si="97"/>
        <v>8800</v>
      </c>
      <c r="U97" s="25">
        <f t="shared" si="98"/>
        <v>10122</v>
      </c>
      <c r="V97" s="25">
        <f t="shared" si="99"/>
        <v>10135</v>
      </c>
      <c r="W97" s="25">
        <f t="shared" si="100"/>
        <v>10401</v>
      </c>
      <c r="X97" s="25">
        <f t="shared" si="101"/>
        <v>10705</v>
      </c>
      <c r="Y97" s="25">
        <f t="shared" si="102"/>
        <v>9635</v>
      </c>
      <c r="Z97" s="25">
        <f t="shared" si="103"/>
        <v>9344</v>
      </c>
      <c r="AA97" s="25">
        <f t="shared" si="104"/>
        <v>7365</v>
      </c>
      <c r="AB97" s="25">
        <f t="shared" si="106"/>
        <v>8591</v>
      </c>
      <c r="AC97" s="887">
        <f t="shared" si="92"/>
        <v>9434.75</v>
      </c>
    </row>
    <row r="98" spans="1:29">
      <c r="A98" s="2">
        <f t="shared" si="87"/>
        <v>2025</v>
      </c>
      <c r="B98" s="880">
        <f t="shared" ref="B98:M98" si="116">ROUND(B538-B578,0)</f>
        <v>10372</v>
      </c>
      <c r="C98" s="880">
        <f t="shared" si="116"/>
        <v>8803</v>
      </c>
      <c r="D98" s="880">
        <f t="shared" si="116"/>
        <v>7795</v>
      </c>
      <c r="E98" s="880">
        <f t="shared" si="116"/>
        <v>8649</v>
      </c>
      <c r="F98" s="880">
        <f t="shared" si="116"/>
        <v>9959</v>
      </c>
      <c r="G98" s="880">
        <f t="shared" si="116"/>
        <v>9948</v>
      </c>
      <c r="H98" s="880">
        <f t="shared" si="116"/>
        <v>10217</v>
      </c>
      <c r="I98" s="880">
        <f t="shared" si="116"/>
        <v>10519</v>
      </c>
      <c r="J98" s="880">
        <f t="shared" si="116"/>
        <v>9439</v>
      </c>
      <c r="K98" s="880">
        <f t="shared" si="116"/>
        <v>9187</v>
      </c>
      <c r="L98" s="880">
        <f t="shared" si="116"/>
        <v>7055</v>
      </c>
      <c r="M98" s="880">
        <f t="shared" si="116"/>
        <v>8209</v>
      </c>
      <c r="N98" s="25">
        <f t="shared" si="112"/>
        <v>9179.3333333333339</v>
      </c>
      <c r="P98" s="2">
        <f t="shared" si="86"/>
        <v>2025</v>
      </c>
      <c r="Q98" s="25">
        <f t="shared" si="94"/>
        <v>10892</v>
      </c>
      <c r="R98" s="25">
        <f t="shared" si="95"/>
        <v>9297</v>
      </c>
      <c r="S98" s="25">
        <f t="shared" si="96"/>
        <v>8227</v>
      </c>
      <c r="T98" s="25">
        <f t="shared" si="97"/>
        <v>8917</v>
      </c>
      <c r="U98" s="25">
        <f t="shared" si="98"/>
        <v>10250</v>
      </c>
      <c r="V98" s="25">
        <f t="shared" si="99"/>
        <v>10252</v>
      </c>
      <c r="W98" s="25">
        <f t="shared" si="100"/>
        <v>10521</v>
      </c>
      <c r="X98" s="25">
        <f t="shared" si="101"/>
        <v>10830</v>
      </c>
      <c r="Y98" s="25">
        <f t="shared" si="102"/>
        <v>9737</v>
      </c>
      <c r="Z98" s="25">
        <f t="shared" si="103"/>
        <v>9456</v>
      </c>
      <c r="AA98" s="25">
        <f t="shared" si="104"/>
        <v>7435</v>
      </c>
      <c r="AB98" s="25">
        <f t="shared" si="106"/>
        <v>8663</v>
      </c>
      <c r="AC98" s="887">
        <f t="shared" si="92"/>
        <v>9539.75</v>
      </c>
    </row>
    <row r="99" spans="1:29">
      <c r="A99" s="2">
        <f t="shared" si="87"/>
        <v>2026</v>
      </c>
      <c r="B99" s="880">
        <f t="shared" ref="B99:M99" si="117">ROUND(B539-B579,0)</f>
        <v>10453</v>
      </c>
      <c r="C99" s="880">
        <f t="shared" si="117"/>
        <v>8860</v>
      </c>
      <c r="D99" s="880">
        <f t="shared" si="117"/>
        <v>7860</v>
      </c>
      <c r="E99" s="880">
        <f t="shared" si="117"/>
        <v>8745</v>
      </c>
      <c r="F99" s="880">
        <f t="shared" si="117"/>
        <v>10063</v>
      </c>
      <c r="G99" s="880">
        <f t="shared" si="117"/>
        <v>10042</v>
      </c>
      <c r="H99" s="880">
        <f t="shared" si="117"/>
        <v>10312</v>
      </c>
      <c r="I99" s="880">
        <f t="shared" si="117"/>
        <v>10619</v>
      </c>
      <c r="J99" s="880">
        <f t="shared" si="117"/>
        <v>9518</v>
      </c>
      <c r="K99" s="880">
        <f t="shared" si="117"/>
        <v>9279</v>
      </c>
      <c r="L99" s="880">
        <f t="shared" si="117"/>
        <v>7101</v>
      </c>
      <c r="M99" s="880">
        <f t="shared" si="117"/>
        <v>8253</v>
      </c>
      <c r="N99" s="25">
        <f t="shared" si="112"/>
        <v>9258.75</v>
      </c>
      <c r="P99" s="2">
        <f t="shared" si="86"/>
        <v>2026</v>
      </c>
      <c r="Q99" s="25">
        <f t="shared" si="94"/>
        <v>11002</v>
      </c>
      <c r="R99" s="25">
        <f t="shared" si="95"/>
        <v>9381</v>
      </c>
      <c r="S99" s="25">
        <f t="shared" si="96"/>
        <v>8315</v>
      </c>
      <c r="T99" s="25">
        <f t="shared" si="97"/>
        <v>9027</v>
      </c>
      <c r="U99" s="25">
        <f t="shared" si="98"/>
        <v>10370</v>
      </c>
      <c r="V99" s="25">
        <f t="shared" si="99"/>
        <v>10362</v>
      </c>
      <c r="W99" s="25">
        <f t="shared" si="100"/>
        <v>10633</v>
      </c>
      <c r="X99" s="25">
        <f t="shared" si="101"/>
        <v>10947</v>
      </c>
      <c r="Y99" s="25">
        <f t="shared" si="102"/>
        <v>9833</v>
      </c>
      <c r="Z99" s="25">
        <f t="shared" si="103"/>
        <v>9562</v>
      </c>
      <c r="AA99" s="25">
        <f t="shared" si="104"/>
        <v>7502</v>
      </c>
      <c r="AB99" s="25">
        <f t="shared" si="106"/>
        <v>8732</v>
      </c>
      <c r="AC99" s="887">
        <f t="shared" si="92"/>
        <v>9638.8333333333339</v>
      </c>
    </row>
    <row r="100" spans="1:29">
      <c r="A100" s="2">
        <f t="shared" si="87"/>
        <v>2027</v>
      </c>
      <c r="B100" s="880">
        <f t="shared" ref="B100:M100" si="118">ROUND(B540-B580,0)</f>
        <v>10530</v>
      </c>
      <c r="C100" s="880">
        <f t="shared" si="118"/>
        <v>8915</v>
      </c>
      <c r="D100" s="880">
        <f t="shared" si="118"/>
        <v>7920</v>
      </c>
      <c r="E100" s="880">
        <f t="shared" si="118"/>
        <v>8839</v>
      </c>
      <c r="F100" s="880">
        <f t="shared" si="118"/>
        <v>10166</v>
      </c>
      <c r="G100" s="880">
        <f t="shared" si="118"/>
        <v>10133</v>
      </c>
      <c r="H100" s="880">
        <f t="shared" si="118"/>
        <v>10406</v>
      </c>
      <c r="I100" s="880">
        <f t="shared" si="118"/>
        <v>10719</v>
      </c>
      <c r="J100" s="880">
        <f t="shared" si="118"/>
        <v>9596</v>
      </c>
      <c r="K100" s="880">
        <f t="shared" si="118"/>
        <v>9369</v>
      </c>
      <c r="L100" s="880">
        <f t="shared" si="118"/>
        <v>7146</v>
      </c>
      <c r="M100" s="880">
        <f t="shared" si="118"/>
        <v>8295</v>
      </c>
      <c r="N100" s="25">
        <f>AVERAGE(B100:M100)</f>
        <v>9336.1666666666661</v>
      </c>
      <c r="P100" s="2">
        <f t="shared" si="86"/>
        <v>2027</v>
      </c>
      <c r="Q100" s="25">
        <f t="shared" si="94"/>
        <v>11107</v>
      </c>
      <c r="R100" s="25">
        <f t="shared" si="95"/>
        <v>9462</v>
      </c>
      <c r="S100" s="25">
        <f t="shared" si="96"/>
        <v>8398</v>
      </c>
      <c r="T100" s="25">
        <f t="shared" si="97"/>
        <v>9135</v>
      </c>
      <c r="U100" s="25">
        <f t="shared" si="98"/>
        <v>10488</v>
      </c>
      <c r="V100" s="25">
        <f t="shared" si="99"/>
        <v>10469</v>
      </c>
      <c r="W100" s="25">
        <f t="shared" si="100"/>
        <v>10743</v>
      </c>
      <c r="X100" s="25">
        <f t="shared" si="101"/>
        <v>11063</v>
      </c>
      <c r="Y100" s="25">
        <f t="shared" si="102"/>
        <v>9927</v>
      </c>
      <c r="Z100" s="25">
        <f t="shared" si="103"/>
        <v>9666</v>
      </c>
      <c r="AA100" s="25">
        <f t="shared" si="104"/>
        <v>7567</v>
      </c>
      <c r="AB100" s="25">
        <f t="shared" si="106"/>
        <v>8799</v>
      </c>
      <c r="AC100" s="887">
        <f t="shared" si="92"/>
        <v>9735.3333333333339</v>
      </c>
    </row>
    <row r="101" spans="1:29">
      <c r="A101" s="2">
        <f t="shared" si="87"/>
        <v>2028</v>
      </c>
      <c r="B101" s="880">
        <f t="shared" ref="B101:M101" si="119">ROUND(B541-B581,0)</f>
        <v>10607</v>
      </c>
      <c r="C101" s="880">
        <f t="shared" si="119"/>
        <v>8968</v>
      </c>
      <c r="D101" s="880">
        <f t="shared" si="119"/>
        <v>7977</v>
      </c>
      <c r="E101" s="880">
        <f t="shared" si="119"/>
        <v>8928</v>
      </c>
      <c r="F101" s="880">
        <f t="shared" si="119"/>
        <v>10265</v>
      </c>
      <c r="G101" s="880">
        <f t="shared" si="119"/>
        <v>10221</v>
      </c>
      <c r="H101" s="880">
        <f t="shared" si="119"/>
        <v>10497</v>
      </c>
      <c r="I101" s="880">
        <f t="shared" si="119"/>
        <v>10814</v>
      </c>
      <c r="J101" s="880">
        <f t="shared" si="119"/>
        <v>9672</v>
      </c>
      <c r="K101" s="880">
        <f t="shared" si="119"/>
        <v>9456</v>
      </c>
      <c r="L101" s="880">
        <f t="shared" si="119"/>
        <v>7188</v>
      </c>
      <c r="M101" s="880">
        <f t="shared" si="119"/>
        <v>8337</v>
      </c>
      <c r="N101" s="25">
        <f>AVERAGE(B101:M101)</f>
        <v>9410.8333333333339</v>
      </c>
      <c r="P101" s="2">
        <f t="shared" si="86"/>
        <v>2028</v>
      </c>
      <c r="Q101" s="25">
        <f t="shared" si="94"/>
        <v>11210</v>
      </c>
      <c r="R101" s="25">
        <f t="shared" si="95"/>
        <v>9540</v>
      </c>
      <c r="S101" s="25">
        <f t="shared" si="96"/>
        <v>8477</v>
      </c>
      <c r="T101" s="25">
        <f t="shared" si="97"/>
        <v>9238</v>
      </c>
      <c r="U101" s="25">
        <f t="shared" si="98"/>
        <v>10602</v>
      </c>
      <c r="V101" s="25">
        <f t="shared" si="99"/>
        <v>10573</v>
      </c>
      <c r="W101" s="25">
        <f t="shared" si="100"/>
        <v>10850</v>
      </c>
      <c r="X101" s="25">
        <f t="shared" si="101"/>
        <v>11175</v>
      </c>
      <c r="Y101" s="25">
        <f t="shared" si="102"/>
        <v>10018</v>
      </c>
      <c r="Z101" s="25">
        <f t="shared" si="103"/>
        <v>9767</v>
      </c>
      <c r="AA101" s="25">
        <f t="shared" si="104"/>
        <v>7629</v>
      </c>
      <c r="AB101" s="25">
        <f t="shared" si="106"/>
        <v>8864</v>
      </c>
      <c r="AC101" s="887">
        <f t="shared" si="92"/>
        <v>9828.5833333333339</v>
      </c>
    </row>
    <row r="102" spans="1:29">
      <c r="A102" s="2">
        <f t="shared" si="87"/>
        <v>2029</v>
      </c>
      <c r="B102" s="880">
        <f t="shared" ref="B102:M102" si="120">ROUND(B542-B582,0)</f>
        <v>10683</v>
      </c>
      <c r="C102" s="880">
        <f t="shared" si="120"/>
        <v>9021</v>
      </c>
      <c r="D102" s="880">
        <f t="shared" si="120"/>
        <v>8036</v>
      </c>
      <c r="E102" s="880">
        <f t="shared" si="120"/>
        <v>9019</v>
      </c>
      <c r="F102" s="880">
        <f t="shared" si="120"/>
        <v>10363</v>
      </c>
      <c r="G102" s="880">
        <f t="shared" si="120"/>
        <v>10310</v>
      </c>
      <c r="H102" s="880">
        <f t="shared" si="120"/>
        <v>10588</v>
      </c>
      <c r="I102" s="880">
        <f t="shared" si="120"/>
        <v>10910</v>
      </c>
      <c r="J102" s="880">
        <f t="shared" si="120"/>
        <v>9747</v>
      </c>
      <c r="K102" s="880">
        <f t="shared" si="120"/>
        <v>9541</v>
      </c>
      <c r="L102" s="880">
        <f t="shared" si="120"/>
        <v>7231</v>
      </c>
      <c r="M102" s="880">
        <f t="shared" si="120"/>
        <v>8378</v>
      </c>
      <c r="N102" s="25">
        <f>AVERAGE(B102:M102)</f>
        <v>9485.5833333333339</v>
      </c>
      <c r="P102" s="2">
        <f t="shared" si="86"/>
        <v>2029</v>
      </c>
      <c r="Q102" s="25">
        <f t="shared" si="94"/>
        <v>11312</v>
      </c>
      <c r="R102" s="25">
        <f t="shared" si="95"/>
        <v>9618</v>
      </c>
      <c r="S102" s="25">
        <f t="shared" si="96"/>
        <v>8557</v>
      </c>
      <c r="T102" s="25">
        <f t="shared" si="97"/>
        <v>9342</v>
      </c>
      <c r="U102" s="25">
        <f t="shared" si="98"/>
        <v>10715</v>
      </c>
      <c r="V102" s="25">
        <f t="shared" si="99"/>
        <v>10677</v>
      </c>
      <c r="W102" s="25">
        <f t="shared" si="100"/>
        <v>10956</v>
      </c>
      <c r="X102" s="25">
        <f t="shared" si="101"/>
        <v>11286</v>
      </c>
      <c r="Y102" s="25">
        <f t="shared" si="102"/>
        <v>10108</v>
      </c>
      <c r="Z102" s="25">
        <f t="shared" si="103"/>
        <v>9866</v>
      </c>
      <c r="AA102" s="25">
        <f t="shared" si="104"/>
        <v>7691</v>
      </c>
      <c r="AB102" s="25">
        <f t="shared" si="106"/>
        <v>8928</v>
      </c>
      <c r="AC102" s="887">
        <f t="shared" si="92"/>
        <v>9921.3333333333339</v>
      </c>
    </row>
    <row r="103" spans="1:29">
      <c r="A103" s="2">
        <f t="shared" si="87"/>
        <v>2030</v>
      </c>
      <c r="B103" s="880">
        <f t="shared" ref="B103:M103" si="121">ROUND(B543-B583,0)</f>
        <v>10754</v>
      </c>
      <c r="C103" s="880">
        <f t="shared" si="121"/>
        <v>9071</v>
      </c>
      <c r="D103" s="880">
        <f t="shared" si="121"/>
        <v>8092</v>
      </c>
      <c r="E103" s="880">
        <f t="shared" si="121"/>
        <v>9103</v>
      </c>
      <c r="F103" s="880">
        <f t="shared" si="121"/>
        <v>10455</v>
      </c>
      <c r="G103" s="880">
        <f t="shared" si="121"/>
        <v>10391</v>
      </c>
      <c r="H103" s="880">
        <f t="shared" si="121"/>
        <v>10672</v>
      </c>
      <c r="I103" s="880">
        <f t="shared" si="121"/>
        <v>10998</v>
      </c>
      <c r="J103" s="880">
        <f t="shared" si="121"/>
        <v>9816</v>
      </c>
      <c r="K103" s="880">
        <f t="shared" si="121"/>
        <v>9621</v>
      </c>
      <c r="L103" s="880">
        <f t="shared" si="121"/>
        <v>7272</v>
      </c>
      <c r="M103" s="880">
        <f t="shared" si="121"/>
        <v>8417</v>
      </c>
      <c r="N103" s="25">
        <f>AVERAGE(B103:M103)</f>
        <v>9555.1666666666661</v>
      </c>
      <c r="P103" s="2">
        <f t="shared" si="86"/>
        <v>2030</v>
      </c>
      <c r="Q103" s="25">
        <f t="shared" si="94"/>
        <v>11409</v>
      </c>
      <c r="R103" s="25">
        <f t="shared" si="95"/>
        <v>9692</v>
      </c>
      <c r="S103" s="25">
        <f t="shared" si="96"/>
        <v>8634</v>
      </c>
      <c r="T103" s="25">
        <f t="shared" si="97"/>
        <v>9439</v>
      </c>
      <c r="U103" s="25">
        <f t="shared" si="98"/>
        <v>10821</v>
      </c>
      <c r="V103" s="25">
        <f t="shared" si="99"/>
        <v>10773</v>
      </c>
      <c r="W103" s="25">
        <f t="shared" si="100"/>
        <v>11055</v>
      </c>
      <c r="X103" s="25">
        <f t="shared" si="101"/>
        <v>11390</v>
      </c>
      <c r="Y103" s="25">
        <f t="shared" si="102"/>
        <v>10192</v>
      </c>
      <c r="Z103" s="25">
        <f t="shared" si="103"/>
        <v>9959</v>
      </c>
      <c r="AA103" s="25">
        <f t="shared" si="104"/>
        <v>7750</v>
      </c>
      <c r="AB103" s="25">
        <f t="shared" si="106"/>
        <v>8989</v>
      </c>
      <c r="AC103" s="887">
        <f t="shared" si="92"/>
        <v>10008.583333333334</v>
      </c>
    </row>
    <row r="104" spans="1:29">
      <c r="A104" s="2">
        <f t="shared" si="87"/>
        <v>2031</v>
      </c>
      <c r="B104" s="880">
        <f t="shared" ref="B104:M104" si="122">ROUND(B544-B584,0)</f>
        <v>10808</v>
      </c>
      <c r="C104" s="880">
        <f t="shared" si="122"/>
        <v>9102</v>
      </c>
      <c r="D104" s="880">
        <f t="shared" si="122"/>
        <v>8129</v>
      </c>
      <c r="E104" s="880">
        <f t="shared" si="122"/>
        <v>9167</v>
      </c>
      <c r="F104" s="880">
        <f t="shared" si="122"/>
        <v>10527</v>
      </c>
      <c r="G104" s="880">
        <f t="shared" si="122"/>
        <v>10455</v>
      </c>
      <c r="H104" s="880">
        <f t="shared" si="122"/>
        <v>10737</v>
      </c>
      <c r="I104" s="880">
        <f t="shared" si="122"/>
        <v>11068</v>
      </c>
      <c r="J104" s="880">
        <f t="shared" si="122"/>
        <v>9868</v>
      </c>
      <c r="K104" s="880">
        <f t="shared" si="122"/>
        <v>9685</v>
      </c>
      <c r="L104" s="880">
        <f t="shared" si="122"/>
        <v>7294</v>
      </c>
      <c r="M104" s="880">
        <f t="shared" si="122"/>
        <v>8438</v>
      </c>
      <c r="N104" s="25">
        <f>AVERAGE(B104:M104)</f>
        <v>9606.5</v>
      </c>
      <c r="P104" s="2">
        <f t="shared" si="86"/>
        <v>2031</v>
      </c>
      <c r="Q104" s="25">
        <f t="shared" si="94"/>
        <v>11487</v>
      </c>
      <c r="R104" s="25">
        <f t="shared" si="95"/>
        <v>9746</v>
      </c>
      <c r="S104" s="25">
        <f t="shared" si="96"/>
        <v>8691</v>
      </c>
      <c r="T104" s="25">
        <f t="shared" si="97"/>
        <v>9515</v>
      </c>
      <c r="U104" s="25">
        <f t="shared" si="98"/>
        <v>10906</v>
      </c>
      <c r="V104" s="25">
        <f t="shared" si="99"/>
        <v>10851</v>
      </c>
      <c r="W104" s="25">
        <f t="shared" si="100"/>
        <v>11135</v>
      </c>
      <c r="X104" s="25">
        <f t="shared" si="101"/>
        <v>11475</v>
      </c>
      <c r="Y104" s="25">
        <f t="shared" si="102"/>
        <v>10258</v>
      </c>
      <c r="Z104" s="25">
        <f t="shared" si="103"/>
        <v>10035</v>
      </c>
      <c r="AA104" s="25">
        <f t="shared" ref="AA104:AA113" si="123">L544+25</f>
        <v>7790</v>
      </c>
      <c r="AB104" s="25">
        <f t="shared" si="106"/>
        <v>9032</v>
      </c>
      <c r="AC104" s="887">
        <f t="shared" si="92"/>
        <v>10076.75</v>
      </c>
    </row>
    <row r="105" spans="1:29">
      <c r="A105" s="2">
        <f t="shared" si="87"/>
        <v>2032</v>
      </c>
      <c r="B105" s="880">
        <f t="shared" ref="B105:M105" si="124">ROUND(B545-B585,0)</f>
        <v>10860</v>
      </c>
      <c r="C105" s="880">
        <f t="shared" si="124"/>
        <v>9134</v>
      </c>
      <c r="D105" s="880">
        <f t="shared" si="124"/>
        <v>8164</v>
      </c>
      <c r="E105" s="880">
        <f t="shared" si="124"/>
        <v>9230</v>
      </c>
      <c r="F105" s="880">
        <f t="shared" si="124"/>
        <v>10595</v>
      </c>
      <c r="G105" s="880">
        <f t="shared" si="124"/>
        <v>10517</v>
      </c>
      <c r="H105" s="880">
        <f t="shared" si="124"/>
        <v>10800</v>
      </c>
      <c r="I105" s="880">
        <f t="shared" si="124"/>
        <v>11137</v>
      </c>
      <c r="J105" s="880">
        <f t="shared" si="124"/>
        <v>9918</v>
      </c>
      <c r="K105" s="880">
        <f t="shared" si="124"/>
        <v>9746</v>
      </c>
      <c r="L105" s="880">
        <f t="shared" si="124"/>
        <v>7318</v>
      </c>
      <c r="M105" s="880">
        <f t="shared" si="124"/>
        <v>8462</v>
      </c>
      <c r="N105" s="25">
        <f t="shared" ref="N105:N117" si="125">AVERAGE(B105:M105)</f>
        <v>9656.75</v>
      </c>
      <c r="P105" s="2">
        <f t="shared" si="86"/>
        <v>2032</v>
      </c>
      <c r="Q105" s="25">
        <f t="shared" si="94"/>
        <v>11563</v>
      </c>
      <c r="R105" s="25">
        <f t="shared" si="95"/>
        <v>9800</v>
      </c>
      <c r="S105" s="25">
        <f t="shared" si="96"/>
        <v>8746</v>
      </c>
      <c r="T105" s="25">
        <f t="shared" si="97"/>
        <v>9590</v>
      </c>
      <c r="U105" s="25">
        <f t="shared" si="98"/>
        <v>10988</v>
      </c>
      <c r="V105" s="25">
        <f t="shared" si="99"/>
        <v>10927</v>
      </c>
      <c r="W105" s="25">
        <f t="shared" si="100"/>
        <v>11212</v>
      </c>
      <c r="X105" s="25">
        <f t="shared" si="101"/>
        <v>11558</v>
      </c>
      <c r="Y105" s="25">
        <f t="shared" si="102"/>
        <v>10322</v>
      </c>
      <c r="Z105" s="25">
        <f t="shared" si="103"/>
        <v>10109</v>
      </c>
      <c r="AA105" s="25">
        <f t="shared" si="123"/>
        <v>7831</v>
      </c>
      <c r="AB105" s="25">
        <f t="shared" si="106"/>
        <v>9077</v>
      </c>
      <c r="AC105" s="887">
        <f t="shared" si="92"/>
        <v>10143.583333333334</v>
      </c>
    </row>
    <row r="106" spans="1:29">
      <c r="A106" s="2">
        <f t="shared" si="87"/>
        <v>2033</v>
      </c>
      <c r="B106" s="880">
        <f t="shared" ref="B106:M106" si="126">ROUND(B546-B586,0)</f>
        <v>10925</v>
      </c>
      <c r="C106" s="880">
        <f t="shared" si="126"/>
        <v>9179</v>
      </c>
      <c r="D106" s="880">
        <f t="shared" si="126"/>
        <v>8214</v>
      </c>
      <c r="E106" s="880">
        <f t="shared" si="126"/>
        <v>9307</v>
      </c>
      <c r="F106" s="880">
        <f t="shared" si="126"/>
        <v>10679</v>
      </c>
      <c r="G106" s="880">
        <f t="shared" si="126"/>
        <v>10592</v>
      </c>
      <c r="H106" s="880">
        <f t="shared" si="126"/>
        <v>10878</v>
      </c>
      <c r="I106" s="880">
        <f t="shared" si="126"/>
        <v>11218</v>
      </c>
      <c r="J106" s="880">
        <f t="shared" si="126"/>
        <v>9982</v>
      </c>
      <c r="K106" s="880">
        <f t="shared" si="126"/>
        <v>9820</v>
      </c>
      <c r="L106" s="880">
        <f t="shared" si="126"/>
        <v>7355</v>
      </c>
      <c r="M106" s="880">
        <f t="shared" si="126"/>
        <v>8497</v>
      </c>
      <c r="N106" s="25">
        <f t="shared" si="125"/>
        <v>9720.5</v>
      </c>
      <c r="P106" s="2">
        <f t="shared" si="86"/>
        <v>2033</v>
      </c>
      <c r="Q106" s="25">
        <f t="shared" si="94"/>
        <v>11651</v>
      </c>
      <c r="R106" s="25">
        <f t="shared" si="95"/>
        <v>9867</v>
      </c>
      <c r="S106" s="25">
        <f t="shared" si="96"/>
        <v>8815</v>
      </c>
      <c r="T106" s="25">
        <f t="shared" si="97"/>
        <v>9679</v>
      </c>
      <c r="U106" s="25">
        <f t="shared" si="98"/>
        <v>11085</v>
      </c>
      <c r="V106" s="25">
        <f t="shared" si="99"/>
        <v>11016</v>
      </c>
      <c r="W106" s="25">
        <f t="shared" si="100"/>
        <v>11304</v>
      </c>
      <c r="X106" s="25">
        <f t="shared" si="101"/>
        <v>11654</v>
      </c>
      <c r="Y106" s="25">
        <f t="shared" si="102"/>
        <v>10400</v>
      </c>
      <c r="Z106" s="25">
        <f t="shared" si="103"/>
        <v>10195</v>
      </c>
      <c r="AA106" s="25">
        <f t="shared" si="123"/>
        <v>7885</v>
      </c>
      <c r="AB106" s="25">
        <f t="shared" si="106"/>
        <v>9132</v>
      </c>
      <c r="AC106" s="887">
        <f t="shared" si="92"/>
        <v>10223.583333333334</v>
      </c>
    </row>
    <row r="107" spans="1:29">
      <c r="A107" s="2">
        <f t="shared" si="87"/>
        <v>2034</v>
      </c>
      <c r="B107" s="880">
        <f t="shared" ref="B107:M107" si="127">ROUND(B547-B587,0)</f>
        <v>10988</v>
      </c>
      <c r="C107" s="880">
        <f t="shared" si="127"/>
        <v>9223</v>
      </c>
      <c r="D107" s="880">
        <f t="shared" si="127"/>
        <v>8263</v>
      </c>
      <c r="E107" s="880">
        <f t="shared" si="127"/>
        <v>9382</v>
      </c>
      <c r="F107" s="880">
        <f t="shared" si="127"/>
        <v>10760</v>
      </c>
      <c r="G107" s="880">
        <f t="shared" si="127"/>
        <v>10665</v>
      </c>
      <c r="H107" s="880">
        <f t="shared" si="127"/>
        <v>10954</v>
      </c>
      <c r="I107" s="880">
        <f t="shared" si="127"/>
        <v>11299</v>
      </c>
      <c r="J107" s="880">
        <f t="shared" si="127"/>
        <v>10045</v>
      </c>
      <c r="K107" s="880">
        <f t="shared" si="127"/>
        <v>9892</v>
      </c>
      <c r="L107" s="880">
        <f t="shared" si="127"/>
        <v>7391</v>
      </c>
      <c r="M107" s="880">
        <f t="shared" si="127"/>
        <v>8532</v>
      </c>
      <c r="N107" s="25">
        <f t="shared" si="125"/>
        <v>9782.8333333333339</v>
      </c>
      <c r="P107" s="2">
        <f t="shared" si="86"/>
        <v>2034</v>
      </c>
      <c r="Q107" s="25">
        <f t="shared" si="94"/>
        <v>11737</v>
      </c>
      <c r="R107" s="25">
        <f t="shared" si="95"/>
        <v>9933</v>
      </c>
      <c r="S107" s="25">
        <f t="shared" si="96"/>
        <v>8882</v>
      </c>
      <c r="T107" s="25">
        <f t="shared" si="97"/>
        <v>9766</v>
      </c>
      <c r="U107" s="25">
        <f t="shared" si="98"/>
        <v>11179</v>
      </c>
      <c r="V107" s="25">
        <f t="shared" si="99"/>
        <v>11103</v>
      </c>
      <c r="W107" s="25">
        <f t="shared" si="100"/>
        <v>11393</v>
      </c>
      <c r="X107" s="25">
        <f t="shared" si="101"/>
        <v>11748</v>
      </c>
      <c r="Y107" s="25">
        <f t="shared" si="102"/>
        <v>10476</v>
      </c>
      <c r="Z107" s="25">
        <f t="shared" si="103"/>
        <v>10279</v>
      </c>
      <c r="AA107" s="25">
        <f t="shared" si="123"/>
        <v>7937</v>
      </c>
      <c r="AB107" s="25">
        <f t="shared" si="106"/>
        <v>9187</v>
      </c>
      <c r="AC107" s="887">
        <f t="shared" si="92"/>
        <v>10301.666666666666</v>
      </c>
    </row>
    <row r="108" spans="1:29">
      <c r="A108" s="2">
        <f t="shared" si="87"/>
        <v>2035</v>
      </c>
      <c r="B108" s="880">
        <f t="shared" ref="B108:M108" si="128">ROUND(B548-B588,0)</f>
        <v>11050</v>
      </c>
      <c r="C108" s="880">
        <f t="shared" si="128"/>
        <v>9266</v>
      </c>
      <c r="D108" s="880">
        <f t="shared" si="128"/>
        <v>8310</v>
      </c>
      <c r="E108" s="880">
        <f t="shared" si="128"/>
        <v>9455</v>
      </c>
      <c r="F108" s="880">
        <f t="shared" si="128"/>
        <v>10839</v>
      </c>
      <c r="G108" s="880">
        <f t="shared" si="128"/>
        <v>10737</v>
      </c>
      <c r="H108" s="880">
        <f t="shared" si="128"/>
        <v>11028</v>
      </c>
      <c r="I108" s="880">
        <f t="shared" si="128"/>
        <v>11376</v>
      </c>
      <c r="J108" s="880">
        <f t="shared" si="128"/>
        <v>10106</v>
      </c>
      <c r="K108" s="880">
        <f t="shared" si="128"/>
        <v>9962</v>
      </c>
      <c r="L108" s="880">
        <f t="shared" si="128"/>
        <v>7426</v>
      </c>
      <c r="M108" s="880">
        <f t="shared" si="128"/>
        <v>8566</v>
      </c>
      <c r="N108" s="25">
        <f t="shared" si="125"/>
        <v>9843.4166666666661</v>
      </c>
      <c r="P108" s="2">
        <f t="shared" si="86"/>
        <v>2035</v>
      </c>
      <c r="Q108" s="25">
        <f t="shared" si="94"/>
        <v>11820</v>
      </c>
      <c r="R108" s="25">
        <f t="shared" si="95"/>
        <v>9996</v>
      </c>
      <c r="S108" s="25">
        <f t="shared" si="96"/>
        <v>8947</v>
      </c>
      <c r="T108" s="25">
        <f t="shared" si="97"/>
        <v>9850</v>
      </c>
      <c r="U108" s="25">
        <f t="shared" si="98"/>
        <v>11270</v>
      </c>
      <c r="V108" s="25">
        <f t="shared" si="99"/>
        <v>11188</v>
      </c>
      <c r="W108" s="25">
        <f t="shared" si="100"/>
        <v>11480</v>
      </c>
      <c r="X108" s="25">
        <f t="shared" si="101"/>
        <v>11839</v>
      </c>
      <c r="Y108" s="25">
        <f t="shared" si="102"/>
        <v>10550</v>
      </c>
      <c r="Z108" s="25">
        <f t="shared" si="103"/>
        <v>10361</v>
      </c>
      <c r="AA108" s="25">
        <f t="shared" si="123"/>
        <v>7988</v>
      </c>
      <c r="AB108" s="25">
        <f t="shared" si="106"/>
        <v>9240</v>
      </c>
      <c r="AC108" s="887">
        <f t="shared" si="92"/>
        <v>10377.416666666666</v>
      </c>
    </row>
    <row r="109" spans="1:29">
      <c r="A109" s="2">
        <f t="shared" si="87"/>
        <v>2036</v>
      </c>
      <c r="B109" s="880">
        <f t="shared" ref="B109:M109" si="129">ROUND(B549-B589,0)</f>
        <v>11111</v>
      </c>
      <c r="C109" s="880">
        <f t="shared" si="129"/>
        <v>9309</v>
      </c>
      <c r="D109" s="880">
        <f t="shared" si="129"/>
        <v>8356</v>
      </c>
      <c r="E109" s="880">
        <f t="shared" si="129"/>
        <v>9526</v>
      </c>
      <c r="F109" s="880">
        <f t="shared" si="129"/>
        <v>10916</v>
      </c>
      <c r="G109" s="880">
        <f t="shared" si="129"/>
        <v>10806</v>
      </c>
      <c r="H109" s="880">
        <f t="shared" si="129"/>
        <v>11099</v>
      </c>
      <c r="I109" s="880">
        <f t="shared" si="129"/>
        <v>11452</v>
      </c>
      <c r="J109" s="880">
        <f t="shared" si="129"/>
        <v>10166</v>
      </c>
      <c r="K109" s="880">
        <f t="shared" si="129"/>
        <v>10033</v>
      </c>
      <c r="L109" s="880">
        <f t="shared" si="129"/>
        <v>7463</v>
      </c>
      <c r="M109" s="880">
        <f t="shared" si="129"/>
        <v>8601</v>
      </c>
      <c r="N109" s="25">
        <f t="shared" si="125"/>
        <v>9903.1666666666661</v>
      </c>
      <c r="P109" s="2">
        <f t="shared" si="86"/>
        <v>2036</v>
      </c>
      <c r="Q109" s="25">
        <f t="shared" si="94"/>
        <v>11902</v>
      </c>
      <c r="R109" s="25">
        <f t="shared" si="95"/>
        <v>10059</v>
      </c>
      <c r="S109" s="25">
        <f t="shared" si="96"/>
        <v>9010</v>
      </c>
      <c r="T109" s="25">
        <f t="shared" si="97"/>
        <v>9932</v>
      </c>
      <c r="U109" s="25">
        <f t="shared" si="98"/>
        <v>11360</v>
      </c>
      <c r="V109" s="25">
        <f t="shared" si="99"/>
        <v>11270</v>
      </c>
      <c r="W109" s="25">
        <f t="shared" si="100"/>
        <v>11564</v>
      </c>
      <c r="X109" s="25">
        <f t="shared" si="101"/>
        <v>11928</v>
      </c>
      <c r="Y109" s="25">
        <f t="shared" si="102"/>
        <v>10623</v>
      </c>
      <c r="Z109" s="25">
        <f t="shared" si="103"/>
        <v>10443</v>
      </c>
      <c r="AA109" s="25">
        <f t="shared" si="123"/>
        <v>8040</v>
      </c>
      <c r="AB109" s="25">
        <f t="shared" si="106"/>
        <v>9294</v>
      </c>
      <c r="AC109" s="887">
        <f t="shared" si="92"/>
        <v>10452.083333333334</v>
      </c>
    </row>
    <row r="110" spans="1:29">
      <c r="A110" s="2">
        <f t="shared" si="87"/>
        <v>2037</v>
      </c>
      <c r="B110" s="880">
        <f t="shared" ref="B110:M110" si="130">ROUND(B550-B590,0)</f>
        <v>11173</v>
      </c>
      <c r="C110" s="880">
        <f t="shared" si="130"/>
        <v>9353</v>
      </c>
      <c r="D110" s="880">
        <f t="shared" si="130"/>
        <v>8401</v>
      </c>
      <c r="E110" s="880">
        <f t="shared" si="130"/>
        <v>9602</v>
      </c>
      <c r="F110" s="880">
        <f t="shared" si="130"/>
        <v>10999</v>
      </c>
      <c r="G110" s="880">
        <f t="shared" si="130"/>
        <v>10882</v>
      </c>
      <c r="H110" s="880">
        <f t="shared" si="130"/>
        <v>11178</v>
      </c>
      <c r="I110" s="880">
        <f t="shared" si="130"/>
        <v>11535</v>
      </c>
      <c r="J110" s="880">
        <f t="shared" si="130"/>
        <v>10232</v>
      </c>
      <c r="K110" s="880">
        <f t="shared" si="130"/>
        <v>10109</v>
      </c>
      <c r="L110" s="880">
        <f t="shared" si="130"/>
        <v>7503</v>
      </c>
      <c r="M110" s="880">
        <f t="shared" si="130"/>
        <v>8640</v>
      </c>
      <c r="N110" s="25">
        <f t="shared" si="125"/>
        <v>9967.25</v>
      </c>
      <c r="P110" s="2">
        <f t="shared" si="86"/>
        <v>2037</v>
      </c>
      <c r="Q110" s="25">
        <f t="shared" si="94"/>
        <v>11985</v>
      </c>
      <c r="R110" s="25">
        <f t="shared" si="95"/>
        <v>10123</v>
      </c>
      <c r="S110" s="25">
        <f t="shared" si="96"/>
        <v>9072</v>
      </c>
      <c r="T110" s="25">
        <f t="shared" si="97"/>
        <v>10019</v>
      </c>
      <c r="U110" s="25">
        <f t="shared" si="98"/>
        <v>11454</v>
      </c>
      <c r="V110" s="25">
        <f t="shared" si="99"/>
        <v>11358</v>
      </c>
      <c r="W110" s="25">
        <f t="shared" si="100"/>
        <v>11656</v>
      </c>
      <c r="X110" s="25">
        <f t="shared" si="101"/>
        <v>12024</v>
      </c>
      <c r="Y110" s="25">
        <f t="shared" si="102"/>
        <v>10702</v>
      </c>
      <c r="Z110" s="25">
        <f t="shared" si="103"/>
        <v>10530</v>
      </c>
      <c r="AA110" s="25">
        <f t="shared" si="123"/>
        <v>8095</v>
      </c>
      <c r="AB110" s="25">
        <f t="shared" si="106"/>
        <v>9351</v>
      </c>
      <c r="AC110" s="887">
        <f t="shared" si="92"/>
        <v>10530.75</v>
      </c>
    </row>
    <row r="111" spans="1:29">
      <c r="A111" s="2">
        <f t="shared" si="87"/>
        <v>2038</v>
      </c>
      <c r="B111" s="880">
        <f t="shared" ref="B111:M111" si="131">ROUND(B551-B591,0)</f>
        <v>11242</v>
      </c>
      <c r="C111" s="880">
        <f t="shared" si="131"/>
        <v>9403</v>
      </c>
      <c r="D111" s="880">
        <f t="shared" si="131"/>
        <v>8450</v>
      </c>
      <c r="E111" s="880">
        <f t="shared" si="131"/>
        <v>9682</v>
      </c>
      <c r="F111" s="880">
        <f t="shared" si="131"/>
        <v>11086</v>
      </c>
      <c r="G111" s="880">
        <f t="shared" si="131"/>
        <v>10962</v>
      </c>
      <c r="H111" s="880">
        <f t="shared" si="131"/>
        <v>11260</v>
      </c>
      <c r="I111" s="880">
        <f t="shared" si="131"/>
        <v>11621</v>
      </c>
      <c r="J111" s="880">
        <f t="shared" si="131"/>
        <v>10300</v>
      </c>
      <c r="K111" s="880">
        <f t="shared" si="131"/>
        <v>10187</v>
      </c>
      <c r="L111" s="880">
        <f t="shared" si="131"/>
        <v>7543</v>
      </c>
      <c r="M111" s="880">
        <f t="shared" si="131"/>
        <v>8679</v>
      </c>
      <c r="N111" s="25">
        <f t="shared" si="125"/>
        <v>10034.583333333334</v>
      </c>
      <c r="P111" s="2">
        <f t="shared" si="86"/>
        <v>2038</v>
      </c>
      <c r="Q111" s="25">
        <f t="shared" si="94"/>
        <v>12074</v>
      </c>
      <c r="R111" s="25">
        <f t="shared" si="95"/>
        <v>10191</v>
      </c>
      <c r="S111" s="25">
        <f t="shared" si="96"/>
        <v>9137</v>
      </c>
      <c r="T111" s="25">
        <f t="shared" si="97"/>
        <v>10110</v>
      </c>
      <c r="U111" s="25">
        <f t="shared" si="98"/>
        <v>11553</v>
      </c>
      <c r="V111" s="25">
        <f t="shared" si="99"/>
        <v>11450</v>
      </c>
      <c r="W111" s="25">
        <f t="shared" si="100"/>
        <v>11750</v>
      </c>
      <c r="X111" s="25">
        <f t="shared" si="101"/>
        <v>12123</v>
      </c>
      <c r="Y111" s="25">
        <f t="shared" si="102"/>
        <v>10782</v>
      </c>
      <c r="Z111" s="25">
        <f t="shared" si="103"/>
        <v>10619</v>
      </c>
      <c r="AA111" s="25">
        <f t="shared" si="123"/>
        <v>8150</v>
      </c>
      <c r="AB111" s="25">
        <f t="shared" si="106"/>
        <v>9408</v>
      </c>
      <c r="AC111" s="887">
        <f t="shared" si="92"/>
        <v>10612.25</v>
      </c>
    </row>
    <row r="112" spans="1:29">
      <c r="A112" s="2">
        <f t="shared" si="87"/>
        <v>2039</v>
      </c>
      <c r="B112" s="880">
        <f t="shared" ref="B112:M112" si="132">ROUND(B552-B592,0)</f>
        <v>11310</v>
      </c>
      <c r="C112" s="880">
        <f t="shared" si="132"/>
        <v>9450</v>
      </c>
      <c r="D112" s="880">
        <f t="shared" si="132"/>
        <v>8502</v>
      </c>
      <c r="E112" s="880">
        <f t="shared" si="132"/>
        <v>9760</v>
      </c>
      <c r="F112" s="880">
        <f t="shared" si="132"/>
        <v>11170</v>
      </c>
      <c r="G112" s="880">
        <f t="shared" si="132"/>
        <v>11037</v>
      </c>
      <c r="H112" s="880">
        <f t="shared" si="132"/>
        <v>11338</v>
      </c>
      <c r="I112" s="880">
        <f t="shared" si="132"/>
        <v>11704</v>
      </c>
      <c r="J112" s="880">
        <f t="shared" si="132"/>
        <v>10366</v>
      </c>
      <c r="K112" s="880">
        <f t="shared" si="132"/>
        <v>10262</v>
      </c>
      <c r="L112" s="880">
        <f t="shared" si="132"/>
        <v>7583</v>
      </c>
      <c r="M112" s="880">
        <f t="shared" si="132"/>
        <v>8718</v>
      </c>
      <c r="N112" s="25">
        <f t="shared" si="125"/>
        <v>10100</v>
      </c>
      <c r="P112" s="2">
        <f t="shared" si="86"/>
        <v>2039</v>
      </c>
      <c r="Q112" s="25">
        <f t="shared" si="94"/>
        <v>12161</v>
      </c>
      <c r="R112" s="25">
        <f t="shared" si="95"/>
        <v>10257</v>
      </c>
      <c r="S112" s="25">
        <f t="shared" si="96"/>
        <v>9205</v>
      </c>
      <c r="T112" s="25">
        <f t="shared" si="97"/>
        <v>10198</v>
      </c>
      <c r="U112" s="25">
        <f t="shared" si="98"/>
        <v>11648</v>
      </c>
      <c r="V112" s="25">
        <f t="shared" si="99"/>
        <v>11537</v>
      </c>
      <c r="W112" s="25">
        <f t="shared" si="100"/>
        <v>11840</v>
      </c>
      <c r="X112" s="25">
        <f t="shared" si="101"/>
        <v>12218</v>
      </c>
      <c r="Y112" s="25">
        <f t="shared" si="102"/>
        <v>10860</v>
      </c>
      <c r="Z112" s="25">
        <f t="shared" si="103"/>
        <v>10704</v>
      </c>
      <c r="AA112" s="25">
        <f t="shared" si="123"/>
        <v>8204</v>
      </c>
      <c r="AB112" s="25">
        <f t="shared" si="106"/>
        <v>9464</v>
      </c>
      <c r="AC112" s="887">
        <f t="shared" si="92"/>
        <v>10691.333333333334</v>
      </c>
    </row>
    <row r="113" spans="1:29">
      <c r="A113" s="2">
        <f t="shared" si="87"/>
        <v>2040</v>
      </c>
      <c r="B113" s="880">
        <f t="shared" ref="B113:M113" si="133">ROUND(B553-B593,0)</f>
        <v>11378</v>
      </c>
      <c r="C113" s="880">
        <f t="shared" si="133"/>
        <v>9500</v>
      </c>
      <c r="D113" s="880">
        <f t="shared" si="133"/>
        <v>8552</v>
      </c>
      <c r="E113" s="880">
        <f t="shared" si="133"/>
        <v>9839</v>
      </c>
      <c r="F113" s="880">
        <f t="shared" si="133"/>
        <v>11256</v>
      </c>
      <c r="G113" s="880">
        <f t="shared" si="133"/>
        <v>11116</v>
      </c>
      <c r="H113" s="880">
        <f t="shared" si="133"/>
        <v>11419</v>
      </c>
      <c r="I113" s="880">
        <f t="shared" si="133"/>
        <v>11786</v>
      </c>
      <c r="J113" s="880">
        <f t="shared" si="133"/>
        <v>10432</v>
      </c>
      <c r="K113" s="880">
        <f t="shared" si="133"/>
        <v>10337</v>
      </c>
      <c r="L113" s="880">
        <f t="shared" si="133"/>
        <v>7623</v>
      </c>
      <c r="M113" s="880">
        <f t="shared" si="133"/>
        <v>8757</v>
      </c>
      <c r="N113" s="25">
        <f t="shared" si="125"/>
        <v>10166.25</v>
      </c>
      <c r="P113" s="2">
        <f t="shared" si="86"/>
        <v>2040</v>
      </c>
      <c r="Q113" s="25">
        <f t="shared" si="94"/>
        <v>12248</v>
      </c>
      <c r="R113" s="25">
        <f t="shared" si="95"/>
        <v>10324</v>
      </c>
      <c r="S113" s="25">
        <f t="shared" si="96"/>
        <v>9271</v>
      </c>
      <c r="T113" s="25">
        <f t="shared" si="97"/>
        <v>10287</v>
      </c>
      <c r="U113" s="25">
        <f t="shared" si="98"/>
        <v>11746</v>
      </c>
      <c r="V113" s="25">
        <f t="shared" si="99"/>
        <v>11628</v>
      </c>
      <c r="W113" s="25">
        <f t="shared" si="100"/>
        <v>11933</v>
      </c>
      <c r="X113" s="25">
        <f t="shared" si="101"/>
        <v>12312</v>
      </c>
      <c r="Y113" s="25">
        <f t="shared" si="102"/>
        <v>10937</v>
      </c>
      <c r="Z113" s="25">
        <f t="shared" si="103"/>
        <v>10790</v>
      </c>
      <c r="AA113" s="25">
        <f t="shared" si="123"/>
        <v>8257</v>
      </c>
      <c r="AB113" s="25">
        <f t="shared" si="106"/>
        <v>9520</v>
      </c>
      <c r="AC113" s="887">
        <f t="shared" si="92"/>
        <v>10771.083333333334</v>
      </c>
    </row>
    <row r="114" spans="1:29">
      <c r="A114" s="2">
        <f t="shared" si="87"/>
        <v>2041</v>
      </c>
      <c r="B114" s="880">
        <f t="shared" ref="B114:M114" si="134">ROUND(B554-B594,0)</f>
        <v>0</v>
      </c>
      <c r="C114" s="880">
        <f t="shared" si="134"/>
        <v>0</v>
      </c>
      <c r="D114" s="880">
        <f t="shared" si="134"/>
        <v>0</v>
      </c>
      <c r="E114" s="880">
        <f t="shared" si="134"/>
        <v>0</v>
      </c>
      <c r="F114" s="880">
        <f t="shared" si="134"/>
        <v>0</v>
      </c>
      <c r="G114" s="880">
        <f t="shared" si="134"/>
        <v>0</v>
      </c>
      <c r="H114" s="880">
        <f t="shared" si="134"/>
        <v>0</v>
      </c>
      <c r="I114" s="880">
        <f t="shared" si="134"/>
        <v>0</v>
      </c>
      <c r="J114" s="880">
        <f t="shared" si="134"/>
        <v>0</v>
      </c>
      <c r="K114" s="880">
        <f t="shared" si="134"/>
        <v>0</v>
      </c>
      <c r="L114" s="880">
        <f t="shared" si="134"/>
        <v>0</v>
      </c>
      <c r="M114" s="880">
        <f t="shared" si="134"/>
        <v>0</v>
      </c>
      <c r="N114" s="25">
        <f t="shared" si="125"/>
        <v>0</v>
      </c>
      <c r="P114" s="2">
        <f t="shared" si="86"/>
        <v>2041</v>
      </c>
    </row>
    <row r="115" spans="1:29">
      <c r="A115" s="2">
        <f t="shared" si="87"/>
        <v>2042</v>
      </c>
      <c r="B115" s="880">
        <f t="shared" ref="B115:M115" si="135">ROUND(B555-B595,0)</f>
        <v>0</v>
      </c>
      <c r="C115" s="880">
        <f t="shared" si="135"/>
        <v>0</v>
      </c>
      <c r="D115" s="880">
        <f t="shared" si="135"/>
        <v>0</v>
      </c>
      <c r="E115" s="880">
        <f t="shared" si="135"/>
        <v>0</v>
      </c>
      <c r="F115" s="880">
        <f t="shared" si="135"/>
        <v>0</v>
      </c>
      <c r="G115" s="880">
        <f t="shared" si="135"/>
        <v>0</v>
      </c>
      <c r="H115" s="880">
        <f t="shared" si="135"/>
        <v>0</v>
      </c>
      <c r="I115" s="880">
        <f t="shared" si="135"/>
        <v>0</v>
      </c>
      <c r="J115" s="880">
        <f t="shared" si="135"/>
        <v>0</v>
      </c>
      <c r="K115" s="880">
        <f t="shared" si="135"/>
        <v>0</v>
      </c>
      <c r="L115" s="880">
        <f t="shared" si="135"/>
        <v>0</v>
      </c>
      <c r="M115" s="880">
        <f t="shared" si="135"/>
        <v>0</v>
      </c>
      <c r="N115" s="25">
        <f t="shared" si="125"/>
        <v>0</v>
      </c>
      <c r="P115" s="2">
        <f t="shared" si="86"/>
        <v>2042</v>
      </c>
    </row>
    <row r="116" spans="1:29">
      <c r="A116" s="2">
        <f t="shared" si="87"/>
        <v>2043</v>
      </c>
      <c r="B116" s="880">
        <f t="shared" ref="B116:M116" si="136">ROUND(B556-B596,0)</f>
        <v>0</v>
      </c>
      <c r="C116" s="880">
        <f t="shared" si="136"/>
        <v>0</v>
      </c>
      <c r="D116" s="880">
        <f t="shared" si="136"/>
        <v>0</v>
      </c>
      <c r="E116" s="880">
        <f t="shared" si="136"/>
        <v>0</v>
      </c>
      <c r="F116" s="880">
        <f t="shared" si="136"/>
        <v>0</v>
      </c>
      <c r="G116" s="880">
        <f t="shared" si="136"/>
        <v>0</v>
      </c>
      <c r="H116" s="880">
        <f t="shared" si="136"/>
        <v>0</v>
      </c>
      <c r="I116" s="880">
        <f t="shared" si="136"/>
        <v>0</v>
      </c>
      <c r="J116" s="880">
        <f t="shared" si="136"/>
        <v>0</v>
      </c>
      <c r="K116" s="880">
        <f t="shared" si="136"/>
        <v>0</v>
      </c>
      <c r="L116" s="880">
        <f t="shared" si="136"/>
        <v>0</v>
      </c>
      <c r="M116" s="880">
        <f t="shared" si="136"/>
        <v>0</v>
      </c>
      <c r="N116" s="25">
        <f t="shared" si="125"/>
        <v>0</v>
      </c>
      <c r="P116" s="2">
        <f t="shared" si="86"/>
        <v>2043</v>
      </c>
    </row>
    <row r="117" spans="1:29">
      <c r="A117" s="2">
        <f t="shared" si="87"/>
        <v>2044</v>
      </c>
      <c r="B117" s="880">
        <f t="shared" ref="B117:M117" si="137">ROUND(B557-B597,0)</f>
        <v>0</v>
      </c>
      <c r="C117" s="880">
        <f t="shared" si="137"/>
        <v>0</v>
      </c>
      <c r="D117" s="880">
        <f t="shared" si="137"/>
        <v>0</v>
      </c>
      <c r="E117" s="880">
        <f t="shared" si="137"/>
        <v>0</v>
      </c>
      <c r="F117" s="880">
        <f t="shared" si="137"/>
        <v>0</v>
      </c>
      <c r="G117" s="880">
        <f t="shared" si="137"/>
        <v>0</v>
      </c>
      <c r="H117" s="880">
        <f t="shared" si="137"/>
        <v>0</v>
      </c>
      <c r="I117" s="880">
        <f t="shared" si="137"/>
        <v>0</v>
      </c>
      <c r="J117" s="880">
        <f t="shared" si="137"/>
        <v>0</v>
      </c>
      <c r="K117" s="880">
        <f t="shared" si="137"/>
        <v>0</v>
      </c>
      <c r="L117" s="880">
        <f t="shared" si="137"/>
        <v>0</v>
      </c>
      <c r="M117" s="880">
        <f t="shared" si="137"/>
        <v>0</v>
      </c>
      <c r="N117" s="25">
        <f t="shared" si="125"/>
        <v>0</v>
      </c>
      <c r="P117" s="2">
        <f t="shared" si="86"/>
        <v>2044</v>
      </c>
    </row>
    <row r="118" spans="1:29">
      <c r="A118" s="2">
        <f t="shared" si="87"/>
        <v>2045</v>
      </c>
      <c r="B118" s="880">
        <f t="shared" ref="B118:M118" si="138">ROUND(B558-B598,0)</f>
        <v>0</v>
      </c>
      <c r="C118" s="880">
        <f t="shared" si="138"/>
        <v>0</v>
      </c>
      <c r="D118" s="880">
        <f t="shared" si="138"/>
        <v>0</v>
      </c>
      <c r="E118" s="880">
        <f t="shared" si="138"/>
        <v>0</v>
      </c>
      <c r="F118" s="880">
        <f t="shared" si="138"/>
        <v>0</v>
      </c>
      <c r="G118" s="880">
        <f t="shared" si="138"/>
        <v>0</v>
      </c>
      <c r="H118" s="880">
        <f t="shared" si="138"/>
        <v>0</v>
      </c>
      <c r="I118" s="880">
        <f t="shared" si="138"/>
        <v>0</v>
      </c>
      <c r="J118" s="880">
        <f t="shared" si="138"/>
        <v>0</v>
      </c>
      <c r="K118" s="880">
        <f t="shared" si="138"/>
        <v>0</v>
      </c>
      <c r="L118" s="880">
        <f t="shared" si="138"/>
        <v>0</v>
      </c>
      <c r="M118" s="880">
        <f t="shared" si="138"/>
        <v>0</v>
      </c>
      <c r="N118" s="25">
        <f>AVERAGE(B118:M118)</f>
        <v>0</v>
      </c>
      <c r="P118" s="2">
        <f t="shared" si="86"/>
        <v>2045</v>
      </c>
    </row>
    <row r="121" spans="1:29">
      <c r="A121" s="31" t="s">
        <v>517</v>
      </c>
      <c r="D121" s="31" t="s">
        <v>521</v>
      </c>
    </row>
    <row r="122" spans="1:29">
      <c r="A122" s="27" t="s">
        <v>9</v>
      </c>
      <c r="B122" s="27" t="s">
        <v>28</v>
      </c>
      <c r="C122" s="27" t="s">
        <v>29</v>
      </c>
      <c r="D122" s="27" t="s">
        <v>30</v>
      </c>
      <c r="E122" s="27" t="s">
        <v>31</v>
      </c>
      <c r="F122" s="27" t="s">
        <v>32</v>
      </c>
      <c r="G122" s="27" t="s">
        <v>33</v>
      </c>
      <c r="H122" s="27" t="s">
        <v>34</v>
      </c>
      <c r="I122" s="27" t="s">
        <v>35</v>
      </c>
      <c r="J122" s="27" t="s">
        <v>36</v>
      </c>
      <c r="K122" s="27" t="s">
        <v>37</v>
      </c>
      <c r="L122" s="27" t="s">
        <v>38</v>
      </c>
      <c r="M122" s="27" t="s">
        <v>39</v>
      </c>
      <c r="N122" s="27" t="s">
        <v>53</v>
      </c>
    </row>
    <row r="123" spans="1:29">
      <c r="A123" s="2">
        <f>A83</f>
        <v>2010</v>
      </c>
      <c r="B123" s="34">
        <f>B83-B483-B603</f>
        <v>9467</v>
      </c>
      <c r="C123" s="34">
        <f t="shared" ref="C123:M123" si="139">C83-C483-C603</f>
        <v>6728</v>
      </c>
      <c r="D123" s="34">
        <f t="shared" si="139"/>
        <v>6267</v>
      </c>
      <c r="E123" s="34">
        <f t="shared" si="139"/>
        <v>5075</v>
      </c>
      <c r="F123" s="34">
        <f t="shared" si="139"/>
        <v>6781</v>
      </c>
      <c r="G123" s="34">
        <f t="shared" si="139"/>
        <v>7602</v>
      </c>
      <c r="H123" s="34">
        <f t="shared" si="139"/>
        <v>7579</v>
      </c>
      <c r="I123" s="34">
        <f t="shared" si="139"/>
        <v>7566</v>
      </c>
      <c r="J123" s="34">
        <f t="shared" si="139"/>
        <v>7164</v>
      </c>
      <c r="K123" s="34">
        <f t="shared" si="139"/>
        <v>6396</v>
      </c>
      <c r="L123" s="34">
        <f t="shared" si="139"/>
        <v>4961</v>
      </c>
      <c r="M123" s="34">
        <f t="shared" si="139"/>
        <v>7934</v>
      </c>
      <c r="N123" s="25">
        <f t="shared" ref="N123:N126" si="140">AVERAGE(B123:M123)</f>
        <v>6960</v>
      </c>
    </row>
    <row r="124" spans="1:29">
      <c r="A124" s="2">
        <f t="shared" ref="A124:A158" si="141">A84</f>
        <v>2011</v>
      </c>
      <c r="B124" s="34">
        <f t="shared" ref="B124:M124" si="142">B84-B484-B604</f>
        <v>7736</v>
      </c>
      <c r="C124" s="34">
        <f t="shared" si="142"/>
        <v>5603</v>
      </c>
      <c r="D124" s="34">
        <f t="shared" si="142"/>
        <v>4495</v>
      </c>
      <c r="E124" s="34">
        <f t="shared" si="142"/>
        <v>6709</v>
      </c>
      <c r="F124" s="34">
        <f t="shared" si="142"/>
        <v>6825</v>
      </c>
      <c r="G124" s="34">
        <f t="shared" si="142"/>
        <v>7602</v>
      </c>
      <c r="H124" s="34">
        <f t="shared" si="142"/>
        <v>7289</v>
      </c>
      <c r="I124" s="34">
        <f t="shared" si="142"/>
        <v>7594</v>
      </c>
      <c r="J124" s="34">
        <f t="shared" si="142"/>
        <v>6690</v>
      </c>
      <c r="K124" s="34">
        <f t="shared" si="142"/>
        <v>5817</v>
      </c>
      <c r="L124" s="34">
        <f t="shared" si="142"/>
        <v>4685</v>
      </c>
      <c r="M124" s="34">
        <f t="shared" si="142"/>
        <v>4077</v>
      </c>
      <c r="N124" s="25">
        <f t="shared" si="140"/>
        <v>6260.166666666667</v>
      </c>
    </row>
    <row r="125" spans="1:29">
      <c r="A125" s="2">
        <f t="shared" si="141"/>
        <v>2012</v>
      </c>
      <c r="B125" s="34">
        <f t="shared" ref="B125:M125" si="143">B85-B485-B605</f>
        <v>6690</v>
      </c>
      <c r="C125" s="34">
        <f t="shared" si="143"/>
        <v>6558</v>
      </c>
      <c r="D125" s="34">
        <f t="shared" si="143"/>
        <v>4909</v>
      </c>
      <c r="E125" s="34">
        <f t="shared" si="143"/>
        <v>5933</v>
      </c>
      <c r="F125" s="34">
        <f t="shared" si="143"/>
        <v>6779</v>
      </c>
      <c r="G125" s="34">
        <f t="shared" si="143"/>
        <v>6994</v>
      </c>
      <c r="H125" s="34">
        <f t="shared" si="143"/>
        <v>7160</v>
      </c>
      <c r="I125" s="34">
        <f t="shared" si="143"/>
        <v>7209</v>
      </c>
      <c r="J125" s="34">
        <f t="shared" si="143"/>
        <v>6850</v>
      </c>
      <c r="K125" s="34">
        <f t="shared" si="143"/>
        <v>6534</v>
      </c>
      <c r="L125" s="34">
        <f t="shared" si="143"/>
        <v>4168</v>
      </c>
      <c r="M125" s="34">
        <f t="shared" si="143"/>
        <v>5065</v>
      </c>
      <c r="N125" s="25">
        <f t="shared" si="140"/>
        <v>6237.416666666667</v>
      </c>
    </row>
    <row r="126" spans="1:29">
      <c r="A126" s="2">
        <f t="shared" si="141"/>
        <v>2013</v>
      </c>
      <c r="B126" s="34">
        <f t="shared" ref="B126:M126" si="144">B86-B486-B606</f>
        <v>4430</v>
      </c>
      <c r="C126" s="34">
        <f t="shared" si="144"/>
        <v>6120</v>
      </c>
      <c r="D126" s="34">
        <f t="shared" si="144"/>
        <v>6064</v>
      </c>
      <c r="E126" s="34">
        <f t="shared" si="144"/>
        <v>5841</v>
      </c>
      <c r="F126" s="34">
        <f t="shared" si="144"/>
        <v>6506</v>
      </c>
      <c r="G126" s="34">
        <f t="shared" si="144"/>
        <v>7000</v>
      </c>
      <c r="H126" s="880">
        <f t="shared" si="144"/>
        <v>7636</v>
      </c>
      <c r="I126" s="880">
        <f t="shared" si="144"/>
        <v>7778</v>
      </c>
      <c r="J126" s="880">
        <f t="shared" si="144"/>
        <v>7134</v>
      </c>
      <c r="K126" s="880">
        <f t="shared" si="144"/>
        <v>6640</v>
      </c>
      <c r="L126" s="880">
        <f t="shared" si="144"/>
        <v>5046</v>
      </c>
      <c r="M126" s="880">
        <f t="shared" si="144"/>
        <v>6521</v>
      </c>
      <c r="N126" s="25">
        <f t="shared" si="140"/>
        <v>6393</v>
      </c>
    </row>
    <row r="127" spans="1:29">
      <c r="A127" s="2">
        <f t="shared" si="141"/>
        <v>2014</v>
      </c>
      <c r="B127" s="880">
        <f t="shared" ref="B127:M127" si="145">B87-B487-B607</f>
        <v>7955</v>
      </c>
      <c r="C127" s="880">
        <f t="shared" si="145"/>
        <v>6564</v>
      </c>
      <c r="D127" s="880">
        <f t="shared" si="145"/>
        <v>5712</v>
      </c>
      <c r="E127" s="880">
        <f t="shared" si="145"/>
        <v>6158</v>
      </c>
      <c r="F127" s="880">
        <f t="shared" si="145"/>
        <v>7005</v>
      </c>
      <c r="G127" s="880">
        <f t="shared" si="145"/>
        <v>7505</v>
      </c>
      <c r="H127" s="880">
        <f t="shared" si="145"/>
        <v>7810</v>
      </c>
      <c r="I127" s="880">
        <f t="shared" si="145"/>
        <v>7988</v>
      </c>
      <c r="J127" s="880">
        <f t="shared" si="145"/>
        <v>7287</v>
      </c>
      <c r="K127" s="880">
        <f t="shared" si="145"/>
        <v>6869</v>
      </c>
      <c r="L127" s="880">
        <f t="shared" si="145"/>
        <v>5208</v>
      </c>
      <c r="M127" s="880">
        <f t="shared" si="145"/>
        <v>6593</v>
      </c>
      <c r="N127" s="25">
        <f t="shared" ref="N127:N153" si="146">AVERAGE(B127:M127)</f>
        <v>6887.833333333333</v>
      </c>
    </row>
    <row r="128" spans="1:29">
      <c r="A128" s="2">
        <f t="shared" si="141"/>
        <v>2015</v>
      </c>
      <c r="B128" s="880">
        <f t="shared" ref="B128:M128" si="147">B88-B488-B608</f>
        <v>7737</v>
      </c>
      <c r="C128" s="880">
        <f t="shared" si="147"/>
        <v>6737</v>
      </c>
      <c r="D128" s="880">
        <f t="shared" si="147"/>
        <v>5904</v>
      </c>
      <c r="E128" s="880">
        <f t="shared" si="147"/>
        <v>6393</v>
      </c>
      <c r="F128" s="880">
        <f t="shared" si="147"/>
        <v>7219</v>
      </c>
      <c r="G128" s="880">
        <f t="shared" si="147"/>
        <v>7717</v>
      </c>
      <c r="H128" s="880">
        <f t="shared" si="147"/>
        <v>8032</v>
      </c>
      <c r="I128" s="880">
        <f t="shared" si="147"/>
        <v>8216</v>
      </c>
      <c r="J128" s="880">
        <f t="shared" si="147"/>
        <v>7482</v>
      </c>
      <c r="K128" s="880">
        <f t="shared" si="147"/>
        <v>7140</v>
      </c>
      <c r="L128" s="880">
        <f t="shared" si="147"/>
        <v>5398</v>
      </c>
      <c r="M128" s="880">
        <f t="shared" si="147"/>
        <v>6693</v>
      </c>
      <c r="N128" s="25">
        <f t="shared" si="146"/>
        <v>7055.666666666667</v>
      </c>
    </row>
    <row r="129" spans="1:14">
      <c r="A129" s="2">
        <f t="shared" si="141"/>
        <v>2016</v>
      </c>
      <c r="B129" s="880">
        <f t="shared" ref="B129:M129" si="148">B89-B489-B609</f>
        <v>7972</v>
      </c>
      <c r="C129" s="880">
        <f t="shared" si="148"/>
        <v>6934</v>
      </c>
      <c r="D129" s="880">
        <f t="shared" si="148"/>
        <v>6148</v>
      </c>
      <c r="E129" s="880">
        <f t="shared" si="148"/>
        <v>6642</v>
      </c>
      <c r="F129" s="880">
        <f t="shared" si="148"/>
        <v>7529</v>
      </c>
      <c r="G129" s="880">
        <f t="shared" si="148"/>
        <v>7929</v>
      </c>
      <c r="H129" s="880">
        <f t="shared" si="148"/>
        <v>8251</v>
      </c>
      <c r="I129" s="880">
        <f t="shared" si="148"/>
        <v>8471</v>
      </c>
      <c r="J129" s="880">
        <f t="shared" si="148"/>
        <v>7676</v>
      </c>
      <c r="K129" s="880">
        <f t="shared" si="148"/>
        <v>7409</v>
      </c>
      <c r="L129" s="880">
        <f t="shared" si="148"/>
        <v>5590</v>
      </c>
      <c r="M129" s="880">
        <f t="shared" si="148"/>
        <v>6792</v>
      </c>
      <c r="N129" s="25">
        <f t="shared" si="146"/>
        <v>7278.583333333333</v>
      </c>
    </row>
    <row r="130" spans="1:14">
      <c r="A130" s="2">
        <f t="shared" si="141"/>
        <v>2017</v>
      </c>
      <c r="B130" s="880">
        <f t="shared" ref="B130:M130" si="149">B90-B490-B610</f>
        <v>8190</v>
      </c>
      <c r="C130" s="880">
        <f t="shared" si="149"/>
        <v>7117</v>
      </c>
      <c r="D130" s="880">
        <f t="shared" si="149"/>
        <v>6206</v>
      </c>
      <c r="E130" s="880">
        <f t="shared" si="149"/>
        <v>6875</v>
      </c>
      <c r="F130" s="880">
        <f t="shared" si="149"/>
        <v>7820</v>
      </c>
      <c r="G130" s="880">
        <f t="shared" si="149"/>
        <v>8116</v>
      </c>
      <c r="H130" s="880">
        <f t="shared" si="149"/>
        <v>8446</v>
      </c>
      <c r="I130" s="880">
        <f t="shared" si="149"/>
        <v>8700</v>
      </c>
      <c r="J130" s="880">
        <f t="shared" si="149"/>
        <v>7848</v>
      </c>
      <c r="K130" s="880">
        <f t="shared" si="149"/>
        <v>7665</v>
      </c>
      <c r="L130" s="880">
        <f t="shared" si="149"/>
        <v>5781</v>
      </c>
      <c r="M130" s="880">
        <f t="shared" si="149"/>
        <v>6893</v>
      </c>
      <c r="N130" s="25">
        <f t="shared" si="146"/>
        <v>7471.416666666667</v>
      </c>
    </row>
    <row r="131" spans="1:14">
      <c r="A131" s="2">
        <f t="shared" si="141"/>
        <v>2018</v>
      </c>
      <c r="B131" s="880">
        <f t="shared" ref="B131:M131" si="150">B91-B491-B611</f>
        <v>8436</v>
      </c>
      <c r="C131" s="880">
        <f t="shared" si="150"/>
        <v>7187</v>
      </c>
      <c r="D131" s="880">
        <f t="shared" si="150"/>
        <v>6285</v>
      </c>
      <c r="E131" s="880">
        <f t="shared" si="150"/>
        <v>7126</v>
      </c>
      <c r="F131" s="880">
        <f t="shared" si="150"/>
        <v>8131</v>
      </c>
      <c r="G131" s="880">
        <f t="shared" si="150"/>
        <v>8329</v>
      </c>
      <c r="H131" s="880">
        <f t="shared" si="150"/>
        <v>8573</v>
      </c>
      <c r="I131" s="880">
        <f t="shared" si="150"/>
        <v>8832</v>
      </c>
      <c r="J131" s="880">
        <f t="shared" si="150"/>
        <v>7950</v>
      </c>
      <c r="K131" s="880">
        <f t="shared" si="150"/>
        <v>7786</v>
      </c>
      <c r="L131" s="880">
        <f t="shared" si="150"/>
        <v>5835</v>
      </c>
      <c r="M131" s="880">
        <f t="shared" si="150"/>
        <v>6944</v>
      </c>
      <c r="N131" s="25">
        <f t="shared" si="146"/>
        <v>7617.833333333333</v>
      </c>
    </row>
    <row r="132" spans="1:14">
      <c r="A132" s="2">
        <f t="shared" si="141"/>
        <v>2019</v>
      </c>
      <c r="B132" s="880">
        <f t="shared" ref="B132:M132" si="151">B92-B492-B612</f>
        <v>8531</v>
      </c>
      <c r="C132" s="880">
        <f t="shared" si="151"/>
        <v>7250</v>
      </c>
      <c r="D132" s="880">
        <f t="shared" si="151"/>
        <v>6360</v>
      </c>
      <c r="E132" s="880">
        <f t="shared" si="151"/>
        <v>7246</v>
      </c>
      <c r="F132" s="880">
        <f t="shared" si="151"/>
        <v>8433</v>
      </c>
      <c r="G132" s="880">
        <f t="shared" si="151"/>
        <v>8444</v>
      </c>
      <c r="H132" s="880">
        <f t="shared" si="151"/>
        <v>8690</v>
      </c>
      <c r="I132" s="880">
        <f t="shared" si="151"/>
        <v>8956</v>
      </c>
      <c r="J132" s="880">
        <f t="shared" si="151"/>
        <v>8046</v>
      </c>
      <c r="K132" s="880">
        <f t="shared" si="151"/>
        <v>7900</v>
      </c>
      <c r="L132" s="880">
        <f t="shared" si="151"/>
        <v>5887</v>
      </c>
      <c r="M132" s="880">
        <f t="shared" si="151"/>
        <v>6992</v>
      </c>
      <c r="N132" s="25">
        <f t="shared" si="146"/>
        <v>7727.916666666667</v>
      </c>
    </row>
    <row r="133" spans="1:14">
      <c r="A133" s="2">
        <f t="shared" si="141"/>
        <v>2020</v>
      </c>
      <c r="B133" s="880">
        <f t="shared" ref="B133:M133" si="152">B93-B493-B613</f>
        <v>8613</v>
      </c>
      <c r="C133" s="880">
        <f t="shared" si="152"/>
        <v>7305</v>
      </c>
      <c r="D133" s="880">
        <f t="shared" si="152"/>
        <v>6425</v>
      </c>
      <c r="E133" s="880">
        <f t="shared" si="152"/>
        <v>7360</v>
      </c>
      <c r="F133" s="880">
        <f t="shared" si="152"/>
        <v>8560</v>
      </c>
      <c r="G133" s="880">
        <f t="shared" si="152"/>
        <v>8555</v>
      </c>
      <c r="H133" s="880">
        <f t="shared" si="152"/>
        <v>8806</v>
      </c>
      <c r="I133" s="880">
        <f t="shared" si="152"/>
        <v>9078</v>
      </c>
      <c r="J133" s="880">
        <f t="shared" si="152"/>
        <v>8141</v>
      </c>
      <c r="K133" s="880">
        <f t="shared" si="152"/>
        <v>8012</v>
      </c>
      <c r="L133" s="880">
        <f t="shared" si="152"/>
        <v>5936</v>
      </c>
      <c r="M133" s="880">
        <f t="shared" si="152"/>
        <v>7037</v>
      </c>
      <c r="N133" s="25">
        <f t="shared" si="146"/>
        <v>7819</v>
      </c>
    </row>
    <row r="134" spans="1:14">
      <c r="A134" s="2">
        <f t="shared" si="141"/>
        <v>2021</v>
      </c>
      <c r="B134" s="880">
        <f t="shared" ref="B134:M134" si="153">B94-B494-B614</f>
        <v>8701</v>
      </c>
      <c r="C134" s="880">
        <f t="shared" si="153"/>
        <v>7364</v>
      </c>
      <c r="D134" s="880">
        <f t="shared" si="153"/>
        <v>6492</v>
      </c>
      <c r="E134" s="880">
        <f t="shared" si="153"/>
        <v>7474</v>
      </c>
      <c r="F134" s="880">
        <f t="shared" si="153"/>
        <v>8682</v>
      </c>
      <c r="G134" s="880">
        <f t="shared" si="153"/>
        <v>8662</v>
      </c>
      <c r="H134" s="880">
        <f t="shared" si="153"/>
        <v>8916</v>
      </c>
      <c r="I134" s="880">
        <f t="shared" si="153"/>
        <v>9195</v>
      </c>
      <c r="J134" s="880">
        <f t="shared" si="153"/>
        <v>8232</v>
      </c>
      <c r="K134" s="880">
        <f t="shared" si="153"/>
        <v>8120</v>
      </c>
      <c r="L134" s="880">
        <f t="shared" si="153"/>
        <v>5985</v>
      </c>
      <c r="M134" s="880">
        <f t="shared" si="153"/>
        <v>7082</v>
      </c>
      <c r="N134" s="25">
        <f t="shared" si="146"/>
        <v>7908.75</v>
      </c>
    </row>
    <row r="135" spans="1:14">
      <c r="A135" s="2">
        <f t="shared" si="141"/>
        <v>2022</v>
      </c>
      <c r="B135" s="880">
        <f t="shared" ref="B135:M135" si="154">B95-B495-B615</f>
        <v>8785</v>
      </c>
      <c r="C135" s="880">
        <f t="shared" si="154"/>
        <v>7421</v>
      </c>
      <c r="D135" s="880">
        <f t="shared" si="154"/>
        <v>6558</v>
      </c>
      <c r="E135" s="880">
        <f t="shared" si="154"/>
        <v>7583</v>
      </c>
      <c r="F135" s="880">
        <f t="shared" si="154"/>
        <v>8802</v>
      </c>
      <c r="G135" s="880">
        <f t="shared" si="154"/>
        <v>8768</v>
      </c>
      <c r="H135" s="880">
        <f t="shared" si="154"/>
        <v>9026</v>
      </c>
      <c r="I135" s="880">
        <f t="shared" si="154"/>
        <v>9309</v>
      </c>
      <c r="J135" s="880">
        <f t="shared" si="154"/>
        <v>8320</v>
      </c>
      <c r="K135" s="880">
        <f t="shared" si="154"/>
        <v>8224</v>
      </c>
      <c r="L135" s="880">
        <f t="shared" si="154"/>
        <v>6034</v>
      </c>
      <c r="M135" s="880">
        <f t="shared" si="154"/>
        <v>7126</v>
      </c>
      <c r="N135" s="25">
        <f t="shared" si="146"/>
        <v>7996.333333333333</v>
      </c>
    </row>
    <row r="136" spans="1:14">
      <c r="A136" s="2">
        <f t="shared" si="141"/>
        <v>2023</v>
      </c>
      <c r="B136" s="880">
        <f t="shared" ref="B136:M136" si="155">B96-B496-B616</f>
        <v>8866</v>
      </c>
      <c r="C136" s="880">
        <f t="shared" si="155"/>
        <v>7474</v>
      </c>
      <c r="D136" s="880">
        <f t="shared" si="155"/>
        <v>6622</v>
      </c>
      <c r="E136" s="880">
        <f t="shared" si="155"/>
        <v>7686</v>
      </c>
      <c r="F136" s="880">
        <f t="shared" si="155"/>
        <v>8913</v>
      </c>
      <c r="G136" s="880">
        <f t="shared" si="155"/>
        <v>8866</v>
      </c>
      <c r="H136" s="880">
        <f t="shared" si="155"/>
        <v>9126</v>
      </c>
      <c r="I136" s="880">
        <f t="shared" si="155"/>
        <v>9415</v>
      </c>
      <c r="J136" s="880">
        <f t="shared" si="155"/>
        <v>8403</v>
      </c>
      <c r="K136" s="880">
        <f t="shared" si="155"/>
        <v>8323</v>
      </c>
      <c r="L136" s="880">
        <f t="shared" si="155"/>
        <v>6077</v>
      </c>
      <c r="M136" s="880">
        <f t="shared" si="155"/>
        <v>7168</v>
      </c>
      <c r="N136" s="25">
        <f t="shared" si="146"/>
        <v>8078.25</v>
      </c>
    </row>
    <row r="137" spans="1:14">
      <c r="A137" s="2">
        <f t="shared" si="141"/>
        <v>2024</v>
      </c>
      <c r="B137" s="880">
        <f t="shared" ref="B137:M137" si="156">B97-B497-B617</f>
        <v>8940</v>
      </c>
      <c r="C137" s="880">
        <f t="shared" si="156"/>
        <v>7526</v>
      </c>
      <c r="D137" s="880">
        <f t="shared" si="156"/>
        <v>6680</v>
      </c>
      <c r="E137" s="880">
        <f t="shared" si="156"/>
        <v>7785</v>
      </c>
      <c r="F137" s="880">
        <f t="shared" si="156"/>
        <v>9022</v>
      </c>
      <c r="G137" s="880">
        <f t="shared" si="156"/>
        <v>8961</v>
      </c>
      <c r="H137" s="880">
        <f t="shared" si="156"/>
        <v>9224</v>
      </c>
      <c r="I137" s="880">
        <f t="shared" si="156"/>
        <v>9519</v>
      </c>
      <c r="J137" s="880">
        <f t="shared" si="156"/>
        <v>8481</v>
      </c>
      <c r="K137" s="880">
        <f t="shared" si="156"/>
        <v>8417</v>
      </c>
      <c r="L137" s="880">
        <f t="shared" si="156"/>
        <v>6117</v>
      </c>
      <c r="M137" s="880">
        <f t="shared" si="156"/>
        <v>7206</v>
      </c>
      <c r="N137" s="25">
        <f t="shared" si="146"/>
        <v>8156.5</v>
      </c>
    </row>
    <row r="138" spans="1:14">
      <c r="A138" s="2">
        <f t="shared" si="141"/>
        <v>2025</v>
      </c>
      <c r="B138" s="880">
        <f t="shared" ref="B138:M138" si="157">B98-B498-B618</f>
        <v>9011</v>
      </c>
      <c r="C138" s="880">
        <f t="shared" si="157"/>
        <v>7572</v>
      </c>
      <c r="D138" s="880">
        <f t="shared" si="157"/>
        <v>6736</v>
      </c>
      <c r="E138" s="880">
        <f t="shared" si="157"/>
        <v>7878</v>
      </c>
      <c r="F138" s="880">
        <f t="shared" si="157"/>
        <v>9125</v>
      </c>
      <c r="G138" s="880">
        <f t="shared" si="157"/>
        <v>9050</v>
      </c>
      <c r="H138" s="880">
        <f t="shared" si="157"/>
        <v>9317</v>
      </c>
      <c r="I138" s="880">
        <f t="shared" si="157"/>
        <v>9616</v>
      </c>
      <c r="J138" s="880">
        <f t="shared" si="157"/>
        <v>8557</v>
      </c>
      <c r="K138" s="880">
        <f t="shared" si="157"/>
        <v>8506</v>
      </c>
      <c r="L138" s="880">
        <f t="shared" si="157"/>
        <v>6157</v>
      </c>
      <c r="M138" s="880">
        <f t="shared" si="157"/>
        <v>7241</v>
      </c>
      <c r="N138" s="25">
        <f t="shared" si="146"/>
        <v>8230.5</v>
      </c>
    </row>
    <row r="139" spans="1:14">
      <c r="A139" s="2">
        <f t="shared" si="141"/>
        <v>2026</v>
      </c>
      <c r="B139" s="880">
        <f t="shared" ref="B139:M139" si="158">B99-B499-B619</f>
        <v>9078</v>
      </c>
      <c r="C139" s="880">
        <f t="shared" si="158"/>
        <v>7616</v>
      </c>
      <c r="D139" s="880">
        <f t="shared" si="158"/>
        <v>6790</v>
      </c>
      <c r="E139" s="880">
        <f t="shared" si="158"/>
        <v>7967</v>
      </c>
      <c r="F139" s="880">
        <f t="shared" si="158"/>
        <v>9221</v>
      </c>
      <c r="G139" s="880">
        <f t="shared" si="158"/>
        <v>9135</v>
      </c>
      <c r="H139" s="880">
        <f t="shared" si="158"/>
        <v>9403</v>
      </c>
      <c r="I139" s="880">
        <f t="shared" si="158"/>
        <v>9706</v>
      </c>
      <c r="J139" s="880">
        <f t="shared" si="158"/>
        <v>8627</v>
      </c>
      <c r="K139" s="880">
        <f t="shared" si="158"/>
        <v>8591</v>
      </c>
      <c r="L139" s="880">
        <f t="shared" si="158"/>
        <v>6194</v>
      </c>
      <c r="M139" s="880">
        <f t="shared" si="158"/>
        <v>7276</v>
      </c>
      <c r="N139" s="25">
        <f t="shared" si="146"/>
        <v>8300.3333333333339</v>
      </c>
    </row>
    <row r="140" spans="1:14">
      <c r="A140" s="2">
        <f t="shared" si="141"/>
        <v>2027</v>
      </c>
      <c r="B140" s="880">
        <f t="shared" ref="B140:M140" si="159">B100-B500-B620</f>
        <v>9141</v>
      </c>
      <c r="C140" s="880">
        <f t="shared" si="159"/>
        <v>7660</v>
      </c>
      <c r="D140" s="880">
        <f t="shared" si="159"/>
        <v>6839</v>
      </c>
      <c r="E140" s="880">
        <f t="shared" si="159"/>
        <v>8054</v>
      </c>
      <c r="F140" s="880">
        <f t="shared" si="159"/>
        <v>9316</v>
      </c>
      <c r="G140" s="880">
        <f t="shared" si="159"/>
        <v>9217</v>
      </c>
      <c r="H140" s="880">
        <f t="shared" si="159"/>
        <v>9488</v>
      </c>
      <c r="I140" s="880">
        <f t="shared" si="159"/>
        <v>9797</v>
      </c>
      <c r="J140" s="880">
        <f t="shared" si="159"/>
        <v>8696</v>
      </c>
      <c r="K140" s="880">
        <f t="shared" si="159"/>
        <v>8675</v>
      </c>
      <c r="L140" s="880">
        <f t="shared" si="159"/>
        <v>6231</v>
      </c>
      <c r="M140" s="880">
        <f t="shared" si="159"/>
        <v>7308</v>
      </c>
      <c r="N140" s="25">
        <f t="shared" si="146"/>
        <v>8368.5</v>
      </c>
    </row>
    <row r="141" spans="1:14">
      <c r="A141" s="2">
        <f t="shared" si="141"/>
        <v>2028</v>
      </c>
      <c r="B141" s="880">
        <f t="shared" ref="B141:M141" si="160">B101-B501-B621</f>
        <v>9204</v>
      </c>
      <c r="C141" s="880">
        <f t="shared" si="160"/>
        <v>7701</v>
      </c>
      <c r="D141" s="880">
        <f t="shared" si="160"/>
        <v>6886</v>
      </c>
      <c r="E141" s="880">
        <f t="shared" si="160"/>
        <v>8137</v>
      </c>
      <c r="F141" s="880">
        <f t="shared" si="160"/>
        <v>9408</v>
      </c>
      <c r="G141" s="880">
        <f t="shared" si="160"/>
        <v>9297</v>
      </c>
      <c r="H141" s="880">
        <f t="shared" si="160"/>
        <v>9571</v>
      </c>
      <c r="I141" s="880">
        <f t="shared" si="160"/>
        <v>9884</v>
      </c>
      <c r="J141" s="880">
        <f t="shared" si="160"/>
        <v>8764</v>
      </c>
      <c r="K141" s="880">
        <f t="shared" si="160"/>
        <v>8756</v>
      </c>
      <c r="L141" s="880">
        <f t="shared" si="160"/>
        <v>6265</v>
      </c>
      <c r="M141" s="880">
        <f t="shared" si="160"/>
        <v>7342</v>
      </c>
      <c r="N141" s="25">
        <f t="shared" si="146"/>
        <v>8434.5833333333339</v>
      </c>
    </row>
    <row r="142" spans="1:14">
      <c r="A142" s="2">
        <f t="shared" si="141"/>
        <v>2029</v>
      </c>
      <c r="B142" s="880">
        <f t="shared" ref="B142:M142" si="161">B102-B502-B622</f>
        <v>9265</v>
      </c>
      <c r="C142" s="880">
        <f t="shared" si="161"/>
        <v>7740</v>
      </c>
      <c r="D142" s="880">
        <f t="shared" si="161"/>
        <v>6934</v>
      </c>
      <c r="E142" s="880">
        <f t="shared" si="161"/>
        <v>8219</v>
      </c>
      <c r="F142" s="880">
        <f t="shared" si="161"/>
        <v>9497</v>
      </c>
      <c r="G142" s="880">
        <f t="shared" si="161"/>
        <v>9376</v>
      </c>
      <c r="H142" s="880">
        <f t="shared" si="161"/>
        <v>9652</v>
      </c>
      <c r="I142" s="880">
        <f t="shared" si="161"/>
        <v>9970</v>
      </c>
      <c r="J142" s="880">
        <f t="shared" si="161"/>
        <v>8829</v>
      </c>
      <c r="K142" s="880">
        <f t="shared" si="161"/>
        <v>8833</v>
      </c>
      <c r="L142" s="880">
        <f t="shared" si="161"/>
        <v>6299</v>
      </c>
      <c r="M142" s="880">
        <f t="shared" si="161"/>
        <v>7372</v>
      </c>
      <c r="N142" s="25">
        <f t="shared" si="146"/>
        <v>8498.8333333333339</v>
      </c>
    </row>
    <row r="143" spans="1:14">
      <c r="A143" s="2">
        <f t="shared" si="141"/>
        <v>2030</v>
      </c>
      <c r="B143" s="880">
        <f t="shared" ref="B143:M143" si="162">B103-B503-B623</f>
        <v>9323</v>
      </c>
      <c r="C143" s="880">
        <f t="shared" si="162"/>
        <v>7778</v>
      </c>
      <c r="D143" s="880">
        <f t="shared" si="162"/>
        <v>6980</v>
      </c>
      <c r="E143" s="880">
        <f t="shared" si="162"/>
        <v>8296</v>
      </c>
      <c r="F143" s="880">
        <f t="shared" si="162"/>
        <v>9580</v>
      </c>
      <c r="G143" s="880">
        <f t="shared" si="162"/>
        <v>9448</v>
      </c>
      <c r="H143" s="880">
        <f t="shared" si="162"/>
        <v>9727</v>
      </c>
      <c r="I143" s="880">
        <f t="shared" si="162"/>
        <v>10049</v>
      </c>
      <c r="J143" s="880">
        <f t="shared" si="162"/>
        <v>8889</v>
      </c>
      <c r="K143" s="880">
        <f t="shared" si="162"/>
        <v>8906</v>
      </c>
      <c r="L143" s="880">
        <f t="shared" si="162"/>
        <v>6331</v>
      </c>
      <c r="M143" s="880">
        <f t="shared" si="162"/>
        <v>7402</v>
      </c>
      <c r="N143" s="25">
        <f t="shared" si="146"/>
        <v>8559.0833333333339</v>
      </c>
    </row>
    <row r="144" spans="1:14">
      <c r="A144" s="2">
        <f t="shared" si="141"/>
        <v>2031</v>
      </c>
      <c r="B144" s="880">
        <f t="shared" ref="B144:M144" si="163">B104-B504-B624</f>
        <v>9378</v>
      </c>
      <c r="C144" s="880">
        <f t="shared" si="163"/>
        <v>7814</v>
      </c>
      <c r="D144" s="880">
        <f t="shared" si="163"/>
        <v>7022</v>
      </c>
      <c r="E144" s="880">
        <f t="shared" si="163"/>
        <v>8371</v>
      </c>
      <c r="F144" s="880">
        <f t="shared" si="163"/>
        <v>9661</v>
      </c>
      <c r="G144" s="880">
        <f t="shared" si="163"/>
        <v>9519</v>
      </c>
      <c r="H144" s="880">
        <f t="shared" si="163"/>
        <v>9800</v>
      </c>
      <c r="I144" s="880">
        <f t="shared" si="163"/>
        <v>10125</v>
      </c>
      <c r="J144" s="880">
        <f t="shared" si="163"/>
        <v>8949</v>
      </c>
      <c r="K144" s="880">
        <f t="shared" si="163"/>
        <v>8979</v>
      </c>
      <c r="L144" s="880">
        <f t="shared" si="163"/>
        <v>6360</v>
      </c>
      <c r="M144" s="880">
        <f t="shared" si="163"/>
        <v>7429</v>
      </c>
      <c r="N144" s="25">
        <f t="shared" si="146"/>
        <v>8617.25</v>
      </c>
    </row>
    <row r="145" spans="1:14">
      <c r="A145" s="2">
        <f t="shared" si="141"/>
        <v>2032</v>
      </c>
      <c r="B145" s="880">
        <f t="shared" ref="B145:M145" si="164">B105-B505-B625</f>
        <v>9430</v>
      </c>
      <c r="C145" s="880">
        <f t="shared" si="164"/>
        <v>7849</v>
      </c>
      <c r="D145" s="880">
        <f t="shared" si="164"/>
        <v>7062</v>
      </c>
      <c r="E145" s="880">
        <f t="shared" si="164"/>
        <v>8443</v>
      </c>
      <c r="F145" s="880">
        <f t="shared" si="164"/>
        <v>9738</v>
      </c>
      <c r="G145" s="880">
        <f t="shared" si="164"/>
        <v>9588</v>
      </c>
      <c r="H145" s="880">
        <f t="shared" si="164"/>
        <v>9870</v>
      </c>
      <c r="I145" s="880">
        <f t="shared" si="164"/>
        <v>10200</v>
      </c>
      <c r="J145" s="880">
        <f t="shared" si="164"/>
        <v>9006</v>
      </c>
      <c r="K145" s="880">
        <f t="shared" si="164"/>
        <v>9048</v>
      </c>
      <c r="L145" s="880">
        <f t="shared" si="164"/>
        <v>6391</v>
      </c>
      <c r="M145" s="880">
        <f t="shared" si="164"/>
        <v>7456</v>
      </c>
      <c r="N145" s="25">
        <f t="shared" si="146"/>
        <v>8673.4166666666661</v>
      </c>
    </row>
    <row r="146" spans="1:14">
      <c r="A146" s="2">
        <f t="shared" si="141"/>
        <v>2033</v>
      </c>
      <c r="B146" s="880">
        <f t="shared" ref="B146:M146" si="165">B106-B506-B626</f>
        <v>9480</v>
      </c>
      <c r="C146" s="880">
        <f t="shared" si="165"/>
        <v>7881</v>
      </c>
      <c r="D146" s="880">
        <f t="shared" si="165"/>
        <v>7101</v>
      </c>
      <c r="E146" s="880">
        <f t="shared" si="165"/>
        <v>8513</v>
      </c>
      <c r="F146" s="880">
        <f t="shared" si="165"/>
        <v>9814</v>
      </c>
      <c r="G146" s="880">
        <f t="shared" si="165"/>
        <v>9653</v>
      </c>
      <c r="H146" s="880">
        <f t="shared" si="165"/>
        <v>9939</v>
      </c>
      <c r="I146" s="880">
        <f t="shared" si="165"/>
        <v>10272</v>
      </c>
      <c r="J146" s="880">
        <f t="shared" si="165"/>
        <v>9061</v>
      </c>
      <c r="K146" s="880">
        <f t="shared" si="165"/>
        <v>9115</v>
      </c>
      <c r="L146" s="880">
        <f t="shared" si="165"/>
        <v>6419</v>
      </c>
      <c r="M146" s="880">
        <f t="shared" si="165"/>
        <v>7482</v>
      </c>
      <c r="N146" s="25">
        <f t="shared" si="146"/>
        <v>8727.5</v>
      </c>
    </row>
    <row r="147" spans="1:14">
      <c r="A147" s="2">
        <f t="shared" si="141"/>
        <v>2034</v>
      </c>
      <c r="B147" s="880">
        <f t="shared" ref="B147:M147" si="166">B107-B507-B627</f>
        <v>9530</v>
      </c>
      <c r="C147" s="880">
        <f t="shared" si="166"/>
        <v>7914</v>
      </c>
      <c r="D147" s="880">
        <f t="shared" si="166"/>
        <v>7140</v>
      </c>
      <c r="E147" s="880">
        <f t="shared" si="166"/>
        <v>8581</v>
      </c>
      <c r="F147" s="880">
        <f t="shared" si="166"/>
        <v>9888</v>
      </c>
      <c r="G147" s="880">
        <f t="shared" si="166"/>
        <v>9718</v>
      </c>
      <c r="H147" s="880">
        <f t="shared" si="166"/>
        <v>10006</v>
      </c>
      <c r="I147" s="880">
        <f t="shared" si="166"/>
        <v>10343</v>
      </c>
      <c r="J147" s="880">
        <f t="shared" si="166"/>
        <v>9115</v>
      </c>
      <c r="K147" s="880">
        <f t="shared" si="166"/>
        <v>9181</v>
      </c>
      <c r="L147" s="880">
        <f t="shared" si="166"/>
        <v>6447</v>
      </c>
      <c r="M147" s="880">
        <f t="shared" si="166"/>
        <v>7507</v>
      </c>
      <c r="N147" s="25">
        <f t="shared" si="146"/>
        <v>8780.8333333333339</v>
      </c>
    </row>
    <row r="148" spans="1:14">
      <c r="A148" s="2">
        <f t="shared" si="141"/>
        <v>2035</v>
      </c>
      <c r="B148" s="880">
        <f t="shared" ref="B148:M148" si="167">B108-B508-B628</f>
        <v>9578</v>
      </c>
      <c r="C148" s="880">
        <f t="shared" si="167"/>
        <v>7944</v>
      </c>
      <c r="D148" s="880">
        <f t="shared" si="167"/>
        <v>7176</v>
      </c>
      <c r="E148" s="880">
        <f t="shared" si="167"/>
        <v>8646</v>
      </c>
      <c r="F148" s="880">
        <f t="shared" si="167"/>
        <v>9958</v>
      </c>
      <c r="G148" s="880">
        <f t="shared" si="167"/>
        <v>9781</v>
      </c>
      <c r="H148" s="880">
        <f t="shared" si="167"/>
        <v>10072</v>
      </c>
      <c r="I148" s="880">
        <f t="shared" si="167"/>
        <v>10412</v>
      </c>
      <c r="J148" s="880">
        <f t="shared" si="167"/>
        <v>9168</v>
      </c>
      <c r="K148" s="880">
        <f t="shared" si="167"/>
        <v>9243</v>
      </c>
      <c r="L148" s="880">
        <f t="shared" si="167"/>
        <v>6472</v>
      </c>
      <c r="M148" s="880">
        <f t="shared" si="167"/>
        <v>7532</v>
      </c>
      <c r="N148" s="25">
        <f t="shared" si="146"/>
        <v>8831.8333333333339</v>
      </c>
    </row>
    <row r="149" spans="1:14">
      <c r="A149" s="2">
        <f t="shared" si="141"/>
        <v>2036</v>
      </c>
      <c r="B149" s="880">
        <f t="shared" ref="B149:M149" si="168">B109-B509-B629</f>
        <v>9625</v>
      </c>
      <c r="C149" s="880">
        <f t="shared" si="168"/>
        <v>7976</v>
      </c>
      <c r="D149" s="880">
        <f t="shared" si="168"/>
        <v>7213</v>
      </c>
      <c r="E149" s="880">
        <f t="shared" si="168"/>
        <v>8710</v>
      </c>
      <c r="F149" s="880">
        <f t="shared" si="168"/>
        <v>10028</v>
      </c>
      <c r="G149" s="880">
        <f t="shared" si="168"/>
        <v>9841</v>
      </c>
      <c r="H149" s="880">
        <f t="shared" si="168"/>
        <v>10133</v>
      </c>
      <c r="I149" s="880">
        <f t="shared" si="168"/>
        <v>10478</v>
      </c>
      <c r="J149" s="880">
        <f t="shared" si="168"/>
        <v>9218</v>
      </c>
      <c r="K149" s="880">
        <f t="shared" si="168"/>
        <v>9308</v>
      </c>
      <c r="L149" s="880">
        <f t="shared" si="168"/>
        <v>6501</v>
      </c>
      <c r="M149" s="880">
        <f t="shared" si="168"/>
        <v>7557</v>
      </c>
      <c r="N149" s="25">
        <f t="shared" si="146"/>
        <v>8882.3333333333339</v>
      </c>
    </row>
    <row r="150" spans="1:14">
      <c r="A150" s="2">
        <f t="shared" si="141"/>
        <v>2037</v>
      </c>
      <c r="B150" s="880">
        <f t="shared" ref="B150:M150" si="169">B110-B510-B630</f>
        <v>9672</v>
      </c>
      <c r="C150" s="880">
        <f t="shared" si="169"/>
        <v>8007</v>
      </c>
      <c r="D150" s="880">
        <f t="shared" si="169"/>
        <v>7247</v>
      </c>
      <c r="E150" s="880">
        <f t="shared" si="169"/>
        <v>8779</v>
      </c>
      <c r="F150" s="880">
        <f t="shared" si="169"/>
        <v>10103</v>
      </c>
      <c r="G150" s="880">
        <f t="shared" si="169"/>
        <v>9908</v>
      </c>
      <c r="H150" s="880">
        <f t="shared" si="169"/>
        <v>10204</v>
      </c>
      <c r="I150" s="880">
        <f t="shared" si="169"/>
        <v>10553</v>
      </c>
      <c r="J150" s="880">
        <f t="shared" si="169"/>
        <v>9276</v>
      </c>
      <c r="K150" s="880">
        <f t="shared" si="169"/>
        <v>9377</v>
      </c>
      <c r="L150" s="880">
        <f t="shared" si="169"/>
        <v>6532</v>
      </c>
      <c r="M150" s="880">
        <f t="shared" si="169"/>
        <v>7586</v>
      </c>
      <c r="N150" s="25">
        <f t="shared" si="146"/>
        <v>8937</v>
      </c>
    </row>
    <row r="151" spans="1:14">
      <c r="A151" s="2">
        <f t="shared" si="141"/>
        <v>2038</v>
      </c>
      <c r="B151" s="880">
        <f t="shared" ref="B151:M151" si="170">B111-B511-B631</f>
        <v>9727</v>
      </c>
      <c r="C151" s="880">
        <f t="shared" si="170"/>
        <v>8045</v>
      </c>
      <c r="D151" s="880">
        <f t="shared" si="170"/>
        <v>7285</v>
      </c>
      <c r="E151" s="880">
        <f t="shared" si="170"/>
        <v>8851</v>
      </c>
      <c r="F151" s="880">
        <f t="shared" si="170"/>
        <v>10181</v>
      </c>
      <c r="G151" s="880">
        <f t="shared" si="170"/>
        <v>9980</v>
      </c>
      <c r="H151" s="880">
        <f t="shared" si="170"/>
        <v>10277</v>
      </c>
      <c r="I151" s="880">
        <f t="shared" si="170"/>
        <v>10630</v>
      </c>
      <c r="J151" s="880">
        <f t="shared" si="170"/>
        <v>9336</v>
      </c>
      <c r="K151" s="880">
        <f t="shared" si="170"/>
        <v>9448</v>
      </c>
      <c r="L151" s="880">
        <f t="shared" si="170"/>
        <v>6564</v>
      </c>
      <c r="M151" s="880">
        <f t="shared" si="170"/>
        <v>7616</v>
      </c>
      <c r="N151" s="25">
        <f t="shared" si="146"/>
        <v>8995</v>
      </c>
    </row>
    <row r="152" spans="1:14">
      <c r="A152" s="2">
        <f t="shared" si="141"/>
        <v>2039</v>
      </c>
      <c r="B152" s="880">
        <f t="shared" ref="B152:M152" si="171">B112-B512-B632</f>
        <v>9782</v>
      </c>
      <c r="C152" s="880">
        <f t="shared" si="171"/>
        <v>8079</v>
      </c>
      <c r="D152" s="880">
        <f t="shared" si="171"/>
        <v>7327</v>
      </c>
      <c r="E152" s="880">
        <f t="shared" si="171"/>
        <v>8922</v>
      </c>
      <c r="F152" s="880">
        <f t="shared" si="171"/>
        <v>10258</v>
      </c>
      <c r="G152" s="880">
        <f t="shared" si="171"/>
        <v>10045</v>
      </c>
      <c r="H152" s="880">
        <f t="shared" si="171"/>
        <v>10346</v>
      </c>
      <c r="I152" s="880">
        <f t="shared" si="171"/>
        <v>10703</v>
      </c>
      <c r="J152" s="880">
        <f t="shared" si="171"/>
        <v>9392</v>
      </c>
      <c r="K152" s="880">
        <f t="shared" si="171"/>
        <v>9516</v>
      </c>
      <c r="L152" s="880">
        <f t="shared" si="171"/>
        <v>6595</v>
      </c>
      <c r="M152" s="880">
        <f t="shared" si="171"/>
        <v>7645</v>
      </c>
      <c r="N152" s="25">
        <f t="shared" si="146"/>
        <v>9050.8333333333339</v>
      </c>
    </row>
    <row r="153" spans="1:14">
      <c r="A153" s="2">
        <f t="shared" si="141"/>
        <v>2040</v>
      </c>
      <c r="B153" s="880">
        <f t="shared" ref="B153:M153" si="172">B113-B513-B633</f>
        <v>9836</v>
      </c>
      <c r="C153" s="880">
        <f t="shared" si="172"/>
        <v>8116</v>
      </c>
      <c r="D153" s="880">
        <f t="shared" si="172"/>
        <v>7367</v>
      </c>
      <c r="E153" s="880">
        <f t="shared" si="172"/>
        <v>8994</v>
      </c>
      <c r="F153" s="880">
        <f t="shared" si="172"/>
        <v>10336</v>
      </c>
      <c r="G153" s="880">
        <f t="shared" si="172"/>
        <v>10116</v>
      </c>
      <c r="H153" s="880">
        <f t="shared" si="172"/>
        <v>10419</v>
      </c>
      <c r="I153" s="880">
        <f t="shared" si="172"/>
        <v>10777</v>
      </c>
      <c r="J153" s="880">
        <f t="shared" si="172"/>
        <v>9450</v>
      </c>
      <c r="K153" s="880">
        <f t="shared" si="172"/>
        <v>9585</v>
      </c>
      <c r="L153" s="880">
        <f t="shared" si="172"/>
        <v>6627</v>
      </c>
      <c r="M153" s="880">
        <f t="shared" si="172"/>
        <v>7675</v>
      </c>
      <c r="N153" s="25">
        <f t="shared" si="146"/>
        <v>9108.1666666666661</v>
      </c>
    </row>
    <row r="154" spans="1:14">
      <c r="A154" s="2">
        <f t="shared" si="141"/>
        <v>2041</v>
      </c>
      <c r="B154" s="880">
        <f t="shared" ref="B154:M154" si="173">B114-B514-B634</f>
        <v>0</v>
      </c>
      <c r="C154" s="880">
        <f t="shared" si="173"/>
        <v>0</v>
      </c>
      <c r="D154" s="880">
        <f t="shared" si="173"/>
        <v>0</v>
      </c>
      <c r="E154" s="880">
        <f t="shared" si="173"/>
        <v>0</v>
      </c>
      <c r="F154" s="880">
        <f t="shared" si="173"/>
        <v>0</v>
      </c>
      <c r="G154" s="880">
        <f t="shared" si="173"/>
        <v>0</v>
      </c>
      <c r="H154" s="880">
        <f t="shared" si="173"/>
        <v>0</v>
      </c>
      <c r="I154" s="880">
        <f t="shared" si="173"/>
        <v>0</v>
      </c>
      <c r="J154" s="880">
        <f t="shared" si="173"/>
        <v>0</v>
      </c>
      <c r="K154" s="880">
        <f t="shared" si="173"/>
        <v>0</v>
      </c>
      <c r="L154" s="880">
        <f t="shared" si="173"/>
        <v>0</v>
      </c>
      <c r="M154" s="880">
        <f t="shared" si="173"/>
        <v>0</v>
      </c>
      <c r="N154" s="25">
        <f>AVERAGE(B154:M154)</f>
        <v>0</v>
      </c>
    </row>
    <row r="155" spans="1:14">
      <c r="A155" s="2">
        <f t="shared" si="141"/>
        <v>2042</v>
      </c>
      <c r="B155" s="880">
        <f t="shared" ref="B155:M155" si="174">B115-B515-B635</f>
        <v>0</v>
      </c>
      <c r="C155" s="880">
        <f t="shared" si="174"/>
        <v>0</v>
      </c>
      <c r="D155" s="880">
        <f t="shared" si="174"/>
        <v>0</v>
      </c>
      <c r="E155" s="880">
        <f t="shared" si="174"/>
        <v>0</v>
      </c>
      <c r="F155" s="880">
        <f t="shared" si="174"/>
        <v>0</v>
      </c>
      <c r="G155" s="880">
        <f t="shared" si="174"/>
        <v>0</v>
      </c>
      <c r="H155" s="880">
        <f t="shared" si="174"/>
        <v>0</v>
      </c>
      <c r="I155" s="880">
        <f t="shared" si="174"/>
        <v>0</v>
      </c>
      <c r="J155" s="880">
        <f t="shared" si="174"/>
        <v>0</v>
      </c>
      <c r="K155" s="880">
        <f t="shared" si="174"/>
        <v>0</v>
      </c>
      <c r="L155" s="880">
        <f t="shared" si="174"/>
        <v>0</v>
      </c>
      <c r="M155" s="880">
        <f t="shared" si="174"/>
        <v>0</v>
      </c>
      <c r="N155" s="25">
        <f>AVERAGE(B155:M155)</f>
        <v>0</v>
      </c>
    </row>
    <row r="156" spans="1:14">
      <c r="A156" s="2">
        <f t="shared" si="141"/>
        <v>2043</v>
      </c>
      <c r="B156" s="880">
        <f t="shared" ref="B156:M156" si="175">B116-B516-B636</f>
        <v>0</v>
      </c>
      <c r="C156" s="880">
        <f t="shared" si="175"/>
        <v>0</v>
      </c>
      <c r="D156" s="880">
        <f t="shared" si="175"/>
        <v>0</v>
      </c>
      <c r="E156" s="880">
        <f t="shared" si="175"/>
        <v>0</v>
      </c>
      <c r="F156" s="880">
        <f t="shared" si="175"/>
        <v>0</v>
      </c>
      <c r="G156" s="880">
        <f t="shared" si="175"/>
        <v>0</v>
      </c>
      <c r="H156" s="880">
        <f t="shared" si="175"/>
        <v>0</v>
      </c>
      <c r="I156" s="880">
        <f t="shared" si="175"/>
        <v>0</v>
      </c>
      <c r="J156" s="880">
        <f t="shared" si="175"/>
        <v>0</v>
      </c>
      <c r="K156" s="880">
        <f t="shared" si="175"/>
        <v>0</v>
      </c>
      <c r="L156" s="880">
        <f t="shared" si="175"/>
        <v>0</v>
      </c>
      <c r="M156" s="880">
        <f t="shared" si="175"/>
        <v>0</v>
      </c>
      <c r="N156" s="25">
        <f>AVERAGE(B156:M156)</f>
        <v>0</v>
      </c>
    </row>
    <row r="157" spans="1:14">
      <c r="A157" s="2">
        <f t="shared" si="141"/>
        <v>2044</v>
      </c>
      <c r="B157" s="880">
        <f t="shared" ref="B157:M157" si="176">B117-B517-B637</f>
        <v>0</v>
      </c>
      <c r="C157" s="880">
        <f t="shared" si="176"/>
        <v>0</v>
      </c>
      <c r="D157" s="880">
        <f t="shared" si="176"/>
        <v>0</v>
      </c>
      <c r="E157" s="880">
        <f t="shared" si="176"/>
        <v>0</v>
      </c>
      <c r="F157" s="880">
        <f t="shared" si="176"/>
        <v>0</v>
      </c>
      <c r="G157" s="880">
        <f t="shared" si="176"/>
        <v>0</v>
      </c>
      <c r="H157" s="880">
        <f t="shared" si="176"/>
        <v>0</v>
      </c>
      <c r="I157" s="880">
        <f t="shared" si="176"/>
        <v>0</v>
      </c>
      <c r="J157" s="880">
        <f t="shared" si="176"/>
        <v>0</v>
      </c>
      <c r="K157" s="880">
        <f t="shared" si="176"/>
        <v>0</v>
      </c>
      <c r="L157" s="880">
        <f t="shared" si="176"/>
        <v>0</v>
      </c>
      <c r="M157" s="880">
        <f t="shared" si="176"/>
        <v>0</v>
      </c>
      <c r="N157" s="25">
        <f>AVERAGE(B157:M157)</f>
        <v>0</v>
      </c>
    </row>
    <row r="158" spans="1:14">
      <c r="A158" s="2">
        <f t="shared" si="141"/>
        <v>2045</v>
      </c>
      <c r="B158" s="880">
        <f t="shared" ref="B158:M158" si="177">B118-B518-B638</f>
        <v>0</v>
      </c>
      <c r="C158" s="880">
        <f t="shared" si="177"/>
        <v>0</v>
      </c>
      <c r="D158" s="880">
        <f t="shared" si="177"/>
        <v>0</v>
      </c>
      <c r="E158" s="880">
        <f t="shared" si="177"/>
        <v>0</v>
      </c>
      <c r="F158" s="880">
        <f t="shared" si="177"/>
        <v>0</v>
      </c>
      <c r="G158" s="880">
        <f t="shared" si="177"/>
        <v>0</v>
      </c>
      <c r="H158" s="880">
        <f t="shared" si="177"/>
        <v>0</v>
      </c>
      <c r="I158" s="880">
        <f t="shared" si="177"/>
        <v>0</v>
      </c>
      <c r="J158" s="880">
        <f t="shared" si="177"/>
        <v>0</v>
      </c>
      <c r="K158" s="880">
        <f t="shared" si="177"/>
        <v>0</v>
      </c>
      <c r="L158" s="880">
        <f t="shared" si="177"/>
        <v>0</v>
      </c>
      <c r="M158" s="880">
        <f t="shared" si="177"/>
        <v>0</v>
      </c>
      <c r="N158" s="25">
        <f>AVERAGE(B158:M158)</f>
        <v>0</v>
      </c>
    </row>
    <row r="159" spans="1:14"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25"/>
    </row>
    <row r="160" spans="1:14"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25"/>
    </row>
    <row r="161" spans="1:14">
      <c r="A161" s="31" t="s">
        <v>522</v>
      </c>
    </row>
    <row r="162" spans="1:14">
      <c r="A162" s="27" t="s">
        <v>9</v>
      </c>
      <c r="B162" s="27" t="s">
        <v>28</v>
      </c>
      <c r="C162" s="27" t="s">
        <v>29</v>
      </c>
      <c r="D162" s="27" t="s">
        <v>30</v>
      </c>
      <c r="E162" s="27" t="s">
        <v>31</v>
      </c>
      <c r="F162" s="27" t="s">
        <v>32</v>
      </c>
      <c r="G162" s="27" t="s">
        <v>33</v>
      </c>
      <c r="H162" s="27" t="s">
        <v>34</v>
      </c>
      <c r="I162" s="27" t="s">
        <v>35</v>
      </c>
      <c r="J162" s="27" t="s">
        <v>36</v>
      </c>
      <c r="K162" s="27" t="s">
        <v>37</v>
      </c>
      <c r="L162" s="27" t="s">
        <v>38</v>
      </c>
      <c r="M162" s="27" t="s">
        <v>39</v>
      </c>
      <c r="N162" s="27" t="s">
        <v>53</v>
      </c>
    </row>
    <row r="163" spans="1:14">
      <c r="A163" s="2">
        <f>A123</f>
        <v>2010</v>
      </c>
      <c r="B163" s="34">
        <f t="shared" ref="B163:M163" si="178">B243+B283+B323+B1043</f>
        <v>2175.0460584747498</v>
      </c>
      <c r="C163" s="34">
        <f t="shared" si="178"/>
        <v>1351.8100584747497</v>
      </c>
      <c r="D163" s="34">
        <f t="shared" si="178"/>
        <v>1116.4470584747494</v>
      </c>
      <c r="E163" s="34">
        <f t="shared" si="178"/>
        <v>497.20105847474957</v>
      </c>
      <c r="F163" s="34">
        <f t="shared" si="178"/>
        <v>1114.3560584747495</v>
      </c>
      <c r="G163" s="34">
        <f t="shared" si="178"/>
        <v>1229.6270584747494</v>
      </c>
      <c r="H163" s="34">
        <f t="shared" si="178"/>
        <v>1352.4280584747494</v>
      </c>
      <c r="I163" s="34">
        <f t="shared" si="178"/>
        <v>1244.9849162261578</v>
      </c>
      <c r="J163" s="34">
        <f t="shared" si="178"/>
        <v>1006.5787096371097</v>
      </c>
      <c r="K163" s="34">
        <f t="shared" si="178"/>
        <v>774.76186502049904</v>
      </c>
      <c r="L163" s="34">
        <f t="shared" si="178"/>
        <v>490.48649543045701</v>
      </c>
      <c r="M163" s="34">
        <f t="shared" si="178"/>
        <v>1677.9813955067666</v>
      </c>
      <c r="N163" s="25">
        <f t="shared" ref="N163:N165" si="179">AVERAGE(B163:M163)</f>
        <v>1169.3090659286863</v>
      </c>
    </row>
    <row r="164" spans="1:14">
      <c r="A164" s="2">
        <f>A163+1</f>
        <v>2011</v>
      </c>
      <c r="B164" s="34">
        <f t="shared" ref="B164:M164" si="180">B244+B284+B324+B1044</f>
        <v>1033.648104628589</v>
      </c>
      <c r="C164" s="34">
        <f t="shared" si="180"/>
        <v>818.848104628589</v>
      </c>
      <c r="D164" s="34">
        <f t="shared" si="180"/>
        <v>821.74810462858898</v>
      </c>
      <c r="E164" s="34">
        <f t="shared" si="180"/>
        <v>837.848104628589</v>
      </c>
      <c r="F164" s="34">
        <f t="shared" si="180"/>
        <v>882.8219798144562</v>
      </c>
      <c r="G164" s="34">
        <f t="shared" si="180"/>
        <v>934.8219798144562</v>
      </c>
      <c r="H164" s="34">
        <f t="shared" si="180"/>
        <v>950.8219798144562</v>
      </c>
      <c r="I164" s="34">
        <f t="shared" si="180"/>
        <v>937.8219798144562</v>
      </c>
      <c r="J164" s="34">
        <f t="shared" si="180"/>
        <v>928.8219798144562</v>
      </c>
      <c r="K164" s="34">
        <f t="shared" si="180"/>
        <v>850.8219798144562</v>
      </c>
      <c r="L164" s="34">
        <f t="shared" si="180"/>
        <v>777.72197981445618</v>
      </c>
      <c r="M164" s="34">
        <f t="shared" si="180"/>
        <v>779.8219798144562</v>
      </c>
      <c r="N164" s="25">
        <f t="shared" si="179"/>
        <v>879.63068808583387</v>
      </c>
    </row>
    <row r="165" spans="1:14">
      <c r="A165" s="2">
        <f t="shared" ref="A165:A198" si="181">A164+1</f>
        <v>2012</v>
      </c>
      <c r="B165" s="880">
        <f t="shared" ref="B165:M165" si="182">B245+B285+B325+B1045</f>
        <v>1022.6079999999999</v>
      </c>
      <c r="C165" s="880">
        <f t="shared" si="182"/>
        <v>1019.6079999999999</v>
      </c>
      <c r="D165" s="880">
        <f t="shared" si="182"/>
        <v>959.60799999999995</v>
      </c>
      <c r="E165" s="880">
        <f t="shared" si="182"/>
        <v>933.60799999999995</v>
      </c>
      <c r="F165" s="880">
        <f t="shared" si="182"/>
        <v>1002.6079999999999</v>
      </c>
      <c r="G165" s="880">
        <f t="shared" si="182"/>
        <v>1089.6079999999999</v>
      </c>
      <c r="H165" s="880">
        <f t="shared" si="182"/>
        <v>1104.6079999999999</v>
      </c>
      <c r="I165" s="880">
        <f t="shared" si="182"/>
        <v>1091.6079999999999</v>
      </c>
      <c r="J165" s="880">
        <f t="shared" si="182"/>
        <v>1083.6079999999999</v>
      </c>
      <c r="K165" s="880">
        <f t="shared" si="182"/>
        <v>1004.6079999999999</v>
      </c>
      <c r="L165" s="880">
        <f t="shared" si="182"/>
        <v>931.60799999999995</v>
      </c>
      <c r="M165" s="880">
        <f t="shared" si="182"/>
        <v>959.60799999999995</v>
      </c>
      <c r="N165" s="25">
        <f t="shared" si="179"/>
        <v>1016.9413333333333</v>
      </c>
    </row>
    <row r="166" spans="1:14">
      <c r="A166" s="2">
        <f t="shared" si="181"/>
        <v>2013</v>
      </c>
      <c r="B166" s="880">
        <f>B246+B286+B326+B1046</f>
        <v>896.7299999999999</v>
      </c>
      <c r="C166" s="880">
        <f t="shared" ref="C166:M166" si="183">C246+C286+C326+C1046</f>
        <v>901.8</v>
      </c>
      <c r="D166" s="880">
        <f t="shared" si="183"/>
        <v>917.21999999999991</v>
      </c>
      <c r="E166" s="880">
        <f t="shared" si="183"/>
        <v>891.17</v>
      </c>
      <c r="F166" s="880">
        <f t="shared" si="183"/>
        <v>925.33999999999992</v>
      </c>
      <c r="G166" s="880">
        <f t="shared" si="183"/>
        <v>941.25999999999988</v>
      </c>
      <c r="H166" s="880">
        <f t="shared" si="183"/>
        <v>943.82999999999993</v>
      </c>
      <c r="I166" s="880">
        <f t="shared" si="183"/>
        <v>944.8599999999999</v>
      </c>
      <c r="J166" s="880">
        <f t="shared" si="183"/>
        <v>924.00999999999988</v>
      </c>
      <c r="K166" s="880">
        <f t="shared" si="183"/>
        <v>904.42</v>
      </c>
      <c r="L166" s="880">
        <f t="shared" si="183"/>
        <v>878.29</v>
      </c>
      <c r="M166" s="880">
        <f t="shared" si="183"/>
        <v>892.50999999999988</v>
      </c>
      <c r="N166" s="25">
        <f>SUM(B166:M166)</f>
        <v>10961.44</v>
      </c>
    </row>
    <row r="167" spans="1:14">
      <c r="A167" s="2">
        <f t="shared" si="181"/>
        <v>2014</v>
      </c>
      <c r="B167" s="880">
        <f>B247+B287+B327+B1047</f>
        <v>894.93</v>
      </c>
      <c r="C167" s="880">
        <f t="shared" ref="C167:M167" si="184">C247+C287+C327+C1047</f>
        <v>871.65</v>
      </c>
      <c r="D167" s="880">
        <f t="shared" si="184"/>
        <v>895.28</v>
      </c>
      <c r="E167" s="880">
        <f t="shared" si="184"/>
        <v>770.20999999999992</v>
      </c>
      <c r="F167" s="880">
        <f t="shared" si="184"/>
        <v>801.42</v>
      </c>
      <c r="G167" s="880">
        <f t="shared" si="184"/>
        <v>804.29</v>
      </c>
      <c r="H167" s="880">
        <f t="shared" si="184"/>
        <v>803.99</v>
      </c>
      <c r="I167" s="880">
        <f t="shared" si="184"/>
        <v>803.9799999999999</v>
      </c>
      <c r="J167" s="880">
        <f t="shared" si="184"/>
        <v>791.18</v>
      </c>
      <c r="K167" s="880">
        <f t="shared" si="184"/>
        <v>782.20999999999992</v>
      </c>
      <c r="L167" s="880">
        <f t="shared" si="184"/>
        <v>754.17</v>
      </c>
      <c r="M167" s="880">
        <f t="shared" si="184"/>
        <v>1370.59</v>
      </c>
      <c r="N167" s="25">
        <f t="shared" ref="N167:N184" si="185">SUM(B167:M167)</f>
        <v>10343.9</v>
      </c>
    </row>
    <row r="168" spans="1:14">
      <c r="A168" s="2">
        <f t="shared" si="181"/>
        <v>2015</v>
      </c>
      <c r="B168" s="880">
        <f t="shared" ref="B168:M168" si="186">B248+B288+B328+B1048</f>
        <v>1376.05</v>
      </c>
      <c r="C168" s="880">
        <f t="shared" si="186"/>
        <v>1355.6699999999998</v>
      </c>
      <c r="D168" s="880">
        <f t="shared" si="186"/>
        <v>1397.3</v>
      </c>
      <c r="E168" s="880">
        <f t="shared" si="186"/>
        <v>770.18999999999994</v>
      </c>
      <c r="F168" s="880">
        <f t="shared" si="186"/>
        <v>803.54</v>
      </c>
      <c r="G168" s="880">
        <f t="shared" si="186"/>
        <v>806.44999999999993</v>
      </c>
      <c r="H168" s="880">
        <f t="shared" si="186"/>
        <v>806.1099999999999</v>
      </c>
      <c r="I168" s="880">
        <f t="shared" si="186"/>
        <v>806.06</v>
      </c>
      <c r="J168" s="880">
        <f t="shared" si="186"/>
        <v>791.39</v>
      </c>
      <c r="K168" s="880">
        <f t="shared" si="186"/>
        <v>783.29</v>
      </c>
      <c r="L168" s="880">
        <f t="shared" si="186"/>
        <v>756.18999999999994</v>
      </c>
      <c r="M168" s="880">
        <f t="shared" si="186"/>
        <v>1373.7</v>
      </c>
      <c r="N168" s="25">
        <f t="shared" si="185"/>
        <v>11825.94</v>
      </c>
    </row>
    <row r="169" spans="1:14">
      <c r="A169" s="2">
        <f t="shared" si="181"/>
        <v>2016</v>
      </c>
      <c r="B169" s="880">
        <f t="shared" ref="B169:M169" si="187">B249+B289+B329+B1049</f>
        <v>1378.27</v>
      </c>
      <c r="C169" s="880">
        <f t="shared" si="187"/>
        <v>1356.7</v>
      </c>
      <c r="D169" s="880">
        <f t="shared" si="187"/>
        <v>1399.4099999999999</v>
      </c>
      <c r="E169" s="880">
        <f t="shared" si="187"/>
        <v>770.27</v>
      </c>
      <c r="F169" s="880">
        <f t="shared" si="187"/>
        <v>805.67</v>
      </c>
      <c r="G169" s="880">
        <f t="shared" si="187"/>
        <v>658.62</v>
      </c>
      <c r="H169" s="880">
        <f t="shared" si="187"/>
        <v>658.32999999999993</v>
      </c>
      <c r="I169" s="880">
        <f t="shared" si="187"/>
        <v>658.23</v>
      </c>
      <c r="J169" s="880">
        <f t="shared" si="187"/>
        <v>641.51</v>
      </c>
      <c r="K169" s="880">
        <f t="shared" si="187"/>
        <v>634.34999999999991</v>
      </c>
      <c r="L169" s="880">
        <f t="shared" si="187"/>
        <v>608.27</v>
      </c>
      <c r="M169" s="880">
        <f t="shared" si="187"/>
        <v>1226.83</v>
      </c>
      <c r="N169" s="25">
        <f t="shared" si="185"/>
        <v>10796.460000000001</v>
      </c>
    </row>
    <row r="170" spans="1:14">
      <c r="A170" s="2">
        <f t="shared" si="181"/>
        <v>2017</v>
      </c>
      <c r="B170" s="880">
        <f t="shared" ref="B170:M170" si="188">B250+B290+B330+B1050</f>
        <v>1087.6599999999999</v>
      </c>
      <c r="C170" s="880">
        <f t="shared" si="188"/>
        <v>1085.94</v>
      </c>
      <c r="D170" s="880">
        <f t="shared" si="188"/>
        <v>1084.3899999999999</v>
      </c>
      <c r="E170" s="880">
        <f t="shared" si="188"/>
        <v>483.62</v>
      </c>
      <c r="F170" s="880">
        <f t="shared" si="188"/>
        <v>486.38</v>
      </c>
      <c r="G170" s="880">
        <f t="shared" si="188"/>
        <v>589.04</v>
      </c>
      <c r="H170" s="880">
        <f t="shared" si="188"/>
        <v>587.54</v>
      </c>
      <c r="I170" s="880">
        <f t="shared" si="188"/>
        <v>587.17999999999995</v>
      </c>
      <c r="J170" s="880">
        <f t="shared" si="188"/>
        <v>586.57999999999993</v>
      </c>
      <c r="K170" s="880">
        <f t="shared" si="188"/>
        <v>485.45</v>
      </c>
      <c r="L170" s="880">
        <f t="shared" si="188"/>
        <v>481</v>
      </c>
      <c r="M170" s="880">
        <f t="shared" si="188"/>
        <v>1085.53</v>
      </c>
      <c r="N170" s="25">
        <f t="shared" si="185"/>
        <v>8630.31</v>
      </c>
    </row>
    <row r="171" spans="1:14">
      <c r="A171" s="2">
        <f t="shared" si="181"/>
        <v>2018</v>
      </c>
      <c r="B171" s="880">
        <f t="shared" ref="B171:M171" si="189">B251+B291+B331+B1051</f>
        <v>1087.8499999999999</v>
      </c>
      <c r="C171" s="880">
        <f t="shared" si="189"/>
        <v>1085.94</v>
      </c>
      <c r="D171" s="880">
        <f t="shared" si="189"/>
        <v>1084.53</v>
      </c>
      <c r="E171" s="880">
        <f t="shared" si="189"/>
        <v>483.75</v>
      </c>
      <c r="F171" s="880">
        <f t="shared" si="189"/>
        <v>486.48</v>
      </c>
      <c r="G171" s="880">
        <f t="shared" si="189"/>
        <v>589.16999999999996</v>
      </c>
      <c r="H171" s="880">
        <f t="shared" si="189"/>
        <v>587.64</v>
      </c>
      <c r="I171" s="880">
        <f t="shared" si="189"/>
        <v>587.21999999999991</v>
      </c>
      <c r="J171" s="880">
        <f t="shared" si="189"/>
        <v>586.6099999999999</v>
      </c>
      <c r="K171" s="880">
        <f t="shared" si="189"/>
        <v>485.48</v>
      </c>
      <c r="L171" s="880">
        <f t="shared" si="189"/>
        <v>481.05</v>
      </c>
      <c r="M171" s="880">
        <f t="shared" si="189"/>
        <v>1085.8</v>
      </c>
      <c r="N171" s="25">
        <f t="shared" si="185"/>
        <v>8631.52</v>
      </c>
    </row>
    <row r="172" spans="1:14">
      <c r="A172" s="2">
        <f t="shared" si="181"/>
        <v>2019</v>
      </c>
      <c r="B172" s="880">
        <f t="shared" ref="B172:M172" si="190">B252+B292+B332+B1052</f>
        <v>1088.05</v>
      </c>
      <c r="C172" s="880">
        <f t="shared" si="190"/>
        <v>1086.07</v>
      </c>
      <c r="D172" s="880">
        <f t="shared" si="190"/>
        <v>1084.6599999999999</v>
      </c>
      <c r="E172" s="880">
        <f t="shared" si="190"/>
        <v>483.8</v>
      </c>
      <c r="F172" s="880">
        <f t="shared" si="190"/>
        <v>486.57</v>
      </c>
      <c r="G172" s="880">
        <f t="shared" si="190"/>
        <v>839.21999999999991</v>
      </c>
      <c r="H172" s="880">
        <f t="shared" si="190"/>
        <v>837.7299999999999</v>
      </c>
      <c r="I172" s="880">
        <f t="shared" si="190"/>
        <v>837.27</v>
      </c>
      <c r="J172" s="880">
        <f t="shared" si="190"/>
        <v>836.71999999999991</v>
      </c>
      <c r="K172" s="880">
        <f t="shared" si="190"/>
        <v>735.6099999999999</v>
      </c>
      <c r="L172" s="880">
        <f t="shared" si="190"/>
        <v>731.18</v>
      </c>
      <c r="M172" s="880">
        <f t="shared" si="190"/>
        <v>1335.8999999999999</v>
      </c>
      <c r="N172" s="25">
        <f t="shared" si="185"/>
        <v>10382.779999999999</v>
      </c>
    </row>
    <row r="173" spans="1:14">
      <c r="A173" s="2">
        <f t="shared" si="181"/>
        <v>2020</v>
      </c>
      <c r="B173" s="880">
        <f t="shared" ref="B173:M173" si="191">B253+B293+B333+B1053</f>
        <v>1338.24</v>
      </c>
      <c r="C173" s="880">
        <f t="shared" si="191"/>
        <v>1336.07</v>
      </c>
      <c r="D173" s="880">
        <f t="shared" si="191"/>
        <v>1334.7</v>
      </c>
      <c r="E173" s="880">
        <f t="shared" si="191"/>
        <v>733.84999999999991</v>
      </c>
      <c r="F173" s="880">
        <f t="shared" si="191"/>
        <v>736.67</v>
      </c>
      <c r="G173" s="880">
        <f t="shared" si="191"/>
        <v>839.3599999999999</v>
      </c>
      <c r="H173" s="880">
        <f t="shared" si="191"/>
        <v>837.92</v>
      </c>
      <c r="I173" s="880">
        <f t="shared" si="191"/>
        <v>837.41</v>
      </c>
      <c r="J173" s="880">
        <f t="shared" si="191"/>
        <v>836.75</v>
      </c>
      <c r="K173" s="880">
        <f t="shared" si="191"/>
        <v>735.74</v>
      </c>
      <c r="L173" s="880">
        <f t="shared" si="191"/>
        <v>731.2299999999999</v>
      </c>
      <c r="M173" s="880">
        <f t="shared" si="191"/>
        <v>1336.09</v>
      </c>
      <c r="N173" s="25">
        <f t="shared" si="185"/>
        <v>11634.03</v>
      </c>
    </row>
    <row r="174" spans="1:14">
      <c r="A174" s="2">
        <f t="shared" si="181"/>
        <v>2021</v>
      </c>
      <c r="B174" s="880">
        <f t="shared" ref="B174:M174" si="192">B254+B294+B334+B1054</f>
        <v>1338.34</v>
      </c>
      <c r="C174" s="880">
        <f t="shared" si="192"/>
        <v>1336.1599999999999</v>
      </c>
      <c r="D174" s="880">
        <f t="shared" si="192"/>
        <v>1334.82</v>
      </c>
      <c r="E174" s="880">
        <f t="shared" si="192"/>
        <v>733.9799999999999</v>
      </c>
      <c r="F174" s="880">
        <f t="shared" si="192"/>
        <v>736.77</v>
      </c>
      <c r="G174" s="880">
        <f t="shared" si="192"/>
        <v>739.41</v>
      </c>
      <c r="H174" s="880">
        <f t="shared" si="192"/>
        <v>737.92</v>
      </c>
      <c r="I174" s="880">
        <f t="shared" si="192"/>
        <v>737.44999999999993</v>
      </c>
      <c r="J174" s="880">
        <f t="shared" si="192"/>
        <v>736.77</v>
      </c>
      <c r="K174" s="880">
        <f t="shared" si="192"/>
        <v>735.78</v>
      </c>
      <c r="L174" s="880">
        <f t="shared" si="192"/>
        <v>731.37</v>
      </c>
      <c r="M174" s="880">
        <f t="shared" si="192"/>
        <v>1336.28</v>
      </c>
      <c r="N174" s="25">
        <f t="shared" si="185"/>
        <v>11235.050000000001</v>
      </c>
    </row>
    <row r="175" spans="1:14">
      <c r="A175" s="2">
        <f t="shared" si="181"/>
        <v>2022</v>
      </c>
      <c r="B175" s="880">
        <f t="shared" ref="B175:M175" si="193">B255+B295+B335+B1055</f>
        <v>1338.53</v>
      </c>
      <c r="C175" s="880">
        <f t="shared" si="193"/>
        <v>1336.1599999999999</v>
      </c>
      <c r="D175" s="880">
        <f t="shared" si="193"/>
        <v>1334.86</v>
      </c>
      <c r="E175" s="880">
        <f t="shared" si="193"/>
        <v>734.03</v>
      </c>
      <c r="F175" s="880">
        <f t="shared" si="193"/>
        <v>736.77</v>
      </c>
      <c r="G175" s="880">
        <f t="shared" si="193"/>
        <v>739.44999999999993</v>
      </c>
      <c r="H175" s="880">
        <f t="shared" si="193"/>
        <v>738.09999999999991</v>
      </c>
      <c r="I175" s="880">
        <f t="shared" si="193"/>
        <v>737.58999999999992</v>
      </c>
      <c r="J175" s="880">
        <f t="shared" si="193"/>
        <v>736.79</v>
      </c>
      <c r="K175" s="880">
        <f t="shared" si="193"/>
        <v>735.99</v>
      </c>
      <c r="L175" s="880">
        <f t="shared" si="193"/>
        <v>731.42</v>
      </c>
      <c r="M175" s="880">
        <f t="shared" si="193"/>
        <v>1336.46</v>
      </c>
      <c r="N175" s="25">
        <f t="shared" si="185"/>
        <v>11236.149999999998</v>
      </c>
    </row>
    <row r="176" spans="1:14">
      <c r="A176" s="2">
        <f t="shared" si="181"/>
        <v>2023</v>
      </c>
      <c r="B176" s="880">
        <f t="shared" ref="B176:M176" si="194">B256+B296+B336+B1056</f>
        <v>1338.72</v>
      </c>
      <c r="C176" s="880">
        <f t="shared" si="194"/>
        <v>1336.25</v>
      </c>
      <c r="D176" s="880">
        <f t="shared" si="194"/>
        <v>1334.8999999999999</v>
      </c>
      <c r="E176" s="880">
        <f t="shared" si="194"/>
        <v>734.17</v>
      </c>
      <c r="F176" s="880">
        <f t="shared" si="194"/>
        <v>736.8599999999999</v>
      </c>
      <c r="G176" s="880">
        <f t="shared" si="194"/>
        <v>739.58999999999992</v>
      </c>
      <c r="H176" s="880">
        <f t="shared" si="194"/>
        <v>738.18999999999994</v>
      </c>
      <c r="I176" s="880">
        <f t="shared" si="194"/>
        <v>737.7299999999999</v>
      </c>
      <c r="J176" s="880">
        <f t="shared" si="194"/>
        <v>736.81999999999994</v>
      </c>
      <c r="K176" s="880">
        <f t="shared" si="194"/>
        <v>736.13</v>
      </c>
      <c r="L176" s="880">
        <f t="shared" si="194"/>
        <v>731.64</v>
      </c>
      <c r="M176" s="880">
        <f t="shared" si="194"/>
        <v>1336.6599999999999</v>
      </c>
      <c r="N176" s="25">
        <f t="shared" si="185"/>
        <v>11237.659999999998</v>
      </c>
    </row>
    <row r="177" spans="1:14">
      <c r="A177" s="2">
        <f t="shared" si="181"/>
        <v>2024</v>
      </c>
      <c r="B177" s="880">
        <f t="shared" ref="B177:M177" si="195">B257+B297+B337+B1057</f>
        <v>1338.82</v>
      </c>
      <c r="C177" s="880">
        <f t="shared" si="195"/>
        <v>1336.34</v>
      </c>
      <c r="D177" s="880">
        <f t="shared" si="195"/>
        <v>1335.03</v>
      </c>
      <c r="E177" s="880">
        <f t="shared" si="195"/>
        <v>734.21999999999991</v>
      </c>
      <c r="F177" s="880">
        <f t="shared" si="195"/>
        <v>736.95999999999992</v>
      </c>
      <c r="G177" s="880">
        <f t="shared" si="195"/>
        <v>739.64</v>
      </c>
      <c r="H177" s="880">
        <f t="shared" si="195"/>
        <v>738.32999999999993</v>
      </c>
      <c r="I177" s="880">
        <f t="shared" si="195"/>
        <v>737.8599999999999</v>
      </c>
      <c r="J177" s="880">
        <f t="shared" si="195"/>
        <v>736.93</v>
      </c>
      <c r="K177" s="880">
        <f t="shared" si="195"/>
        <v>736.17</v>
      </c>
      <c r="L177" s="880">
        <f t="shared" si="195"/>
        <v>731.68999999999994</v>
      </c>
      <c r="M177" s="880">
        <f t="shared" si="195"/>
        <v>1336.76</v>
      </c>
      <c r="N177" s="25">
        <f t="shared" si="185"/>
        <v>11238.75</v>
      </c>
    </row>
    <row r="178" spans="1:14">
      <c r="A178" s="2">
        <f t="shared" si="181"/>
        <v>2025</v>
      </c>
      <c r="B178" s="880">
        <f t="shared" ref="B178:M178" si="196">B258+B298+B338+B1058</f>
        <v>1339</v>
      </c>
      <c r="C178" s="880">
        <f t="shared" si="196"/>
        <v>1336.52</v>
      </c>
      <c r="D178" s="880">
        <f t="shared" si="196"/>
        <v>1335.07</v>
      </c>
      <c r="E178" s="880">
        <f t="shared" si="196"/>
        <v>734.26</v>
      </c>
      <c r="F178" s="880">
        <f t="shared" si="196"/>
        <v>737.01</v>
      </c>
      <c r="G178" s="880">
        <f t="shared" si="196"/>
        <v>739.77</v>
      </c>
      <c r="H178" s="880">
        <f t="shared" si="196"/>
        <v>738.45999999999992</v>
      </c>
      <c r="I178" s="880">
        <f t="shared" si="196"/>
        <v>738</v>
      </c>
      <c r="J178" s="880">
        <f t="shared" si="196"/>
        <v>736.95999999999992</v>
      </c>
      <c r="K178" s="880">
        <f t="shared" si="196"/>
        <v>736.3</v>
      </c>
      <c r="L178" s="880">
        <f t="shared" si="196"/>
        <v>731.81999999999994</v>
      </c>
      <c r="M178" s="880">
        <f t="shared" si="196"/>
        <v>1336.85</v>
      </c>
      <c r="N178" s="25">
        <f t="shared" si="185"/>
        <v>11240.02</v>
      </c>
    </row>
    <row r="179" spans="1:14">
      <c r="A179" s="2">
        <f t="shared" si="181"/>
        <v>2026</v>
      </c>
      <c r="B179" s="880">
        <f t="shared" ref="B179:M179" si="197">B259+B299+B339+B1059</f>
        <v>1339.19</v>
      </c>
      <c r="C179" s="880">
        <f t="shared" si="197"/>
        <v>1336.61</v>
      </c>
      <c r="D179" s="880">
        <f t="shared" si="197"/>
        <v>1335.2</v>
      </c>
      <c r="E179" s="880">
        <f t="shared" si="197"/>
        <v>734.31</v>
      </c>
      <c r="F179" s="880">
        <f t="shared" si="197"/>
        <v>737.05</v>
      </c>
      <c r="G179" s="880">
        <f t="shared" si="197"/>
        <v>739.91</v>
      </c>
      <c r="H179" s="880">
        <f t="shared" si="197"/>
        <v>738.58999999999992</v>
      </c>
      <c r="I179" s="880">
        <f t="shared" si="197"/>
        <v>738.15</v>
      </c>
      <c r="J179" s="880">
        <f t="shared" si="197"/>
        <v>737.06999999999994</v>
      </c>
      <c r="K179" s="880">
        <f t="shared" si="197"/>
        <v>736.32999999999993</v>
      </c>
      <c r="L179" s="880">
        <f t="shared" si="197"/>
        <v>731.87</v>
      </c>
      <c r="M179" s="880">
        <f t="shared" si="197"/>
        <v>1336.95</v>
      </c>
      <c r="N179" s="25">
        <f t="shared" si="185"/>
        <v>11241.230000000001</v>
      </c>
    </row>
    <row r="180" spans="1:14">
      <c r="A180" s="2">
        <f t="shared" si="181"/>
        <v>2027</v>
      </c>
      <c r="B180" s="880">
        <f t="shared" ref="B180:M180" si="198">B260+B300+B340+B1060</f>
        <v>1339.3799999999999</v>
      </c>
      <c r="C180" s="880">
        <f t="shared" si="198"/>
        <v>1336.61</v>
      </c>
      <c r="D180" s="880">
        <f t="shared" si="198"/>
        <v>1335.24</v>
      </c>
      <c r="E180" s="880">
        <f t="shared" si="198"/>
        <v>734.55</v>
      </c>
      <c r="F180" s="880">
        <f t="shared" si="198"/>
        <v>737.08999999999992</v>
      </c>
      <c r="G180" s="880">
        <f t="shared" si="198"/>
        <v>740.05</v>
      </c>
      <c r="H180" s="880">
        <f t="shared" si="198"/>
        <v>738.71999999999991</v>
      </c>
      <c r="I180" s="880">
        <f t="shared" si="198"/>
        <v>738.28</v>
      </c>
      <c r="J180" s="880">
        <f t="shared" si="198"/>
        <v>737.18</v>
      </c>
      <c r="K180" s="880">
        <f t="shared" si="198"/>
        <v>736.37</v>
      </c>
      <c r="L180" s="880">
        <f t="shared" si="198"/>
        <v>732.01</v>
      </c>
      <c r="M180" s="880">
        <f t="shared" si="198"/>
        <v>1337.1399999999999</v>
      </c>
      <c r="N180" s="25">
        <f t="shared" si="185"/>
        <v>11242.62</v>
      </c>
    </row>
    <row r="181" spans="1:14">
      <c r="A181" s="2">
        <f t="shared" si="181"/>
        <v>2028</v>
      </c>
      <c r="B181" s="880">
        <f t="shared" ref="B181:M181" si="199">B261+B301+B341+B1061</f>
        <v>1339.57</v>
      </c>
      <c r="C181" s="880">
        <f t="shared" si="199"/>
        <v>1336.7</v>
      </c>
      <c r="D181" s="880">
        <f t="shared" si="199"/>
        <v>1335.36</v>
      </c>
      <c r="E181" s="880">
        <f t="shared" si="199"/>
        <v>734.59999999999991</v>
      </c>
      <c r="F181" s="880">
        <f t="shared" si="199"/>
        <v>737.13</v>
      </c>
      <c r="G181" s="880">
        <f t="shared" si="199"/>
        <v>740.08999999999992</v>
      </c>
      <c r="H181" s="880">
        <f t="shared" si="199"/>
        <v>738.76</v>
      </c>
      <c r="I181" s="880">
        <f t="shared" si="199"/>
        <v>738.32999999999993</v>
      </c>
      <c r="J181" s="880">
        <f t="shared" si="199"/>
        <v>737.3</v>
      </c>
      <c r="K181" s="880">
        <f t="shared" si="199"/>
        <v>736.41</v>
      </c>
      <c r="L181" s="880">
        <f t="shared" si="199"/>
        <v>732.05</v>
      </c>
      <c r="M181" s="880">
        <f t="shared" si="199"/>
        <v>1337.33</v>
      </c>
      <c r="N181" s="25">
        <f t="shared" si="185"/>
        <v>11243.63</v>
      </c>
    </row>
    <row r="182" spans="1:14">
      <c r="A182" s="2">
        <f t="shared" si="181"/>
        <v>2029</v>
      </c>
      <c r="B182" s="880">
        <f t="shared" ref="B182:M182" si="200">B262+B302+B342+B1062</f>
        <v>1339.76</v>
      </c>
      <c r="C182" s="880">
        <f t="shared" si="200"/>
        <v>1336.7</v>
      </c>
      <c r="D182" s="880">
        <f t="shared" si="200"/>
        <v>1335.49</v>
      </c>
      <c r="E182" s="880">
        <f t="shared" si="200"/>
        <v>734.64</v>
      </c>
      <c r="F182" s="880">
        <f t="shared" si="200"/>
        <v>737.25</v>
      </c>
      <c r="G182" s="880">
        <f t="shared" si="200"/>
        <v>740.2299999999999</v>
      </c>
      <c r="H182" s="880">
        <f t="shared" si="200"/>
        <v>738.89</v>
      </c>
      <c r="I182" s="880">
        <f t="shared" si="200"/>
        <v>738.46999999999991</v>
      </c>
      <c r="J182" s="880">
        <f t="shared" si="200"/>
        <v>737.41</v>
      </c>
      <c r="K182" s="880">
        <f t="shared" si="200"/>
        <v>736.54</v>
      </c>
      <c r="L182" s="880">
        <f t="shared" si="200"/>
        <v>732.18999999999994</v>
      </c>
      <c r="M182" s="880">
        <f t="shared" si="200"/>
        <v>1337.4199999999998</v>
      </c>
      <c r="N182" s="25">
        <f t="shared" si="185"/>
        <v>11244.990000000002</v>
      </c>
    </row>
    <row r="183" spans="1:14">
      <c r="A183" s="2">
        <f t="shared" si="181"/>
        <v>2030</v>
      </c>
      <c r="B183" s="880">
        <f t="shared" ref="B183:M183" si="201">B263+B303+B343+B1063</f>
        <v>1339.86</v>
      </c>
      <c r="C183" s="880">
        <f t="shared" si="201"/>
        <v>1336.79</v>
      </c>
      <c r="D183" s="880">
        <f t="shared" si="201"/>
        <v>1335.53</v>
      </c>
      <c r="E183" s="880">
        <f t="shared" si="201"/>
        <v>734.78</v>
      </c>
      <c r="F183" s="880">
        <f t="shared" si="201"/>
        <v>737.29</v>
      </c>
      <c r="G183" s="880">
        <f t="shared" si="201"/>
        <v>740.37</v>
      </c>
      <c r="H183" s="880">
        <f t="shared" si="201"/>
        <v>739.02</v>
      </c>
      <c r="I183" s="880">
        <f t="shared" si="201"/>
        <v>738.59999999999991</v>
      </c>
      <c r="J183" s="880">
        <f t="shared" si="201"/>
        <v>737.52</v>
      </c>
      <c r="K183" s="880">
        <f t="shared" si="201"/>
        <v>736.57999999999993</v>
      </c>
      <c r="L183" s="880">
        <f t="shared" si="201"/>
        <v>732.2299999999999</v>
      </c>
      <c r="M183" s="880">
        <f t="shared" si="201"/>
        <v>1337.61</v>
      </c>
      <c r="N183" s="25">
        <f t="shared" si="185"/>
        <v>11246.18</v>
      </c>
    </row>
    <row r="184" spans="1:14">
      <c r="A184" s="2">
        <f t="shared" si="181"/>
        <v>2031</v>
      </c>
      <c r="B184" s="880">
        <f t="shared" ref="B184:M184" si="202">B264+B304+B344+B1064</f>
        <v>1340.02</v>
      </c>
      <c r="C184" s="880">
        <f t="shared" si="202"/>
        <v>1336.84</v>
      </c>
      <c r="D184" s="880">
        <f t="shared" si="202"/>
        <v>1335.57</v>
      </c>
      <c r="E184" s="880">
        <f t="shared" si="202"/>
        <v>734.82999999999993</v>
      </c>
      <c r="F184" s="880">
        <f t="shared" si="202"/>
        <v>737.31</v>
      </c>
      <c r="G184" s="880">
        <f t="shared" si="202"/>
        <v>740.38</v>
      </c>
      <c r="H184" s="880">
        <f t="shared" si="202"/>
        <v>739</v>
      </c>
      <c r="I184" s="880">
        <f t="shared" si="202"/>
        <v>738.58999999999992</v>
      </c>
      <c r="J184" s="880">
        <f t="shared" si="202"/>
        <v>737.56</v>
      </c>
      <c r="K184" s="880">
        <f t="shared" si="202"/>
        <v>736.67</v>
      </c>
      <c r="L184" s="880">
        <f t="shared" si="202"/>
        <v>732.3</v>
      </c>
      <c r="M184" s="880">
        <f t="shared" si="202"/>
        <v>1337.74</v>
      </c>
      <c r="N184" s="25">
        <f t="shared" si="185"/>
        <v>11246.81</v>
      </c>
    </row>
    <row r="185" spans="1:14">
      <c r="A185" s="2">
        <f t="shared" si="181"/>
        <v>2032</v>
      </c>
      <c r="B185" s="880">
        <f t="shared" ref="B185:M185" si="203">B265+B305+B345+B1065</f>
        <v>1340.1699999999998</v>
      </c>
      <c r="C185" s="880">
        <f t="shared" si="203"/>
        <v>1336.8899999999999</v>
      </c>
      <c r="D185" s="880">
        <f t="shared" si="203"/>
        <v>1335.6499999999999</v>
      </c>
      <c r="E185" s="880">
        <f t="shared" si="203"/>
        <v>734.88</v>
      </c>
      <c r="F185" s="880">
        <f t="shared" si="203"/>
        <v>737.3599999999999</v>
      </c>
      <c r="G185" s="880">
        <f t="shared" si="203"/>
        <v>740.46999999999991</v>
      </c>
      <c r="H185" s="880">
        <f t="shared" si="203"/>
        <v>739.08999999999992</v>
      </c>
      <c r="I185" s="880">
        <f t="shared" si="203"/>
        <v>738.69999999999993</v>
      </c>
      <c r="J185" s="880">
        <f t="shared" si="203"/>
        <v>737.64</v>
      </c>
      <c r="K185" s="880">
        <f t="shared" si="203"/>
        <v>736.75</v>
      </c>
      <c r="L185" s="880">
        <f t="shared" si="203"/>
        <v>732.38</v>
      </c>
      <c r="M185" s="880">
        <f t="shared" si="203"/>
        <v>1337.8799999999999</v>
      </c>
      <c r="N185" s="25">
        <f t="shared" ref="N185:N193" si="204">AVERAGE(B185:M185)</f>
        <v>937.32166666666637</v>
      </c>
    </row>
    <row r="186" spans="1:14">
      <c r="A186" s="2">
        <f t="shared" si="181"/>
        <v>2033</v>
      </c>
      <c r="B186" s="880">
        <f t="shared" ref="B186:M186" si="205">B266+B306+B346+B1066</f>
        <v>1340.33</v>
      </c>
      <c r="C186" s="880">
        <f t="shared" si="205"/>
        <v>1336.93</v>
      </c>
      <c r="D186" s="880">
        <f t="shared" si="205"/>
        <v>1335.73</v>
      </c>
      <c r="E186" s="880">
        <f t="shared" si="205"/>
        <v>734.92</v>
      </c>
      <c r="F186" s="880">
        <f t="shared" si="205"/>
        <v>737.42</v>
      </c>
      <c r="G186" s="880">
        <f t="shared" si="205"/>
        <v>740.56</v>
      </c>
      <c r="H186" s="880">
        <f t="shared" si="205"/>
        <v>739.18</v>
      </c>
      <c r="I186" s="880">
        <f t="shared" si="205"/>
        <v>738.79</v>
      </c>
      <c r="J186" s="880">
        <f t="shared" si="205"/>
        <v>737.71999999999991</v>
      </c>
      <c r="K186" s="880">
        <f t="shared" si="205"/>
        <v>736.82999999999993</v>
      </c>
      <c r="L186" s="880">
        <f t="shared" si="205"/>
        <v>732.46999999999991</v>
      </c>
      <c r="M186" s="880">
        <f t="shared" si="205"/>
        <v>1338.03</v>
      </c>
      <c r="N186" s="25">
        <f t="shared" si="204"/>
        <v>937.40916666666669</v>
      </c>
    </row>
    <row r="187" spans="1:14">
      <c r="A187" s="2">
        <f t="shared" si="181"/>
        <v>2034</v>
      </c>
      <c r="B187" s="880">
        <f t="shared" ref="B187:M187" si="206">B267+B307+B347+B1067</f>
        <v>1340.5</v>
      </c>
      <c r="C187" s="880">
        <f t="shared" si="206"/>
        <v>1336.98</v>
      </c>
      <c r="D187" s="880">
        <f t="shared" si="206"/>
        <v>1335.79</v>
      </c>
      <c r="E187" s="880">
        <f t="shared" si="206"/>
        <v>734.93999999999994</v>
      </c>
      <c r="F187" s="880">
        <f t="shared" si="206"/>
        <v>737.46999999999991</v>
      </c>
      <c r="G187" s="880">
        <f t="shared" si="206"/>
        <v>740.66</v>
      </c>
      <c r="H187" s="880">
        <f t="shared" si="206"/>
        <v>739.27</v>
      </c>
      <c r="I187" s="880">
        <f t="shared" si="206"/>
        <v>738.89</v>
      </c>
      <c r="J187" s="880">
        <f t="shared" si="206"/>
        <v>737.8</v>
      </c>
      <c r="K187" s="880">
        <f t="shared" si="206"/>
        <v>736.91</v>
      </c>
      <c r="L187" s="880">
        <f t="shared" si="206"/>
        <v>732.56999999999994</v>
      </c>
      <c r="M187" s="880">
        <f t="shared" si="206"/>
        <v>1338.18</v>
      </c>
      <c r="N187" s="25">
        <f t="shared" si="204"/>
        <v>937.49666666666678</v>
      </c>
    </row>
    <row r="188" spans="1:14">
      <c r="A188" s="2">
        <f t="shared" si="181"/>
        <v>2035</v>
      </c>
      <c r="B188" s="880">
        <f t="shared" ref="B188:M188" si="207">B268+B308+B348+B1068</f>
        <v>1340.6599999999999</v>
      </c>
      <c r="C188" s="880">
        <f t="shared" si="207"/>
        <v>1337.03</v>
      </c>
      <c r="D188" s="880">
        <f t="shared" si="207"/>
        <v>1335.87</v>
      </c>
      <c r="E188" s="880">
        <f t="shared" si="207"/>
        <v>735.01</v>
      </c>
      <c r="F188" s="880">
        <f t="shared" si="207"/>
        <v>737.52</v>
      </c>
      <c r="G188" s="880">
        <f t="shared" si="207"/>
        <v>740.75</v>
      </c>
      <c r="H188" s="880">
        <f t="shared" si="207"/>
        <v>739.3599999999999</v>
      </c>
      <c r="I188" s="880">
        <f t="shared" si="207"/>
        <v>738.99</v>
      </c>
      <c r="J188" s="880">
        <f t="shared" si="207"/>
        <v>737.88</v>
      </c>
      <c r="K188" s="880">
        <f t="shared" si="207"/>
        <v>736.9799999999999</v>
      </c>
      <c r="L188" s="880">
        <f t="shared" si="207"/>
        <v>732.65</v>
      </c>
      <c r="M188" s="880">
        <f t="shared" si="207"/>
        <v>1338.34</v>
      </c>
      <c r="N188" s="25">
        <f t="shared" si="204"/>
        <v>937.58666666666659</v>
      </c>
    </row>
    <row r="189" spans="1:14">
      <c r="A189" s="2">
        <f t="shared" si="181"/>
        <v>2036</v>
      </c>
      <c r="B189" s="880">
        <f t="shared" ref="B189:M189" si="208">B269+B309+B349+B1069</f>
        <v>1340.83</v>
      </c>
      <c r="C189" s="880">
        <f t="shared" si="208"/>
        <v>1337.07</v>
      </c>
      <c r="D189" s="880">
        <f t="shared" si="208"/>
        <v>1335.95</v>
      </c>
      <c r="E189" s="880">
        <f t="shared" si="208"/>
        <v>735.12</v>
      </c>
      <c r="F189" s="880">
        <f t="shared" si="208"/>
        <v>737.56999999999994</v>
      </c>
      <c r="G189" s="880">
        <f t="shared" si="208"/>
        <v>740.84999999999991</v>
      </c>
      <c r="H189" s="880">
        <f t="shared" si="208"/>
        <v>739.45999999999992</v>
      </c>
      <c r="I189" s="880">
        <f t="shared" si="208"/>
        <v>739.09999999999991</v>
      </c>
      <c r="J189" s="880">
        <f t="shared" si="208"/>
        <v>737.96999999999991</v>
      </c>
      <c r="K189" s="880">
        <f t="shared" si="208"/>
        <v>737.06999999999994</v>
      </c>
      <c r="L189" s="880">
        <f t="shared" si="208"/>
        <v>732.74</v>
      </c>
      <c r="M189" s="880">
        <f t="shared" si="208"/>
        <v>1338.48</v>
      </c>
      <c r="N189" s="25">
        <f t="shared" si="204"/>
        <v>937.68416666666644</v>
      </c>
    </row>
    <row r="190" spans="1:14">
      <c r="A190" s="2">
        <f t="shared" si="181"/>
        <v>2037</v>
      </c>
      <c r="B190" s="880">
        <f t="shared" ref="B190:M190" si="209">B270+B310+B350+B1070</f>
        <v>1340.99</v>
      </c>
      <c r="C190" s="880">
        <f t="shared" si="209"/>
        <v>1337.12</v>
      </c>
      <c r="D190" s="880">
        <f t="shared" si="209"/>
        <v>1336.03</v>
      </c>
      <c r="E190" s="880">
        <f t="shared" si="209"/>
        <v>735.17</v>
      </c>
      <c r="F190" s="880">
        <f t="shared" si="209"/>
        <v>737.63</v>
      </c>
      <c r="G190" s="880">
        <f t="shared" si="209"/>
        <v>740.93999999999994</v>
      </c>
      <c r="H190" s="880">
        <f t="shared" si="209"/>
        <v>739.55</v>
      </c>
      <c r="I190" s="880">
        <f t="shared" si="209"/>
        <v>739.18999999999994</v>
      </c>
      <c r="J190" s="880">
        <f t="shared" si="209"/>
        <v>738.04</v>
      </c>
      <c r="K190" s="880">
        <f t="shared" si="209"/>
        <v>737.15</v>
      </c>
      <c r="L190" s="880">
        <f t="shared" si="209"/>
        <v>732.81999999999994</v>
      </c>
      <c r="M190" s="880">
        <f t="shared" si="209"/>
        <v>1338.6299999999999</v>
      </c>
      <c r="N190" s="25">
        <f t="shared" si="204"/>
        <v>937.77166666666653</v>
      </c>
    </row>
    <row r="191" spans="1:14">
      <c r="A191" s="2">
        <f t="shared" si="181"/>
        <v>2038</v>
      </c>
      <c r="B191" s="880">
        <f t="shared" ref="B191:M191" si="210">B271+B311+B351+B1071</f>
        <v>1341.1499999999999</v>
      </c>
      <c r="C191" s="880">
        <f t="shared" si="210"/>
        <v>1337.1699999999998</v>
      </c>
      <c r="D191" s="880">
        <f t="shared" si="210"/>
        <v>1336.11</v>
      </c>
      <c r="E191" s="880">
        <f t="shared" si="210"/>
        <v>735.21999999999991</v>
      </c>
      <c r="F191" s="880">
        <f t="shared" si="210"/>
        <v>737.68</v>
      </c>
      <c r="G191" s="880">
        <f t="shared" si="210"/>
        <v>741.04</v>
      </c>
      <c r="H191" s="880">
        <f t="shared" si="210"/>
        <v>739.63</v>
      </c>
      <c r="I191" s="880">
        <f t="shared" si="210"/>
        <v>739.29</v>
      </c>
      <c r="J191" s="880">
        <f t="shared" si="210"/>
        <v>738.13</v>
      </c>
      <c r="K191" s="880">
        <f t="shared" si="210"/>
        <v>737.2299999999999</v>
      </c>
      <c r="L191" s="880">
        <f t="shared" si="210"/>
        <v>732.92</v>
      </c>
      <c r="M191" s="880">
        <f t="shared" si="210"/>
        <v>1338.78</v>
      </c>
      <c r="N191" s="25">
        <f t="shared" si="204"/>
        <v>937.86250000000007</v>
      </c>
    </row>
    <row r="192" spans="1:14">
      <c r="A192" s="2">
        <f t="shared" si="181"/>
        <v>2039</v>
      </c>
      <c r="B192" s="880">
        <f t="shared" ref="B192:M192" si="211">B272+B312+B352+B1072</f>
        <v>1341.31</v>
      </c>
      <c r="C192" s="880">
        <f t="shared" si="211"/>
        <v>1337.21</v>
      </c>
      <c r="D192" s="880">
        <f t="shared" si="211"/>
        <v>1336.19</v>
      </c>
      <c r="E192" s="880">
        <f t="shared" si="211"/>
        <v>735.29</v>
      </c>
      <c r="F192" s="880">
        <f t="shared" si="211"/>
        <v>737.7299999999999</v>
      </c>
      <c r="G192" s="880">
        <f t="shared" si="211"/>
        <v>741.13</v>
      </c>
      <c r="H192" s="880">
        <f t="shared" si="211"/>
        <v>739.7299999999999</v>
      </c>
      <c r="I192" s="880">
        <f t="shared" si="211"/>
        <v>739.4</v>
      </c>
      <c r="J192" s="880">
        <f t="shared" si="211"/>
        <v>738.20999999999992</v>
      </c>
      <c r="K192" s="880">
        <f t="shared" si="211"/>
        <v>737.3</v>
      </c>
      <c r="L192" s="880">
        <f t="shared" si="211"/>
        <v>733</v>
      </c>
      <c r="M192" s="880">
        <f t="shared" si="211"/>
        <v>1338.9199999999998</v>
      </c>
      <c r="N192" s="25">
        <f t="shared" si="204"/>
        <v>937.95166666666648</v>
      </c>
    </row>
    <row r="193" spans="1:14">
      <c r="A193" s="2">
        <f t="shared" si="181"/>
        <v>2040</v>
      </c>
      <c r="B193" s="880">
        <f t="shared" ref="B193:M193" si="212">B273+B313+B353+B1073</f>
        <v>1341.47</v>
      </c>
      <c r="C193" s="880">
        <f t="shared" si="212"/>
        <v>1337.26</v>
      </c>
      <c r="D193" s="880">
        <f t="shared" si="212"/>
        <v>1336.27</v>
      </c>
      <c r="E193" s="880">
        <f t="shared" si="212"/>
        <v>735.3599999999999</v>
      </c>
      <c r="F193" s="880">
        <f t="shared" si="212"/>
        <v>737.79</v>
      </c>
      <c r="G193" s="880">
        <f t="shared" si="212"/>
        <v>741.21999999999991</v>
      </c>
      <c r="H193" s="880">
        <f t="shared" si="212"/>
        <v>739.81999999999994</v>
      </c>
      <c r="I193" s="880">
        <f t="shared" si="212"/>
        <v>739.49</v>
      </c>
      <c r="J193" s="880">
        <f t="shared" si="212"/>
        <v>738.28</v>
      </c>
      <c r="K193" s="880">
        <f t="shared" si="212"/>
        <v>737.38</v>
      </c>
      <c r="L193" s="880">
        <f t="shared" si="212"/>
        <v>733.08999999999992</v>
      </c>
      <c r="M193" s="880">
        <f t="shared" si="212"/>
        <v>1339.07</v>
      </c>
      <c r="N193" s="25">
        <f t="shared" si="204"/>
        <v>938.04166666666652</v>
      </c>
    </row>
    <row r="194" spans="1:14">
      <c r="A194" s="2">
        <f t="shared" si="181"/>
        <v>2041</v>
      </c>
      <c r="B194" s="880">
        <f t="shared" ref="B194:M194" si="213">B274+B314+B354+B1074</f>
        <v>0</v>
      </c>
      <c r="C194" s="880">
        <f t="shared" si="213"/>
        <v>0</v>
      </c>
      <c r="D194" s="880">
        <f t="shared" si="213"/>
        <v>0</v>
      </c>
      <c r="E194" s="880">
        <f t="shared" si="213"/>
        <v>0</v>
      </c>
      <c r="F194" s="880">
        <f t="shared" si="213"/>
        <v>0</v>
      </c>
      <c r="G194" s="880">
        <f t="shared" si="213"/>
        <v>0</v>
      </c>
      <c r="H194" s="880">
        <f t="shared" si="213"/>
        <v>0</v>
      </c>
      <c r="I194" s="880">
        <f t="shared" si="213"/>
        <v>0</v>
      </c>
      <c r="J194" s="880">
        <f t="shared" si="213"/>
        <v>0</v>
      </c>
      <c r="K194" s="880">
        <f t="shared" si="213"/>
        <v>0</v>
      </c>
      <c r="L194" s="880">
        <f t="shared" si="213"/>
        <v>0</v>
      </c>
      <c r="M194" s="880">
        <f t="shared" si="213"/>
        <v>0</v>
      </c>
      <c r="N194" s="25">
        <f>AVERAGE(B194:M194)</f>
        <v>0</v>
      </c>
    </row>
    <row r="195" spans="1:14">
      <c r="A195" s="2">
        <f t="shared" si="181"/>
        <v>2042</v>
      </c>
      <c r="B195" s="880">
        <f t="shared" ref="B195:M195" si="214">B275+B315+B355+B1075</f>
        <v>0</v>
      </c>
      <c r="C195" s="880">
        <f t="shared" si="214"/>
        <v>0</v>
      </c>
      <c r="D195" s="880">
        <f t="shared" si="214"/>
        <v>0</v>
      </c>
      <c r="E195" s="880">
        <f t="shared" si="214"/>
        <v>0</v>
      </c>
      <c r="F195" s="880">
        <f t="shared" si="214"/>
        <v>0</v>
      </c>
      <c r="G195" s="880">
        <f t="shared" si="214"/>
        <v>0</v>
      </c>
      <c r="H195" s="880">
        <f t="shared" si="214"/>
        <v>0</v>
      </c>
      <c r="I195" s="880">
        <f t="shared" si="214"/>
        <v>0</v>
      </c>
      <c r="J195" s="880">
        <f t="shared" si="214"/>
        <v>0</v>
      </c>
      <c r="K195" s="880">
        <f t="shared" si="214"/>
        <v>0</v>
      </c>
      <c r="L195" s="880">
        <f t="shared" si="214"/>
        <v>0</v>
      </c>
      <c r="M195" s="880">
        <f t="shared" si="214"/>
        <v>0</v>
      </c>
      <c r="N195" s="25">
        <f>AVERAGE(B195:M195)</f>
        <v>0</v>
      </c>
    </row>
    <row r="196" spans="1:14">
      <c r="A196" s="2">
        <f t="shared" si="181"/>
        <v>2043</v>
      </c>
      <c r="B196" s="880">
        <f t="shared" ref="B196:M196" si="215">B276+B316+B356+B1076</f>
        <v>0</v>
      </c>
      <c r="C196" s="880">
        <f t="shared" si="215"/>
        <v>0</v>
      </c>
      <c r="D196" s="880">
        <f t="shared" si="215"/>
        <v>0</v>
      </c>
      <c r="E196" s="880">
        <f t="shared" si="215"/>
        <v>0</v>
      </c>
      <c r="F196" s="880">
        <f t="shared" si="215"/>
        <v>0</v>
      </c>
      <c r="G196" s="880">
        <f t="shared" si="215"/>
        <v>0</v>
      </c>
      <c r="H196" s="880">
        <f t="shared" si="215"/>
        <v>0</v>
      </c>
      <c r="I196" s="880">
        <f t="shared" si="215"/>
        <v>0</v>
      </c>
      <c r="J196" s="880">
        <f t="shared" si="215"/>
        <v>0</v>
      </c>
      <c r="K196" s="880">
        <f t="shared" si="215"/>
        <v>0</v>
      </c>
      <c r="L196" s="880">
        <f t="shared" si="215"/>
        <v>0</v>
      </c>
      <c r="M196" s="880">
        <f t="shared" si="215"/>
        <v>0</v>
      </c>
      <c r="N196" s="25">
        <f>AVERAGE(B196:M196)</f>
        <v>0</v>
      </c>
    </row>
    <row r="197" spans="1:14">
      <c r="A197" s="2">
        <f t="shared" si="181"/>
        <v>2044</v>
      </c>
      <c r="B197" s="880">
        <f t="shared" ref="B197:M197" si="216">B277+B317+B357+B1077</f>
        <v>0</v>
      </c>
      <c r="C197" s="880">
        <f t="shared" si="216"/>
        <v>0</v>
      </c>
      <c r="D197" s="880">
        <f t="shared" si="216"/>
        <v>0</v>
      </c>
      <c r="E197" s="880">
        <f t="shared" si="216"/>
        <v>0</v>
      </c>
      <c r="F197" s="880">
        <f t="shared" si="216"/>
        <v>0</v>
      </c>
      <c r="G197" s="880">
        <f t="shared" si="216"/>
        <v>0</v>
      </c>
      <c r="H197" s="880">
        <f t="shared" si="216"/>
        <v>0</v>
      </c>
      <c r="I197" s="880">
        <f t="shared" si="216"/>
        <v>0</v>
      </c>
      <c r="J197" s="880">
        <f t="shared" si="216"/>
        <v>0</v>
      </c>
      <c r="K197" s="880">
        <f t="shared" si="216"/>
        <v>0</v>
      </c>
      <c r="L197" s="880">
        <f t="shared" si="216"/>
        <v>0</v>
      </c>
      <c r="M197" s="880">
        <f t="shared" si="216"/>
        <v>0</v>
      </c>
      <c r="N197" s="25">
        <f>AVERAGE(B197:M197)</f>
        <v>0</v>
      </c>
    </row>
    <row r="198" spans="1:14">
      <c r="A198" s="2">
        <f t="shared" si="181"/>
        <v>2045</v>
      </c>
      <c r="B198" s="880">
        <f t="shared" ref="B198:M198" si="217">B278+B318+B358+B1078</f>
        <v>0</v>
      </c>
      <c r="C198" s="880">
        <f t="shared" si="217"/>
        <v>0</v>
      </c>
      <c r="D198" s="880">
        <f t="shared" si="217"/>
        <v>0</v>
      </c>
      <c r="E198" s="880">
        <f t="shared" si="217"/>
        <v>0</v>
      </c>
      <c r="F198" s="880">
        <f t="shared" si="217"/>
        <v>0</v>
      </c>
      <c r="G198" s="880">
        <f t="shared" si="217"/>
        <v>0</v>
      </c>
      <c r="H198" s="880">
        <f t="shared" si="217"/>
        <v>0</v>
      </c>
      <c r="I198" s="880">
        <f t="shared" si="217"/>
        <v>0</v>
      </c>
      <c r="J198" s="880">
        <f t="shared" si="217"/>
        <v>0</v>
      </c>
      <c r="K198" s="880">
        <f t="shared" si="217"/>
        <v>0</v>
      </c>
      <c r="L198" s="880">
        <f t="shared" si="217"/>
        <v>0</v>
      </c>
      <c r="M198" s="880">
        <f t="shared" si="217"/>
        <v>0</v>
      </c>
      <c r="N198" s="25">
        <f>AVERAGE(B198:M198)</f>
        <v>0</v>
      </c>
    </row>
    <row r="201" spans="1:14">
      <c r="A201" s="31" t="s">
        <v>518</v>
      </c>
      <c r="D201" s="31" t="s">
        <v>589</v>
      </c>
    </row>
    <row r="202" spans="1:14">
      <c r="A202" s="27" t="s">
        <v>9</v>
      </c>
      <c r="B202" s="27" t="s">
        <v>28</v>
      </c>
      <c r="C202" s="27" t="s">
        <v>29</v>
      </c>
      <c r="D202" s="27" t="s">
        <v>30</v>
      </c>
      <c r="E202" s="27" t="s">
        <v>31</v>
      </c>
      <c r="F202" s="27" t="s">
        <v>32</v>
      </c>
      <c r="G202" s="27" t="s">
        <v>33</v>
      </c>
      <c r="H202" s="27" t="s">
        <v>34</v>
      </c>
      <c r="I202" s="27" t="s">
        <v>35</v>
      </c>
      <c r="J202" s="27" t="s">
        <v>36</v>
      </c>
      <c r="K202" s="27" t="s">
        <v>37</v>
      </c>
      <c r="L202" s="27" t="s">
        <v>38</v>
      </c>
      <c r="M202" s="27" t="s">
        <v>39</v>
      </c>
      <c r="N202" s="27" t="s">
        <v>53</v>
      </c>
    </row>
    <row r="203" spans="1:14">
      <c r="A203" s="2">
        <f>A123</f>
        <v>2010</v>
      </c>
      <c r="B203" s="34">
        <f t="shared" ref="B203:M203" si="218">B163-B1043+B1723</f>
        <v>2170.0030584747497</v>
      </c>
      <c r="C203" s="34">
        <f t="shared" si="218"/>
        <v>1335.2340584747496</v>
      </c>
      <c r="D203" s="34">
        <f t="shared" si="218"/>
        <v>1101.7030584747495</v>
      </c>
      <c r="E203" s="34">
        <f t="shared" si="218"/>
        <v>486.29405847474959</v>
      </c>
      <c r="F203" s="34">
        <f t="shared" si="218"/>
        <v>1099.6340584747495</v>
      </c>
      <c r="G203" s="34">
        <f t="shared" si="218"/>
        <v>1212.2490584747495</v>
      </c>
      <c r="H203" s="34">
        <f t="shared" si="218"/>
        <v>1328.2420584747495</v>
      </c>
      <c r="I203" s="34">
        <f t="shared" si="218"/>
        <v>1228.0709162261578</v>
      </c>
      <c r="J203" s="34">
        <f t="shared" si="218"/>
        <v>999.39370963710974</v>
      </c>
      <c r="K203" s="34">
        <f t="shared" si="218"/>
        <v>763.40186502049903</v>
      </c>
      <c r="L203" s="34">
        <f t="shared" si="218"/>
        <v>475.566495430457</v>
      </c>
      <c r="M203" s="34">
        <f t="shared" si="218"/>
        <v>1656.9813955067666</v>
      </c>
      <c r="N203" s="25">
        <f t="shared" ref="N203:N205" si="219">AVERAGE(B203:M203)</f>
        <v>1154.7311492620199</v>
      </c>
    </row>
    <row r="204" spans="1:14">
      <c r="A204" s="2">
        <f t="shared" ref="A204:A238" si="220">A124</f>
        <v>2011</v>
      </c>
      <c r="B204" s="880">
        <f t="shared" ref="B204:M204" si="221">B164-B1044+B1724</f>
        <v>1006.648104628589</v>
      </c>
      <c r="C204" s="880">
        <f t="shared" si="221"/>
        <v>789.848104628589</v>
      </c>
      <c r="D204" s="880">
        <f t="shared" si="221"/>
        <v>786.74810462858898</v>
      </c>
      <c r="E204" s="880">
        <f t="shared" si="221"/>
        <v>817.848104628589</v>
      </c>
      <c r="F204" s="880">
        <f t="shared" si="221"/>
        <v>862.8219798144562</v>
      </c>
      <c r="G204" s="880">
        <f t="shared" si="221"/>
        <v>914.8219798144562</v>
      </c>
      <c r="H204" s="880">
        <f t="shared" si="221"/>
        <v>930.8219798144562</v>
      </c>
      <c r="I204" s="880">
        <f t="shared" si="221"/>
        <v>917.8219798144562</v>
      </c>
      <c r="J204" s="880">
        <f t="shared" si="221"/>
        <v>908.8219798144562</v>
      </c>
      <c r="K204" s="880">
        <f t="shared" si="221"/>
        <v>830.8219798144562</v>
      </c>
      <c r="L204" s="880">
        <f t="shared" si="221"/>
        <v>757.72197981445618</v>
      </c>
      <c r="M204" s="880">
        <f t="shared" si="221"/>
        <v>759.8219798144562</v>
      </c>
      <c r="N204" s="25">
        <f t="shared" si="219"/>
        <v>857.04735475250061</v>
      </c>
    </row>
    <row r="205" spans="1:14">
      <c r="A205" s="2">
        <f t="shared" si="220"/>
        <v>2012</v>
      </c>
      <c r="B205" s="880">
        <f t="shared" ref="B205:M205" si="222">B165-B1045+B1725</f>
        <v>1001.6079999999999</v>
      </c>
      <c r="C205" s="880">
        <f t="shared" si="222"/>
        <v>993.60799999999995</v>
      </c>
      <c r="D205" s="880">
        <f t="shared" si="222"/>
        <v>933.60799999999995</v>
      </c>
      <c r="E205" s="880">
        <f t="shared" si="222"/>
        <v>913.60799999999995</v>
      </c>
      <c r="F205" s="880">
        <f t="shared" si="222"/>
        <v>982.60799999999995</v>
      </c>
      <c r="G205" s="880">
        <f t="shared" si="222"/>
        <v>1069.6079999999999</v>
      </c>
      <c r="H205" s="880">
        <f t="shared" si="222"/>
        <v>1084.6079999999999</v>
      </c>
      <c r="I205" s="880">
        <f t="shared" si="222"/>
        <v>1071.6079999999999</v>
      </c>
      <c r="J205" s="880">
        <f t="shared" si="222"/>
        <v>1063.6079999999999</v>
      </c>
      <c r="K205" s="880">
        <f t="shared" si="222"/>
        <v>984.60799999999995</v>
      </c>
      <c r="L205" s="880">
        <f t="shared" si="222"/>
        <v>911.60799999999995</v>
      </c>
      <c r="M205" s="880">
        <f t="shared" si="222"/>
        <v>939.60799999999995</v>
      </c>
      <c r="N205" s="25">
        <f t="shared" si="219"/>
        <v>995.85800000000006</v>
      </c>
    </row>
    <row r="206" spans="1:14">
      <c r="A206" s="2">
        <f t="shared" si="220"/>
        <v>2013</v>
      </c>
      <c r="B206" s="880">
        <f t="shared" ref="B206:M206" si="223">B166-B1046+B1726</f>
        <v>876.71999999999991</v>
      </c>
      <c r="C206" s="880">
        <f t="shared" si="223"/>
        <v>881.79</v>
      </c>
      <c r="D206" s="880">
        <f t="shared" si="223"/>
        <v>897.20999999999992</v>
      </c>
      <c r="E206" s="880">
        <f t="shared" si="223"/>
        <v>871.16</v>
      </c>
      <c r="F206" s="880">
        <f t="shared" si="223"/>
        <v>905.32999999999993</v>
      </c>
      <c r="G206" s="880">
        <f t="shared" si="223"/>
        <v>921.24999999999989</v>
      </c>
      <c r="H206" s="880">
        <f t="shared" si="223"/>
        <v>923.81999999999994</v>
      </c>
      <c r="I206" s="880">
        <f t="shared" si="223"/>
        <v>924.84999999999991</v>
      </c>
      <c r="J206" s="880">
        <f t="shared" si="223"/>
        <v>903.99999999999989</v>
      </c>
      <c r="K206" s="880">
        <f t="shared" si="223"/>
        <v>884.41</v>
      </c>
      <c r="L206" s="880">
        <f t="shared" si="223"/>
        <v>858.28</v>
      </c>
      <c r="M206" s="880">
        <f t="shared" si="223"/>
        <v>872.49999999999989</v>
      </c>
      <c r="N206" s="25">
        <f>SUM(B206:M206)</f>
        <v>10721.32</v>
      </c>
    </row>
    <row r="207" spans="1:14">
      <c r="A207" s="2">
        <f t="shared" si="220"/>
        <v>2014</v>
      </c>
      <c r="B207" s="880">
        <f t="shared" ref="B207:M207" si="224">B167-B1047+B1727</f>
        <v>889.93</v>
      </c>
      <c r="C207" s="880">
        <f t="shared" si="224"/>
        <v>866.65</v>
      </c>
      <c r="D207" s="880">
        <f t="shared" si="224"/>
        <v>890.28</v>
      </c>
      <c r="E207" s="880">
        <f t="shared" si="224"/>
        <v>765.20999999999992</v>
      </c>
      <c r="F207" s="880">
        <f t="shared" si="224"/>
        <v>796.42</v>
      </c>
      <c r="G207" s="880">
        <f t="shared" si="224"/>
        <v>799.29</v>
      </c>
      <c r="H207" s="880">
        <f t="shared" si="224"/>
        <v>798.99</v>
      </c>
      <c r="I207" s="880">
        <f t="shared" si="224"/>
        <v>798.9799999999999</v>
      </c>
      <c r="J207" s="880">
        <f t="shared" si="224"/>
        <v>786.18</v>
      </c>
      <c r="K207" s="880">
        <f t="shared" si="224"/>
        <v>777.20999999999992</v>
      </c>
      <c r="L207" s="880">
        <f t="shared" si="224"/>
        <v>749.17</v>
      </c>
      <c r="M207" s="880">
        <f t="shared" si="224"/>
        <v>1365.59</v>
      </c>
      <c r="N207" s="25">
        <f t="shared" ref="N207:N233" si="225">SUM(B207:M207)</f>
        <v>10283.9</v>
      </c>
    </row>
    <row r="208" spans="1:14">
      <c r="A208" s="2">
        <f t="shared" si="220"/>
        <v>2015</v>
      </c>
      <c r="B208" s="880">
        <f t="shared" ref="B208:M208" si="226">B168-B1048+B1728</f>
        <v>1371.05</v>
      </c>
      <c r="C208" s="880">
        <f t="shared" si="226"/>
        <v>1350.6699999999998</v>
      </c>
      <c r="D208" s="880">
        <f t="shared" si="226"/>
        <v>1392.3</v>
      </c>
      <c r="E208" s="880">
        <f t="shared" si="226"/>
        <v>765.18999999999994</v>
      </c>
      <c r="F208" s="880">
        <f t="shared" si="226"/>
        <v>798.54</v>
      </c>
      <c r="G208" s="880">
        <f t="shared" si="226"/>
        <v>801.44999999999993</v>
      </c>
      <c r="H208" s="880">
        <f t="shared" si="226"/>
        <v>801.1099999999999</v>
      </c>
      <c r="I208" s="880">
        <f t="shared" si="226"/>
        <v>801.06</v>
      </c>
      <c r="J208" s="880">
        <f t="shared" si="226"/>
        <v>786.39</v>
      </c>
      <c r="K208" s="880">
        <f t="shared" si="226"/>
        <v>778.29</v>
      </c>
      <c r="L208" s="880">
        <f t="shared" si="226"/>
        <v>751.18999999999994</v>
      </c>
      <c r="M208" s="880">
        <f t="shared" si="226"/>
        <v>1368.7</v>
      </c>
      <c r="N208" s="25">
        <f t="shared" si="225"/>
        <v>11765.94</v>
      </c>
    </row>
    <row r="209" spans="1:14">
      <c r="A209" s="2">
        <f t="shared" si="220"/>
        <v>2016</v>
      </c>
      <c r="B209" s="880">
        <f t="shared" ref="B209:M209" si="227">B169-B1049+B1729</f>
        <v>1373.27</v>
      </c>
      <c r="C209" s="880">
        <f t="shared" si="227"/>
        <v>1351.7</v>
      </c>
      <c r="D209" s="880">
        <f t="shared" si="227"/>
        <v>1394.4099999999999</v>
      </c>
      <c r="E209" s="880">
        <f t="shared" si="227"/>
        <v>765.27</v>
      </c>
      <c r="F209" s="880">
        <f t="shared" si="227"/>
        <v>800.67</v>
      </c>
      <c r="G209" s="880">
        <f t="shared" si="227"/>
        <v>653.62</v>
      </c>
      <c r="H209" s="880">
        <f t="shared" si="227"/>
        <v>653.32999999999993</v>
      </c>
      <c r="I209" s="880">
        <f t="shared" si="227"/>
        <v>653.23</v>
      </c>
      <c r="J209" s="880">
        <f t="shared" si="227"/>
        <v>636.51</v>
      </c>
      <c r="K209" s="880">
        <f t="shared" si="227"/>
        <v>629.34999999999991</v>
      </c>
      <c r="L209" s="880">
        <f t="shared" si="227"/>
        <v>603.27</v>
      </c>
      <c r="M209" s="880">
        <f t="shared" si="227"/>
        <v>1221.83</v>
      </c>
      <c r="N209" s="25">
        <f t="shared" si="225"/>
        <v>10736.460000000001</v>
      </c>
    </row>
    <row r="210" spans="1:14">
      <c r="A210" s="2">
        <f t="shared" si="220"/>
        <v>2017</v>
      </c>
      <c r="B210" s="880">
        <f t="shared" ref="B210:M210" si="228">B170-B1050+B1730</f>
        <v>1082.6599999999999</v>
      </c>
      <c r="C210" s="880">
        <f t="shared" si="228"/>
        <v>1080.94</v>
      </c>
      <c r="D210" s="880">
        <f t="shared" si="228"/>
        <v>1079.3899999999999</v>
      </c>
      <c r="E210" s="880">
        <f t="shared" si="228"/>
        <v>478.62</v>
      </c>
      <c r="F210" s="880">
        <f t="shared" si="228"/>
        <v>481.38</v>
      </c>
      <c r="G210" s="880">
        <f t="shared" si="228"/>
        <v>584.04</v>
      </c>
      <c r="H210" s="880">
        <f t="shared" si="228"/>
        <v>582.54</v>
      </c>
      <c r="I210" s="880">
        <f t="shared" si="228"/>
        <v>582.17999999999995</v>
      </c>
      <c r="J210" s="880">
        <f t="shared" si="228"/>
        <v>581.57999999999993</v>
      </c>
      <c r="K210" s="880">
        <f t="shared" si="228"/>
        <v>480.45</v>
      </c>
      <c r="L210" s="880">
        <f t="shared" si="228"/>
        <v>476</v>
      </c>
      <c r="M210" s="880">
        <f t="shared" si="228"/>
        <v>1080.53</v>
      </c>
      <c r="N210" s="25">
        <f t="shared" si="225"/>
        <v>8570.31</v>
      </c>
    </row>
    <row r="211" spans="1:14">
      <c r="A211" s="2">
        <f t="shared" si="220"/>
        <v>2018</v>
      </c>
      <c r="B211" s="880">
        <f t="shared" ref="B211:M211" si="229">B171-B1051+B1731</f>
        <v>1082.8499999999999</v>
      </c>
      <c r="C211" s="880">
        <f t="shared" si="229"/>
        <v>1080.94</v>
      </c>
      <c r="D211" s="880">
        <f t="shared" si="229"/>
        <v>1079.53</v>
      </c>
      <c r="E211" s="880">
        <f t="shared" si="229"/>
        <v>478.75</v>
      </c>
      <c r="F211" s="880">
        <f t="shared" si="229"/>
        <v>481.48</v>
      </c>
      <c r="G211" s="880">
        <f t="shared" si="229"/>
        <v>584.16999999999996</v>
      </c>
      <c r="H211" s="880">
        <f t="shared" si="229"/>
        <v>582.64</v>
      </c>
      <c r="I211" s="880">
        <f t="shared" si="229"/>
        <v>582.21999999999991</v>
      </c>
      <c r="J211" s="880">
        <f t="shared" si="229"/>
        <v>581.6099999999999</v>
      </c>
      <c r="K211" s="880">
        <f t="shared" si="229"/>
        <v>480.48</v>
      </c>
      <c r="L211" s="880">
        <f t="shared" si="229"/>
        <v>476.05</v>
      </c>
      <c r="M211" s="880">
        <f t="shared" si="229"/>
        <v>1080.8</v>
      </c>
      <c r="N211" s="25">
        <f t="shared" si="225"/>
        <v>8571.52</v>
      </c>
    </row>
    <row r="212" spans="1:14">
      <c r="A212" s="2">
        <f t="shared" si="220"/>
        <v>2019</v>
      </c>
      <c r="B212" s="880">
        <f t="shared" ref="B212:M212" si="230">B172-B1052+B1732</f>
        <v>1083.05</v>
      </c>
      <c r="C212" s="880">
        <f t="shared" si="230"/>
        <v>1081.07</v>
      </c>
      <c r="D212" s="880">
        <f t="shared" si="230"/>
        <v>1079.6599999999999</v>
      </c>
      <c r="E212" s="880">
        <f t="shared" si="230"/>
        <v>478.8</v>
      </c>
      <c r="F212" s="880">
        <f t="shared" si="230"/>
        <v>481.57</v>
      </c>
      <c r="G212" s="880">
        <f t="shared" si="230"/>
        <v>834.21999999999991</v>
      </c>
      <c r="H212" s="880">
        <f t="shared" si="230"/>
        <v>832.7299999999999</v>
      </c>
      <c r="I212" s="880">
        <f t="shared" si="230"/>
        <v>832.27</v>
      </c>
      <c r="J212" s="880">
        <f t="shared" si="230"/>
        <v>831.71999999999991</v>
      </c>
      <c r="K212" s="880">
        <f t="shared" si="230"/>
        <v>730.6099999999999</v>
      </c>
      <c r="L212" s="880">
        <f t="shared" si="230"/>
        <v>726.18</v>
      </c>
      <c r="M212" s="880">
        <f t="shared" si="230"/>
        <v>1330.8999999999999</v>
      </c>
      <c r="N212" s="25">
        <f t="shared" si="225"/>
        <v>10322.779999999999</v>
      </c>
    </row>
    <row r="213" spans="1:14">
      <c r="A213" s="2">
        <f t="shared" si="220"/>
        <v>2020</v>
      </c>
      <c r="B213" s="880">
        <f t="shared" ref="B213:M213" si="231">B173-B1053+B1733</f>
        <v>1333.24</v>
      </c>
      <c r="C213" s="880">
        <f t="shared" si="231"/>
        <v>1331.07</v>
      </c>
      <c r="D213" s="880">
        <f t="shared" si="231"/>
        <v>1329.7</v>
      </c>
      <c r="E213" s="880">
        <f t="shared" si="231"/>
        <v>728.84999999999991</v>
      </c>
      <c r="F213" s="880">
        <f t="shared" si="231"/>
        <v>731.67</v>
      </c>
      <c r="G213" s="880">
        <f t="shared" si="231"/>
        <v>834.3599999999999</v>
      </c>
      <c r="H213" s="880">
        <f t="shared" si="231"/>
        <v>832.92</v>
      </c>
      <c r="I213" s="880">
        <f t="shared" si="231"/>
        <v>832.41</v>
      </c>
      <c r="J213" s="880">
        <f t="shared" si="231"/>
        <v>831.75</v>
      </c>
      <c r="K213" s="880">
        <f t="shared" si="231"/>
        <v>730.74</v>
      </c>
      <c r="L213" s="880">
        <f t="shared" si="231"/>
        <v>726.2299999999999</v>
      </c>
      <c r="M213" s="880">
        <f t="shared" si="231"/>
        <v>1331.09</v>
      </c>
      <c r="N213" s="25">
        <f t="shared" si="225"/>
        <v>11574.03</v>
      </c>
    </row>
    <row r="214" spans="1:14">
      <c r="A214" s="2">
        <f t="shared" si="220"/>
        <v>2021</v>
      </c>
      <c r="B214" s="880">
        <f t="shared" ref="B214:M214" si="232">B174-B1054+B1734</f>
        <v>1333.34</v>
      </c>
      <c r="C214" s="880">
        <f t="shared" si="232"/>
        <v>1331.1599999999999</v>
      </c>
      <c r="D214" s="880">
        <f t="shared" si="232"/>
        <v>1329.82</v>
      </c>
      <c r="E214" s="880">
        <f t="shared" si="232"/>
        <v>728.9799999999999</v>
      </c>
      <c r="F214" s="880">
        <f t="shared" si="232"/>
        <v>731.77</v>
      </c>
      <c r="G214" s="880">
        <f t="shared" si="232"/>
        <v>734.41</v>
      </c>
      <c r="H214" s="880">
        <f t="shared" si="232"/>
        <v>732.92</v>
      </c>
      <c r="I214" s="880">
        <f t="shared" si="232"/>
        <v>732.44999999999993</v>
      </c>
      <c r="J214" s="880">
        <f t="shared" si="232"/>
        <v>731.77</v>
      </c>
      <c r="K214" s="880">
        <f t="shared" si="232"/>
        <v>730.78</v>
      </c>
      <c r="L214" s="880">
        <f t="shared" si="232"/>
        <v>726.37</v>
      </c>
      <c r="M214" s="880">
        <f t="shared" si="232"/>
        <v>1331.28</v>
      </c>
      <c r="N214" s="25">
        <f t="shared" si="225"/>
        <v>11175.050000000001</v>
      </c>
    </row>
    <row r="215" spans="1:14">
      <c r="A215" s="2">
        <f t="shared" si="220"/>
        <v>2022</v>
      </c>
      <c r="B215" s="880">
        <f t="shared" ref="B215:M215" si="233">B175-B1055+B1735</f>
        <v>1333.53</v>
      </c>
      <c r="C215" s="880">
        <f t="shared" si="233"/>
        <v>1331.1599999999999</v>
      </c>
      <c r="D215" s="880">
        <f t="shared" si="233"/>
        <v>1329.86</v>
      </c>
      <c r="E215" s="880">
        <f t="shared" si="233"/>
        <v>729.03</v>
      </c>
      <c r="F215" s="880">
        <f t="shared" si="233"/>
        <v>731.77</v>
      </c>
      <c r="G215" s="880">
        <f t="shared" si="233"/>
        <v>734.44999999999993</v>
      </c>
      <c r="H215" s="880">
        <f t="shared" si="233"/>
        <v>733.09999999999991</v>
      </c>
      <c r="I215" s="880">
        <f t="shared" si="233"/>
        <v>732.58999999999992</v>
      </c>
      <c r="J215" s="880">
        <f t="shared" si="233"/>
        <v>731.79</v>
      </c>
      <c r="K215" s="880">
        <f t="shared" si="233"/>
        <v>730.99</v>
      </c>
      <c r="L215" s="880">
        <f t="shared" si="233"/>
        <v>726.42</v>
      </c>
      <c r="M215" s="880">
        <f t="shared" si="233"/>
        <v>1331.46</v>
      </c>
      <c r="N215" s="25">
        <f t="shared" si="225"/>
        <v>11176.149999999998</v>
      </c>
    </row>
    <row r="216" spans="1:14">
      <c r="A216" s="2">
        <f t="shared" si="220"/>
        <v>2023</v>
      </c>
      <c r="B216" s="880">
        <f t="shared" ref="B216:M216" si="234">B176-B1056+B1736</f>
        <v>1333.72</v>
      </c>
      <c r="C216" s="880">
        <f t="shared" si="234"/>
        <v>1331.25</v>
      </c>
      <c r="D216" s="880">
        <f t="shared" si="234"/>
        <v>1329.8999999999999</v>
      </c>
      <c r="E216" s="880">
        <f t="shared" si="234"/>
        <v>729.17</v>
      </c>
      <c r="F216" s="880">
        <f t="shared" si="234"/>
        <v>731.8599999999999</v>
      </c>
      <c r="G216" s="880">
        <f t="shared" si="234"/>
        <v>734.58999999999992</v>
      </c>
      <c r="H216" s="880">
        <f t="shared" si="234"/>
        <v>733.18999999999994</v>
      </c>
      <c r="I216" s="880">
        <f t="shared" si="234"/>
        <v>732.7299999999999</v>
      </c>
      <c r="J216" s="880">
        <f t="shared" si="234"/>
        <v>731.81999999999994</v>
      </c>
      <c r="K216" s="880">
        <f t="shared" si="234"/>
        <v>731.13</v>
      </c>
      <c r="L216" s="880">
        <f t="shared" si="234"/>
        <v>726.64</v>
      </c>
      <c r="M216" s="880">
        <f t="shared" si="234"/>
        <v>1331.6599999999999</v>
      </c>
      <c r="N216" s="25">
        <f t="shared" si="225"/>
        <v>11177.659999999998</v>
      </c>
    </row>
    <row r="217" spans="1:14">
      <c r="A217" s="2">
        <f t="shared" si="220"/>
        <v>2024</v>
      </c>
      <c r="B217" s="880">
        <f t="shared" ref="B217:M217" si="235">B177-B1057+B1737</f>
        <v>1333.82</v>
      </c>
      <c r="C217" s="880">
        <f t="shared" si="235"/>
        <v>1331.34</v>
      </c>
      <c r="D217" s="880">
        <f t="shared" si="235"/>
        <v>1330.03</v>
      </c>
      <c r="E217" s="880">
        <f t="shared" si="235"/>
        <v>729.21999999999991</v>
      </c>
      <c r="F217" s="880">
        <f t="shared" si="235"/>
        <v>731.95999999999992</v>
      </c>
      <c r="G217" s="880">
        <f t="shared" si="235"/>
        <v>734.64</v>
      </c>
      <c r="H217" s="880">
        <f t="shared" si="235"/>
        <v>733.32999999999993</v>
      </c>
      <c r="I217" s="880">
        <f t="shared" si="235"/>
        <v>732.8599999999999</v>
      </c>
      <c r="J217" s="880">
        <f t="shared" si="235"/>
        <v>731.93</v>
      </c>
      <c r="K217" s="880">
        <f t="shared" si="235"/>
        <v>731.17</v>
      </c>
      <c r="L217" s="880">
        <f t="shared" si="235"/>
        <v>726.68999999999994</v>
      </c>
      <c r="M217" s="880">
        <f t="shared" si="235"/>
        <v>1331.76</v>
      </c>
      <c r="N217" s="25">
        <f t="shared" si="225"/>
        <v>11178.75</v>
      </c>
    </row>
    <row r="218" spans="1:14">
      <c r="A218" s="2">
        <f t="shared" si="220"/>
        <v>2025</v>
      </c>
      <c r="B218" s="880">
        <f t="shared" ref="B218:M218" si="236">B178-B1058+B1738</f>
        <v>1334</v>
      </c>
      <c r="C218" s="880">
        <f t="shared" si="236"/>
        <v>1331.52</v>
      </c>
      <c r="D218" s="880">
        <f t="shared" si="236"/>
        <v>1330.07</v>
      </c>
      <c r="E218" s="880">
        <f t="shared" si="236"/>
        <v>729.26</v>
      </c>
      <c r="F218" s="880">
        <f t="shared" si="236"/>
        <v>732.01</v>
      </c>
      <c r="G218" s="880">
        <f t="shared" si="236"/>
        <v>734.77</v>
      </c>
      <c r="H218" s="880">
        <f t="shared" si="236"/>
        <v>733.45999999999992</v>
      </c>
      <c r="I218" s="880">
        <f t="shared" si="236"/>
        <v>733</v>
      </c>
      <c r="J218" s="880">
        <f t="shared" si="236"/>
        <v>731.95999999999992</v>
      </c>
      <c r="K218" s="880">
        <f t="shared" si="236"/>
        <v>731.3</v>
      </c>
      <c r="L218" s="880">
        <f t="shared" si="236"/>
        <v>726.81999999999994</v>
      </c>
      <c r="M218" s="880">
        <f t="shared" si="236"/>
        <v>1331.85</v>
      </c>
      <c r="N218" s="25">
        <f t="shared" si="225"/>
        <v>11180.02</v>
      </c>
    </row>
    <row r="219" spans="1:14">
      <c r="A219" s="2">
        <f t="shared" si="220"/>
        <v>2026</v>
      </c>
      <c r="B219" s="880">
        <f t="shared" ref="B219:M219" si="237">B179-B1059+B1739</f>
        <v>1334.19</v>
      </c>
      <c r="C219" s="880">
        <f t="shared" si="237"/>
        <v>1331.61</v>
      </c>
      <c r="D219" s="880">
        <f t="shared" si="237"/>
        <v>1330.2</v>
      </c>
      <c r="E219" s="880">
        <f t="shared" si="237"/>
        <v>729.31</v>
      </c>
      <c r="F219" s="880">
        <f t="shared" si="237"/>
        <v>732.05</v>
      </c>
      <c r="G219" s="880">
        <f t="shared" si="237"/>
        <v>734.91</v>
      </c>
      <c r="H219" s="880">
        <f t="shared" si="237"/>
        <v>733.58999999999992</v>
      </c>
      <c r="I219" s="880">
        <f t="shared" si="237"/>
        <v>733.15</v>
      </c>
      <c r="J219" s="880">
        <f t="shared" si="237"/>
        <v>732.06999999999994</v>
      </c>
      <c r="K219" s="880">
        <f t="shared" si="237"/>
        <v>731.32999999999993</v>
      </c>
      <c r="L219" s="880">
        <f t="shared" si="237"/>
        <v>726.87</v>
      </c>
      <c r="M219" s="880">
        <f t="shared" si="237"/>
        <v>1331.95</v>
      </c>
      <c r="N219" s="25">
        <f t="shared" si="225"/>
        <v>11181.230000000001</v>
      </c>
    </row>
    <row r="220" spans="1:14">
      <c r="A220" s="2">
        <f t="shared" si="220"/>
        <v>2027</v>
      </c>
      <c r="B220" s="880">
        <f t="shared" ref="B220:M220" si="238">B180-B1060+B1740</f>
        <v>1334.3799999999999</v>
      </c>
      <c r="C220" s="880">
        <f t="shared" si="238"/>
        <v>1331.61</v>
      </c>
      <c r="D220" s="880">
        <f t="shared" si="238"/>
        <v>1330.24</v>
      </c>
      <c r="E220" s="880">
        <f t="shared" si="238"/>
        <v>729.55</v>
      </c>
      <c r="F220" s="880">
        <f t="shared" si="238"/>
        <v>732.08999999999992</v>
      </c>
      <c r="G220" s="880">
        <f t="shared" si="238"/>
        <v>735.05</v>
      </c>
      <c r="H220" s="880">
        <f t="shared" si="238"/>
        <v>733.71999999999991</v>
      </c>
      <c r="I220" s="880">
        <f t="shared" si="238"/>
        <v>733.28</v>
      </c>
      <c r="J220" s="880">
        <f t="shared" si="238"/>
        <v>732.18</v>
      </c>
      <c r="K220" s="880">
        <f t="shared" si="238"/>
        <v>731.37</v>
      </c>
      <c r="L220" s="880">
        <f t="shared" si="238"/>
        <v>727.01</v>
      </c>
      <c r="M220" s="880">
        <f t="shared" si="238"/>
        <v>1332.1399999999999</v>
      </c>
      <c r="N220" s="25">
        <f t="shared" si="225"/>
        <v>11182.62</v>
      </c>
    </row>
    <row r="221" spans="1:14">
      <c r="A221" s="2">
        <f t="shared" si="220"/>
        <v>2028</v>
      </c>
      <c r="B221" s="880">
        <f t="shared" ref="B221:M221" si="239">B181-B1061+B1741</f>
        <v>1334.57</v>
      </c>
      <c r="C221" s="880">
        <f t="shared" si="239"/>
        <v>1331.7</v>
      </c>
      <c r="D221" s="880">
        <f t="shared" si="239"/>
        <v>1330.36</v>
      </c>
      <c r="E221" s="880">
        <f t="shared" si="239"/>
        <v>729.59999999999991</v>
      </c>
      <c r="F221" s="880">
        <f t="shared" si="239"/>
        <v>732.13</v>
      </c>
      <c r="G221" s="880">
        <f t="shared" si="239"/>
        <v>735.08999999999992</v>
      </c>
      <c r="H221" s="880">
        <f t="shared" si="239"/>
        <v>733.76</v>
      </c>
      <c r="I221" s="880">
        <f t="shared" si="239"/>
        <v>733.32999999999993</v>
      </c>
      <c r="J221" s="880">
        <f t="shared" si="239"/>
        <v>732.3</v>
      </c>
      <c r="K221" s="880">
        <f t="shared" si="239"/>
        <v>731.41</v>
      </c>
      <c r="L221" s="880">
        <f t="shared" si="239"/>
        <v>727.05</v>
      </c>
      <c r="M221" s="880">
        <f t="shared" si="239"/>
        <v>1332.33</v>
      </c>
      <c r="N221" s="25">
        <f t="shared" si="225"/>
        <v>11183.63</v>
      </c>
    </row>
    <row r="222" spans="1:14">
      <c r="A222" s="2">
        <f t="shared" si="220"/>
        <v>2029</v>
      </c>
      <c r="B222" s="880">
        <f t="shared" ref="B222:M222" si="240">B182-B1062+B1742</f>
        <v>1334.76</v>
      </c>
      <c r="C222" s="880">
        <f t="shared" si="240"/>
        <v>1331.7</v>
      </c>
      <c r="D222" s="880">
        <f t="shared" si="240"/>
        <v>1330.49</v>
      </c>
      <c r="E222" s="880">
        <f t="shared" si="240"/>
        <v>729.64</v>
      </c>
      <c r="F222" s="880">
        <f t="shared" si="240"/>
        <v>732.25</v>
      </c>
      <c r="G222" s="880">
        <f t="shared" si="240"/>
        <v>735.2299999999999</v>
      </c>
      <c r="H222" s="880">
        <f t="shared" si="240"/>
        <v>733.89</v>
      </c>
      <c r="I222" s="880">
        <f t="shared" si="240"/>
        <v>733.46999999999991</v>
      </c>
      <c r="J222" s="880">
        <f t="shared" si="240"/>
        <v>732.41</v>
      </c>
      <c r="K222" s="880">
        <f t="shared" si="240"/>
        <v>731.54</v>
      </c>
      <c r="L222" s="880">
        <f t="shared" si="240"/>
        <v>727.18999999999994</v>
      </c>
      <c r="M222" s="880">
        <f t="shared" si="240"/>
        <v>1332.4199999999998</v>
      </c>
      <c r="N222" s="25">
        <f t="shared" si="225"/>
        <v>11184.990000000002</v>
      </c>
    </row>
    <row r="223" spans="1:14">
      <c r="A223" s="2">
        <f t="shared" si="220"/>
        <v>2030</v>
      </c>
      <c r="B223" s="880">
        <f t="shared" ref="B223:M223" si="241">B183-B1063+B1743</f>
        <v>1334.86</v>
      </c>
      <c r="C223" s="880">
        <f t="shared" si="241"/>
        <v>1331.79</v>
      </c>
      <c r="D223" s="880">
        <f t="shared" si="241"/>
        <v>1330.53</v>
      </c>
      <c r="E223" s="880">
        <f t="shared" si="241"/>
        <v>729.78</v>
      </c>
      <c r="F223" s="880">
        <f t="shared" si="241"/>
        <v>732.29</v>
      </c>
      <c r="G223" s="880">
        <f t="shared" si="241"/>
        <v>735.37</v>
      </c>
      <c r="H223" s="880">
        <f t="shared" si="241"/>
        <v>734.02</v>
      </c>
      <c r="I223" s="880">
        <f t="shared" si="241"/>
        <v>733.59999999999991</v>
      </c>
      <c r="J223" s="880">
        <f t="shared" si="241"/>
        <v>732.52</v>
      </c>
      <c r="K223" s="880">
        <f t="shared" si="241"/>
        <v>731.57999999999993</v>
      </c>
      <c r="L223" s="880">
        <f t="shared" si="241"/>
        <v>727.2299999999999</v>
      </c>
      <c r="M223" s="880">
        <f t="shared" si="241"/>
        <v>1332.61</v>
      </c>
      <c r="N223" s="25">
        <f t="shared" si="225"/>
        <v>11186.18</v>
      </c>
    </row>
    <row r="224" spans="1:14">
      <c r="A224" s="2">
        <f t="shared" si="220"/>
        <v>2031</v>
      </c>
      <c r="B224" s="880">
        <f t="shared" ref="B224:M224" si="242">B184-B1064+B1744</f>
        <v>1335.02</v>
      </c>
      <c r="C224" s="880">
        <f t="shared" si="242"/>
        <v>1331.84</v>
      </c>
      <c r="D224" s="880">
        <f t="shared" si="242"/>
        <v>1330.57</v>
      </c>
      <c r="E224" s="880">
        <f t="shared" si="242"/>
        <v>729.82999999999993</v>
      </c>
      <c r="F224" s="880">
        <f t="shared" si="242"/>
        <v>732.31</v>
      </c>
      <c r="G224" s="880">
        <f t="shared" si="242"/>
        <v>735.38</v>
      </c>
      <c r="H224" s="880">
        <f t="shared" si="242"/>
        <v>734</v>
      </c>
      <c r="I224" s="880">
        <f t="shared" si="242"/>
        <v>733.58999999999992</v>
      </c>
      <c r="J224" s="880">
        <f t="shared" si="242"/>
        <v>732.56</v>
      </c>
      <c r="K224" s="880">
        <f t="shared" si="242"/>
        <v>731.67</v>
      </c>
      <c r="L224" s="880">
        <f t="shared" si="242"/>
        <v>727.3</v>
      </c>
      <c r="M224" s="880">
        <f t="shared" si="242"/>
        <v>1332.74</v>
      </c>
      <c r="N224" s="25">
        <f t="shared" si="225"/>
        <v>11186.81</v>
      </c>
    </row>
    <row r="225" spans="1:14">
      <c r="A225" s="2">
        <f t="shared" si="220"/>
        <v>2032</v>
      </c>
      <c r="B225" s="880">
        <f t="shared" ref="B225:M225" si="243">B185-B1065+B1745</f>
        <v>1335.1699999999998</v>
      </c>
      <c r="C225" s="880">
        <f t="shared" si="243"/>
        <v>1331.8899999999999</v>
      </c>
      <c r="D225" s="880">
        <f t="shared" si="243"/>
        <v>1330.6499999999999</v>
      </c>
      <c r="E225" s="880">
        <f t="shared" si="243"/>
        <v>729.88</v>
      </c>
      <c r="F225" s="880">
        <f t="shared" si="243"/>
        <v>732.3599999999999</v>
      </c>
      <c r="G225" s="880">
        <f t="shared" si="243"/>
        <v>735.46999999999991</v>
      </c>
      <c r="H225" s="880">
        <f t="shared" si="243"/>
        <v>734.08999999999992</v>
      </c>
      <c r="I225" s="880">
        <f t="shared" si="243"/>
        <v>733.69999999999993</v>
      </c>
      <c r="J225" s="880">
        <f t="shared" si="243"/>
        <v>732.64</v>
      </c>
      <c r="K225" s="880">
        <f t="shared" si="243"/>
        <v>731.75</v>
      </c>
      <c r="L225" s="880">
        <f t="shared" si="243"/>
        <v>727.38</v>
      </c>
      <c r="M225" s="880">
        <f t="shared" si="243"/>
        <v>1332.8799999999999</v>
      </c>
      <c r="N225" s="25">
        <f t="shared" si="225"/>
        <v>11187.859999999997</v>
      </c>
    </row>
    <row r="226" spans="1:14">
      <c r="A226" s="2">
        <f t="shared" si="220"/>
        <v>2033</v>
      </c>
      <c r="B226" s="880">
        <f t="shared" ref="B226:M226" si="244">B186-B1066+B1746</f>
        <v>1335.33</v>
      </c>
      <c r="C226" s="880">
        <f t="shared" si="244"/>
        <v>1331.93</v>
      </c>
      <c r="D226" s="880">
        <f t="shared" si="244"/>
        <v>1330.73</v>
      </c>
      <c r="E226" s="880">
        <f t="shared" si="244"/>
        <v>729.92</v>
      </c>
      <c r="F226" s="880">
        <f t="shared" si="244"/>
        <v>732.42</v>
      </c>
      <c r="G226" s="880">
        <f t="shared" si="244"/>
        <v>735.56</v>
      </c>
      <c r="H226" s="880">
        <f t="shared" si="244"/>
        <v>734.18</v>
      </c>
      <c r="I226" s="880">
        <f t="shared" si="244"/>
        <v>733.79</v>
      </c>
      <c r="J226" s="880">
        <f t="shared" si="244"/>
        <v>732.71999999999991</v>
      </c>
      <c r="K226" s="880">
        <f t="shared" si="244"/>
        <v>731.82999999999993</v>
      </c>
      <c r="L226" s="880">
        <f t="shared" si="244"/>
        <v>727.46999999999991</v>
      </c>
      <c r="M226" s="880">
        <f t="shared" si="244"/>
        <v>1333.03</v>
      </c>
      <c r="N226" s="25">
        <f t="shared" si="225"/>
        <v>11188.91</v>
      </c>
    </row>
    <row r="227" spans="1:14">
      <c r="A227" s="2">
        <f t="shared" si="220"/>
        <v>2034</v>
      </c>
      <c r="B227" s="880">
        <f t="shared" ref="B227:M227" si="245">B187-B1067+B1747</f>
        <v>1335.5</v>
      </c>
      <c r="C227" s="880">
        <f t="shared" si="245"/>
        <v>1331.98</v>
      </c>
      <c r="D227" s="880">
        <f t="shared" si="245"/>
        <v>1330.79</v>
      </c>
      <c r="E227" s="880">
        <f t="shared" si="245"/>
        <v>729.93999999999994</v>
      </c>
      <c r="F227" s="880">
        <f t="shared" si="245"/>
        <v>732.46999999999991</v>
      </c>
      <c r="G227" s="880">
        <f t="shared" si="245"/>
        <v>735.66</v>
      </c>
      <c r="H227" s="880">
        <f t="shared" si="245"/>
        <v>734.27</v>
      </c>
      <c r="I227" s="880">
        <f t="shared" si="245"/>
        <v>733.89</v>
      </c>
      <c r="J227" s="880">
        <f t="shared" si="245"/>
        <v>732.8</v>
      </c>
      <c r="K227" s="880">
        <f t="shared" si="245"/>
        <v>731.91</v>
      </c>
      <c r="L227" s="880">
        <f t="shared" si="245"/>
        <v>727.56999999999994</v>
      </c>
      <c r="M227" s="880">
        <f t="shared" si="245"/>
        <v>1333.18</v>
      </c>
      <c r="N227" s="25">
        <f t="shared" si="225"/>
        <v>11189.960000000001</v>
      </c>
    </row>
    <row r="228" spans="1:14">
      <c r="A228" s="2">
        <f t="shared" si="220"/>
        <v>2035</v>
      </c>
      <c r="B228" s="880">
        <f t="shared" ref="B228:M228" si="246">B188-B1068+B1748</f>
        <v>1335.6599999999999</v>
      </c>
      <c r="C228" s="880">
        <f t="shared" si="246"/>
        <v>1332.03</v>
      </c>
      <c r="D228" s="880">
        <f t="shared" si="246"/>
        <v>1330.87</v>
      </c>
      <c r="E228" s="880">
        <f t="shared" si="246"/>
        <v>730.01</v>
      </c>
      <c r="F228" s="880">
        <f t="shared" si="246"/>
        <v>732.52</v>
      </c>
      <c r="G228" s="880">
        <f t="shared" si="246"/>
        <v>735.75</v>
      </c>
      <c r="H228" s="880">
        <f t="shared" si="246"/>
        <v>734.3599999999999</v>
      </c>
      <c r="I228" s="880">
        <f t="shared" si="246"/>
        <v>733.99</v>
      </c>
      <c r="J228" s="880">
        <f t="shared" si="246"/>
        <v>732.88</v>
      </c>
      <c r="K228" s="880">
        <f t="shared" si="246"/>
        <v>731.9799999999999</v>
      </c>
      <c r="L228" s="880">
        <f t="shared" si="246"/>
        <v>727.65</v>
      </c>
      <c r="M228" s="880">
        <f t="shared" si="246"/>
        <v>1333.34</v>
      </c>
      <c r="N228" s="25">
        <f t="shared" si="225"/>
        <v>11191.039999999999</v>
      </c>
    </row>
    <row r="229" spans="1:14">
      <c r="A229" s="2">
        <f t="shared" si="220"/>
        <v>2036</v>
      </c>
      <c r="B229" s="880">
        <f t="shared" ref="B229:M229" si="247">B189-B1069+B1749</f>
        <v>1335.83</v>
      </c>
      <c r="C229" s="880">
        <f t="shared" si="247"/>
        <v>1332.07</v>
      </c>
      <c r="D229" s="880">
        <f t="shared" si="247"/>
        <v>1330.95</v>
      </c>
      <c r="E229" s="880">
        <f t="shared" si="247"/>
        <v>730.12</v>
      </c>
      <c r="F229" s="880">
        <f t="shared" si="247"/>
        <v>732.56999999999994</v>
      </c>
      <c r="G229" s="880">
        <f t="shared" si="247"/>
        <v>735.84999999999991</v>
      </c>
      <c r="H229" s="880">
        <f t="shared" si="247"/>
        <v>734.45999999999992</v>
      </c>
      <c r="I229" s="880">
        <f t="shared" si="247"/>
        <v>734.09999999999991</v>
      </c>
      <c r="J229" s="880">
        <f t="shared" si="247"/>
        <v>732.96999999999991</v>
      </c>
      <c r="K229" s="880">
        <f t="shared" si="247"/>
        <v>732.06999999999994</v>
      </c>
      <c r="L229" s="880">
        <f t="shared" si="247"/>
        <v>727.74</v>
      </c>
      <c r="M229" s="880">
        <f t="shared" si="247"/>
        <v>1333.48</v>
      </c>
      <c r="N229" s="25">
        <f t="shared" si="225"/>
        <v>11192.209999999997</v>
      </c>
    </row>
    <row r="230" spans="1:14">
      <c r="A230" s="2">
        <f t="shared" si="220"/>
        <v>2037</v>
      </c>
      <c r="B230" s="880">
        <f t="shared" ref="B230:M230" si="248">B190-B1070+B1750</f>
        <v>1335.99</v>
      </c>
      <c r="C230" s="880">
        <f t="shared" si="248"/>
        <v>1332.12</v>
      </c>
      <c r="D230" s="880">
        <f t="shared" si="248"/>
        <v>1331.03</v>
      </c>
      <c r="E230" s="880">
        <f t="shared" si="248"/>
        <v>730.17</v>
      </c>
      <c r="F230" s="880">
        <f t="shared" si="248"/>
        <v>732.63</v>
      </c>
      <c r="G230" s="880">
        <f t="shared" si="248"/>
        <v>735.93999999999994</v>
      </c>
      <c r="H230" s="880">
        <f t="shared" si="248"/>
        <v>734.55</v>
      </c>
      <c r="I230" s="880">
        <f t="shared" si="248"/>
        <v>734.18999999999994</v>
      </c>
      <c r="J230" s="880">
        <f t="shared" si="248"/>
        <v>733.04</v>
      </c>
      <c r="K230" s="880">
        <f t="shared" si="248"/>
        <v>732.15</v>
      </c>
      <c r="L230" s="880">
        <f t="shared" si="248"/>
        <v>727.81999999999994</v>
      </c>
      <c r="M230" s="880">
        <f t="shared" si="248"/>
        <v>1333.6299999999999</v>
      </c>
      <c r="N230" s="25">
        <f t="shared" si="225"/>
        <v>11193.259999999998</v>
      </c>
    </row>
    <row r="231" spans="1:14">
      <c r="A231" s="2">
        <f t="shared" si="220"/>
        <v>2038</v>
      </c>
      <c r="B231" s="880">
        <f t="shared" ref="B231:M231" si="249">B191-B1071+B1751</f>
        <v>1336.1499999999999</v>
      </c>
      <c r="C231" s="880">
        <f t="shared" si="249"/>
        <v>1332.1699999999998</v>
      </c>
      <c r="D231" s="880">
        <f t="shared" si="249"/>
        <v>1331.11</v>
      </c>
      <c r="E231" s="880">
        <f t="shared" si="249"/>
        <v>730.21999999999991</v>
      </c>
      <c r="F231" s="880">
        <f t="shared" si="249"/>
        <v>732.68</v>
      </c>
      <c r="G231" s="880">
        <f t="shared" si="249"/>
        <v>736.04</v>
      </c>
      <c r="H231" s="880">
        <f t="shared" si="249"/>
        <v>734.63</v>
      </c>
      <c r="I231" s="880">
        <f t="shared" si="249"/>
        <v>734.29</v>
      </c>
      <c r="J231" s="880">
        <f t="shared" si="249"/>
        <v>733.13</v>
      </c>
      <c r="K231" s="880">
        <f t="shared" si="249"/>
        <v>732.2299999999999</v>
      </c>
      <c r="L231" s="880">
        <f t="shared" si="249"/>
        <v>727.92</v>
      </c>
      <c r="M231" s="880">
        <f t="shared" si="249"/>
        <v>1333.78</v>
      </c>
      <c r="N231" s="25">
        <f t="shared" si="225"/>
        <v>11194.35</v>
      </c>
    </row>
    <row r="232" spans="1:14">
      <c r="A232" s="2">
        <f t="shared" si="220"/>
        <v>2039</v>
      </c>
      <c r="B232" s="880">
        <f t="shared" ref="B232:M232" si="250">B192-B1072+B1752</f>
        <v>1336.31</v>
      </c>
      <c r="C232" s="880">
        <f t="shared" si="250"/>
        <v>1332.21</v>
      </c>
      <c r="D232" s="880">
        <f t="shared" si="250"/>
        <v>1331.19</v>
      </c>
      <c r="E232" s="880">
        <f t="shared" si="250"/>
        <v>730.29</v>
      </c>
      <c r="F232" s="880">
        <f t="shared" si="250"/>
        <v>732.7299999999999</v>
      </c>
      <c r="G232" s="880">
        <f t="shared" si="250"/>
        <v>736.13</v>
      </c>
      <c r="H232" s="880">
        <f t="shared" si="250"/>
        <v>734.7299999999999</v>
      </c>
      <c r="I232" s="880">
        <f t="shared" si="250"/>
        <v>734.4</v>
      </c>
      <c r="J232" s="880">
        <f t="shared" si="250"/>
        <v>733.20999999999992</v>
      </c>
      <c r="K232" s="880">
        <f t="shared" si="250"/>
        <v>732.3</v>
      </c>
      <c r="L232" s="880">
        <f t="shared" si="250"/>
        <v>728</v>
      </c>
      <c r="M232" s="880">
        <f t="shared" si="250"/>
        <v>1333.9199999999998</v>
      </c>
      <c r="N232" s="25">
        <f t="shared" si="225"/>
        <v>11195.419999999998</v>
      </c>
    </row>
    <row r="233" spans="1:14">
      <c r="A233" s="2">
        <f t="shared" si="220"/>
        <v>2040</v>
      </c>
      <c r="B233" s="880">
        <f t="shared" ref="B233:M233" si="251">B193-B1073+B1753</f>
        <v>1336.47</v>
      </c>
      <c r="C233" s="880">
        <f t="shared" si="251"/>
        <v>1332.26</v>
      </c>
      <c r="D233" s="880">
        <f t="shared" si="251"/>
        <v>1331.27</v>
      </c>
      <c r="E233" s="880">
        <f t="shared" si="251"/>
        <v>730.3599999999999</v>
      </c>
      <c r="F233" s="880">
        <f t="shared" si="251"/>
        <v>732.79</v>
      </c>
      <c r="G233" s="880">
        <f t="shared" si="251"/>
        <v>736.21999999999991</v>
      </c>
      <c r="H233" s="880">
        <f t="shared" si="251"/>
        <v>734.81999999999994</v>
      </c>
      <c r="I233" s="880">
        <f t="shared" si="251"/>
        <v>734.49</v>
      </c>
      <c r="J233" s="880">
        <f t="shared" si="251"/>
        <v>733.28</v>
      </c>
      <c r="K233" s="880">
        <f t="shared" si="251"/>
        <v>732.38</v>
      </c>
      <c r="L233" s="880">
        <f t="shared" si="251"/>
        <v>728.08999999999992</v>
      </c>
      <c r="M233" s="880">
        <f t="shared" si="251"/>
        <v>1334.07</v>
      </c>
      <c r="N233" s="25">
        <f t="shared" si="225"/>
        <v>11196.499999999998</v>
      </c>
    </row>
    <row r="234" spans="1:14">
      <c r="A234" s="2">
        <f t="shared" si="220"/>
        <v>2041</v>
      </c>
      <c r="B234" s="880">
        <f t="shared" ref="B234:M234" si="252">B194-B1074+B1754</f>
        <v>0</v>
      </c>
      <c r="C234" s="880">
        <f t="shared" si="252"/>
        <v>0</v>
      </c>
      <c r="D234" s="880">
        <f t="shared" si="252"/>
        <v>0</v>
      </c>
      <c r="E234" s="880">
        <f t="shared" si="252"/>
        <v>0</v>
      </c>
      <c r="F234" s="880">
        <f t="shared" si="252"/>
        <v>0</v>
      </c>
      <c r="G234" s="880">
        <f t="shared" si="252"/>
        <v>0</v>
      </c>
      <c r="H234" s="880">
        <f t="shared" si="252"/>
        <v>0</v>
      </c>
      <c r="I234" s="880">
        <f t="shared" si="252"/>
        <v>0</v>
      </c>
      <c r="J234" s="880">
        <f t="shared" si="252"/>
        <v>0</v>
      </c>
      <c r="K234" s="880">
        <f t="shared" si="252"/>
        <v>0</v>
      </c>
      <c r="L234" s="880">
        <f t="shared" si="252"/>
        <v>0</v>
      </c>
      <c r="M234" s="880">
        <f t="shared" si="252"/>
        <v>0</v>
      </c>
      <c r="N234" s="25">
        <f>AVERAGE(B234:M234)</f>
        <v>0</v>
      </c>
    </row>
    <row r="235" spans="1:14">
      <c r="A235" s="2">
        <f t="shared" si="220"/>
        <v>2042</v>
      </c>
      <c r="B235" s="880">
        <f t="shared" ref="B235:M235" si="253">B195-B1075+B1755</f>
        <v>0</v>
      </c>
      <c r="C235" s="880">
        <f t="shared" si="253"/>
        <v>0</v>
      </c>
      <c r="D235" s="880">
        <f t="shared" si="253"/>
        <v>0</v>
      </c>
      <c r="E235" s="880">
        <f t="shared" si="253"/>
        <v>0</v>
      </c>
      <c r="F235" s="880">
        <f t="shared" si="253"/>
        <v>0</v>
      </c>
      <c r="G235" s="880">
        <f t="shared" si="253"/>
        <v>0</v>
      </c>
      <c r="H235" s="880">
        <f t="shared" si="253"/>
        <v>0</v>
      </c>
      <c r="I235" s="880">
        <f t="shared" si="253"/>
        <v>0</v>
      </c>
      <c r="J235" s="880">
        <f t="shared" si="253"/>
        <v>0</v>
      </c>
      <c r="K235" s="880">
        <f t="shared" si="253"/>
        <v>0</v>
      </c>
      <c r="L235" s="880">
        <f t="shared" si="253"/>
        <v>0</v>
      </c>
      <c r="M235" s="880">
        <f t="shared" si="253"/>
        <v>0</v>
      </c>
      <c r="N235" s="25">
        <f>AVERAGE(B235:M235)</f>
        <v>0</v>
      </c>
    </row>
    <row r="236" spans="1:14">
      <c r="A236" s="2">
        <f t="shared" si="220"/>
        <v>2043</v>
      </c>
      <c r="B236" s="880">
        <f t="shared" ref="B236:M236" si="254">B196-B1076+B1756</f>
        <v>0</v>
      </c>
      <c r="C236" s="880">
        <f t="shared" si="254"/>
        <v>0</v>
      </c>
      <c r="D236" s="880">
        <f t="shared" si="254"/>
        <v>0</v>
      </c>
      <c r="E236" s="880">
        <f t="shared" si="254"/>
        <v>0</v>
      </c>
      <c r="F236" s="880">
        <f t="shared" si="254"/>
        <v>0</v>
      </c>
      <c r="G236" s="880">
        <f t="shared" si="254"/>
        <v>0</v>
      </c>
      <c r="H236" s="880">
        <f t="shared" si="254"/>
        <v>0</v>
      </c>
      <c r="I236" s="880">
        <f t="shared" si="254"/>
        <v>0</v>
      </c>
      <c r="J236" s="880">
        <f t="shared" si="254"/>
        <v>0</v>
      </c>
      <c r="K236" s="880">
        <f t="shared" si="254"/>
        <v>0</v>
      </c>
      <c r="L236" s="880">
        <f t="shared" si="254"/>
        <v>0</v>
      </c>
      <c r="M236" s="880">
        <f t="shared" si="254"/>
        <v>0</v>
      </c>
      <c r="N236" s="25">
        <f>AVERAGE(B236:M236)</f>
        <v>0</v>
      </c>
    </row>
    <row r="237" spans="1:14">
      <c r="A237" s="2">
        <f t="shared" si="220"/>
        <v>2044</v>
      </c>
      <c r="B237" s="880">
        <f t="shared" ref="B237:M237" si="255">B197-B1077+B1757</f>
        <v>0</v>
      </c>
      <c r="C237" s="880">
        <f t="shared" si="255"/>
        <v>0</v>
      </c>
      <c r="D237" s="880">
        <f t="shared" si="255"/>
        <v>0</v>
      </c>
      <c r="E237" s="880">
        <f t="shared" si="255"/>
        <v>0</v>
      </c>
      <c r="F237" s="880">
        <f t="shared" si="255"/>
        <v>0</v>
      </c>
      <c r="G237" s="880">
        <f t="shared" si="255"/>
        <v>0</v>
      </c>
      <c r="H237" s="880">
        <f t="shared" si="255"/>
        <v>0</v>
      </c>
      <c r="I237" s="880">
        <f t="shared" si="255"/>
        <v>0</v>
      </c>
      <c r="J237" s="880">
        <f t="shared" si="255"/>
        <v>0</v>
      </c>
      <c r="K237" s="880">
        <f t="shared" si="255"/>
        <v>0</v>
      </c>
      <c r="L237" s="880">
        <f t="shared" si="255"/>
        <v>0</v>
      </c>
      <c r="M237" s="880">
        <f t="shared" si="255"/>
        <v>0</v>
      </c>
      <c r="N237" s="25">
        <f>AVERAGE(B237:M237)</f>
        <v>0</v>
      </c>
    </row>
    <row r="238" spans="1:14">
      <c r="A238" s="2">
        <f t="shared" si="220"/>
        <v>2045</v>
      </c>
      <c r="B238" s="880">
        <f t="shared" ref="B238:M238" si="256">B198-B1078+B1758</f>
        <v>0</v>
      </c>
      <c r="C238" s="880">
        <f t="shared" si="256"/>
        <v>0</v>
      </c>
      <c r="D238" s="880">
        <f t="shared" si="256"/>
        <v>0</v>
      </c>
      <c r="E238" s="880">
        <f t="shared" si="256"/>
        <v>0</v>
      </c>
      <c r="F238" s="880">
        <f t="shared" si="256"/>
        <v>0</v>
      </c>
      <c r="G238" s="880">
        <f t="shared" si="256"/>
        <v>0</v>
      </c>
      <c r="H238" s="880">
        <f t="shared" si="256"/>
        <v>0</v>
      </c>
      <c r="I238" s="880">
        <f t="shared" si="256"/>
        <v>0</v>
      </c>
      <c r="J238" s="880">
        <f t="shared" si="256"/>
        <v>0</v>
      </c>
      <c r="K238" s="880">
        <f t="shared" si="256"/>
        <v>0</v>
      </c>
      <c r="L238" s="880">
        <f t="shared" si="256"/>
        <v>0</v>
      </c>
      <c r="M238" s="880">
        <f t="shared" si="256"/>
        <v>0</v>
      </c>
      <c r="N238" s="25">
        <f>AVERAGE(B238:M238)</f>
        <v>0</v>
      </c>
    </row>
    <row r="239" spans="1:14"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25"/>
    </row>
    <row r="240" spans="1:14"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25"/>
    </row>
    <row r="241" spans="1:14">
      <c r="A241" s="31" t="s">
        <v>552</v>
      </c>
    </row>
    <row r="242" spans="1:14">
      <c r="A242" s="27" t="s">
        <v>9</v>
      </c>
      <c r="B242" s="27" t="s">
        <v>28</v>
      </c>
      <c r="C242" s="27" t="s">
        <v>29</v>
      </c>
      <c r="D242" s="27" t="s">
        <v>30</v>
      </c>
      <c r="E242" s="27" t="s">
        <v>31</v>
      </c>
      <c r="F242" s="27" t="s">
        <v>32</v>
      </c>
      <c r="G242" s="27" t="s">
        <v>33</v>
      </c>
      <c r="H242" s="27" t="s">
        <v>34</v>
      </c>
      <c r="I242" s="27" t="s">
        <v>35</v>
      </c>
      <c r="J242" s="27" t="s">
        <v>36</v>
      </c>
      <c r="K242" s="27" t="s">
        <v>37</v>
      </c>
      <c r="L242" s="27" t="s">
        <v>38</v>
      </c>
      <c r="M242" s="27" t="s">
        <v>39</v>
      </c>
      <c r="N242" s="27" t="s">
        <v>53</v>
      </c>
    </row>
    <row r="243" spans="1:14">
      <c r="A243" s="2">
        <f>A203</f>
        <v>2010</v>
      </c>
      <c r="B243" s="34">
        <f>B643+B683+B723+B763+B803+B843+B883+B923+B963+B1003</f>
        <v>1587</v>
      </c>
      <c r="C243" s="34">
        <f t="shared" ref="C243:M243" si="257">C643+C683+C723+C763+C803+C843+C883+C923+C963+C1003</f>
        <v>779</v>
      </c>
      <c r="D243" s="34">
        <f t="shared" si="257"/>
        <v>568</v>
      </c>
      <c r="E243" s="34">
        <f t="shared" si="257"/>
        <v>87</v>
      </c>
      <c r="F243" s="34">
        <f t="shared" si="257"/>
        <v>557</v>
      </c>
      <c r="G243" s="34">
        <f t="shared" si="257"/>
        <v>567</v>
      </c>
      <c r="H243" s="34">
        <f t="shared" si="257"/>
        <v>629</v>
      </c>
      <c r="I243" s="34">
        <f t="shared" si="257"/>
        <v>531</v>
      </c>
      <c r="J243" s="34">
        <f t="shared" si="257"/>
        <v>416</v>
      </c>
      <c r="K243" s="34">
        <f t="shared" si="257"/>
        <v>329</v>
      </c>
      <c r="L243" s="34">
        <f t="shared" si="257"/>
        <v>171</v>
      </c>
      <c r="M243" s="34">
        <f t="shared" si="257"/>
        <v>1091</v>
      </c>
      <c r="N243" s="25">
        <f t="shared" ref="N243:N245" si="258">AVERAGE(B243:M243)</f>
        <v>609.33333333333337</v>
      </c>
    </row>
    <row r="244" spans="1:14">
      <c r="A244" s="2">
        <f>A243+1</f>
        <v>2011</v>
      </c>
      <c r="B244" s="880">
        <f t="shared" ref="B244:M244" si="259">B644+B684+B724+B764+B804+B844+B884+B924+B964+B1004</f>
        <v>753</v>
      </c>
      <c r="C244" s="880">
        <f t="shared" si="259"/>
        <v>525</v>
      </c>
      <c r="D244" s="880">
        <f t="shared" si="259"/>
        <v>525</v>
      </c>
      <c r="E244" s="880">
        <f t="shared" si="259"/>
        <v>550</v>
      </c>
      <c r="F244" s="880">
        <f t="shared" si="259"/>
        <v>583</v>
      </c>
      <c r="G244" s="880">
        <f t="shared" si="259"/>
        <v>625</v>
      </c>
      <c r="H244" s="880">
        <f t="shared" si="259"/>
        <v>625</v>
      </c>
      <c r="I244" s="880">
        <f t="shared" si="259"/>
        <v>625</v>
      </c>
      <c r="J244" s="880">
        <f t="shared" si="259"/>
        <v>625</v>
      </c>
      <c r="K244" s="880">
        <f t="shared" si="259"/>
        <v>550</v>
      </c>
      <c r="L244" s="880">
        <f t="shared" si="259"/>
        <v>500</v>
      </c>
      <c r="M244" s="880">
        <f t="shared" si="259"/>
        <v>500</v>
      </c>
      <c r="N244" s="25">
        <f t="shared" si="258"/>
        <v>582.16666666666663</v>
      </c>
    </row>
    <row r="245" spans="1:14">
      <c r="A245" s="2">
        <f t="shared" ref="A245:A278" si="260">A244+1</f>
        <v>2012</v>
      </c>
      <c r="B245" s="880">
        <f t="shared" ref="B245:M245" si="261">B645+B685+B725+B765+B805+B845+B885+B925+B965+B1005</f>
        <v>725</v>
      </c>
      <c r="C245" s="880">
        <f t="shared" si="261"/>
        <v>725</v>
      </c>
      <c r="D245" s="880">
        <f t="shared" si="261"/>
        <v>675</v>
      </c>
      <c r="E245" s="880">
        <f t="shared" si="261"/>
        <v>650</v>
      </c>
      <c r="F245" s="880">
        <f t="shared" si="261"/>
        <v>700</v>
      </c>
      <c r="G245" s="880">
        <f t="shared" si="261"/>
        <v>775</v>
      </c>
      <c r="H245" s="880">
        <f t="shared" si="261"/>
        <v>775</v>
      </c>
      <c r="I245" s="880">
        <f t="shared" si="261"/>
        <v>775</v>
      </c>
      <c r="J245" s="880">
        <f t="shared" si="261"/>
        <v>775</v>
      </c>
      <c r="K245" s="880">
        <f t="shared" si="261"/>
        <v>700</v>
      </c>
      <c r="L245" s="880">
        <f t="shared" si="261"/>
        <v>650</v>
      </c>
      <c r="M245" s="880">
        <f t="shared" si="261"/>
        <v>675</v>
      </c>
      <c r="N245" s="25">
        <f t="shared" si="258"/>
        <v>716.66666666666663</v>
      </c>
    </row>
    <row r="246" spans="1:14">
      <c r="A246" s="2">
        <f t="shared" si="260"/>
        <v>2013</v>
      </c>
      <c r="B246" s="880">
        <f t="shared" ref="B246:M246" si="262">B646+B686+B726+B766+B806+B846+B886+B926+B966+B1006</f>
        <v>600</v>
      </c>
      <c r="C246" s="880">
        <f t="shared" si="262"/>
        <v>600</v>
      </c>
      <c r="D246" s="880">
        <f t="shared" si="262"/>
        <v>600</v>
      </c>
      <c r="E246" s="880">
        <f t="shared" si="262"/>
        <v>600</v>
      </c>
      <c r="F246" s="880">
        <f t="shared" si="262"/>
        <v>600</v>
      </c>
      <c r="G246" s="880">
        <f t="shared" si="262"/>
        <v>600</v>
      </c>
      <c r="H246" s="880">
        <f t="shared" si="262"/>
        <v>600</v>
      </c>
      <c r="I246" s="880">
        <f t="shared" si="262"/>
        <v>600</v>
      </c>
      <c r="J246" s="880">
        <f t="shared" si="262"/>
        <v>600</v>
      </c>
      <c r="K246" s="880">
        <f t="shared" si="262"/>
        <v>600</v>
      </c>
      <c r="L246" s="880">
        <f t="shared" si="262"/>
        <v>600</v>
      </c>
      <c r="M246" s="880">
        <f t="shared" si="262"/>
        <v>600</v>
      </c>
      <c r="N246" s="25">
        <f t="shared" ref="N246:N273" si="263">SUM(B246:M246)</f>
        <v>7200</v>
      </c>
    </row>
    <row r="247" spans="1:14">
      <c r="A247" s="2">
        <f t="shared" si="260"/>
        <v>2014</v>
      </c>
      <c r="B247" s="880">
        <f t="shared" ref="B247:M247" si="264">B647+B687+B727+B767+B807+B847+B887+B927+B967+B1007</f>
        <v>650</v>
      </c>
      <c r="C247" s="880">
        <f t="shared" si="264"/>
        <v>650</v>
      </c>
      <c r="D247" s="880">
        <f t="shared" si="264"/>
        <v>650</v>
      </c>
      <c r="E247" s="880">
        <f t="shared" si="264"/>
        <v>550</v>
      </c>
      <c r="F247" s="880">
        <f t="shared" si="264"/>
        <v>550</v>
      </c>
      <c r="G247" s="880">
        <f t="shared" si="264"/>
        <v>550</v>
      </c>
      <c r="H247" s="880">
        <f t="shared" si="264"/>
        <v>550</v>
      </c>
      <c r="I247" s="880">
        <f t="shared" si="264"/>
        <v>550</v>
      </c>
      <c r="J247" s="880">
        <f t="shared" si="264"/>
        <v>550</v>
      </c>
      <c r="K247" s="880">
        <f t="shared" si="264"/>
        <v>550</v>
      </c>
      <c r="L247" s="880">
        <f t="shared" si="264"/>
        <v>550</v>
      </c>
      <c r="M247" s="880">
        <f t="shared" si="264"/>
        <v>1150</v>
      </c>
      <c r="N247" s="25">
        <f t="shared" si="263"/>
        <v>7500</v>
      </c>
    </row>
    <row r="248" spans="1:14">
      <c r="A248" s="2">
        <f t="shared" si="260"/>
        <v>2015</v>
      </c>
      <c r="B248" s="880">
        <f t="shared" ref="B248:M248" si="265">B648+B688+B728+B768+B808+B848+B888+B928+B968+B1008</f>
        <v>1150</v>
      </c>
      <c r="C248" s="880">
        <f t="shared" si="265"/>
        <v>1150</v>
      </c>
      <c r="D248" s="880">
        <f t="shared" si="265"/>
        <v>1150</v>
      </c>
      <c r="E248" s="880">
        <f t="shared" si="265"/>
        <v>550</v>
      </c>
      <c r="F248" s="880">
        <f t="shared" si="265"/>
        <v>550</v>
      </c>
      <c r="G248" s="880">
        <f t="shared" si="265"/>
        <v>550</v>
      </c>
      <c r="H248" s="880">
        <f t="shared" si="265"/>
        <v>550</v>
      </c>
      <c r="I248" s="880">
        <f t="shared" si="265"/>
        <v>550</v>
      </c>
      <c r="J248" s="880">
        <f t="shared" si="265"/>
        <v>550</v>
      </c>
      <c r="K248" s="880">
        <f t="shared" si="265"/>
        <v>550</v>
      </c>
      <c r="L248" s="880">
        <f t="shared" si="265"/>
        <v>550</v>
      </c>
      <c r="M248" s="880">
        <f t="shared" si="265"/>
        <v>1150</v>
      </c>
      <c r="N248" s="25">
        <f t="shared" si="263"/>
        <v>9000</v>
      </c>
    </row>
    <row r="249" spans="1:14">
      <c r="A249" s="2">
        <f t="shared" si="260"/>
        <v>2016</v>
      </c>
      <c r="B249" s="880">
        <f t="shared" ref="B249:M249" si="266">B649+B689+B729+B769+B809+B849+B889+B929+B969+B1009</f>
        <v>1150</v>
      </c>
      <c r="C249" s="880">
        <f t="shared" si="266"/>
        <v>1150</v>
      </c>
      <c r="D249" s="880">
        <f t="shared" si="266"/>
        <v>1150</v>
      </c>
      <c r="E249" s="880">
        <f t="shared" si="266"/>
        <v>550</v>
      </c>
      <c r="F249" s="880">
        <f t="shared" si="266"/>
        <v>550</v>
      </c>
      <c r="G249" s="880">
        <f t="shared" si="266"/>
        <v>400</v>
      </c>
      <c r="H249" s="880">
        <f t="shared" si="266"/>
        <v>400</v>
      </c>
      <c r="I249" s="880">
        <f t="shared" si="266"/>
        <v>400</v>
      </c>
      <c r="J249" s="880">
        <f t="shared" si="266"/>
        <v>400</v>
      </c>
      <c r="K249" s="880">
        <f t="shared" si="266"/>
        <v>400</v>
      </c>
      <c r="L249" s="880">
        <f t="shared" si="266"/>
        <v>400</v>
      </c>
      <c r="M249" s="880">
        <f t="shared" si="266"/>
        <v>1000</v>
      </c>
      <c r="N249" s="25">
        <f t="shared" si="263"/>
        <v>7950</v>
      </c>
    </row>
    <row r="250" spans="1:14">
      <c r="A250" s="2">
        <f t="shared" si="260"/>
        <v>2017</v>
      </c>
      <c r="B250" s="880">
        <f t="shared" ref="B250:M250" si="267">B650+B690+B730+B770+B810+B850+B890+B930+B970+B1010</f>
        <v>1000</v>
      </c>
      <c r="C250" s="880">
        <f t="shared" si="267"/>
        <v>1000</v>
      </c>
      <c r="D250" s="880">
        <f t="shared" si="267"/>
        <v>1000</v>
      </c>
      <c r="E250" s="880">
        <f t="shared" si="267"/>
        <v>400</v>
      </c>
      <c r="F250" s="880">
        <f t="shared" si="267"/>
        <v>400</v>
      </c>
      <c r="G250" s="880">
        <f t="shared" si="267"/>
        <v>500</v>
      </c>
      <c r="H250" s="880">
        <f t="shared" si="267"/>
        <v>500</v>
      </c>
      <c r="I250" s="880">
        <f t="shared" si="267"/>
        <v>500</v>
      </c>
      <c r="J250" s="880">
        <f t="shared" si="267"/>
        <v>500</v>
      </c>
      <c r="K250" s="880">
        <f t="shared" si="267"/>
        <v>400</v>
      </c>
      <c r="L250" s="880">
        <f t="shared" si="267"/>
        <v>400</v>
      </c>
      <c r="M250" s="880">
        <f t="shared" si="267"/>
        <v>1000</v>
      </c>
      <c r="N250" s="25">
        <f t="shared" si="263"/>
        <v>7600</v>
      </c>
    </row>
    <row r="251" spans="1:14">
      <c r="A251" s="2">
        <f t="shared" si="260"/>
        <v>2018</v>
      </c>
      <c r="B251" s="880">
        <f t="shared" ref="B251:M251" si="268">B651+B691+B731+B771+B811+B851+B891+B931+B971+B1011</f>
        <v>1000</v>
      </c>
      <c r="C251" s="880">
        <f t="shared" si="268"/>
        <v>1000</v>
      </c>
      <c r="D251" s="880">
        <f t="shared" si="268"/>
        <v>1000</v>
      </c>
      <c r="E251" s="880">
        <f t="shared" si="268"/>
        <v>400</v>
      </c>
      <c r="F251" s="880">
        <f t="shared" si="268"/>
        <v>400</v>
      </c>
      <c r="G251" s="880">
        <f t="shared" si="268"/>
        <v>500</v>
      </c>
      <c r="H251" s="880">
        <f t="shared" si="268"/>
        <v>500</v>
      </c>
      <c r="I251" s="880">
        <f t="shared" si="268"/>
        <v>500</v>
      </c>
      <c r="J251" s="880">
        <f t="shared" si="268"/>
        <v>500</v>
      </c>
      <c r="K251" s="880">
        <f t="shared" si="268"/>
        <v>400</v>
      </c>
      <c r="L251" s="880">
        <f t="shared" si="268"/>
        <v>400</v>
      </c>
      <c r="M251" s="880">
        <f t="shared" si="268"/>
        <v>1000</v>
      </c>
      <c r="N251" s="25">
        <f t="shared" si="263"/>
        <v>7600</v>
      </c>
    </row>
    <row r="252" spans="1:14">
      <c r="A252" s="2">
        <f t="shared" si="260"/>
        <v>2019</v>
      </c>
      <c r="B252" s="880">
        <f t="shared" ref="B252:M252" si="269">B652+B692+B732+B772+B812+B852+B892+B932+B972+B1012</f>
        <v>1000</v>
      </c>
      <c r="C252" s="880">
        <f t="shared" si="269"/>
        <v>1000</v>
      </c>
      <c r="D252" s="880">
        <f t="shared" si="269"/>
        <v>1000</v>
      </c>
      <c r="E252" s="880">
        <f t="shared" si="269"/>
        <v>400</v>
      </c>
      <c r="F252" s="880">
        <f t="shared" si="269"/>
        <v>400</v>
      </c>
      <c r="G252" s="880">
        <f t="shared" si="269"/>
        <v>750</v>
      </c>
      <c r="H252" s="880">
        <f t="shared" si="269"/>
        <v>750</v>
      </c>
      <c r="I252" s="880">
        <f t="shared" si="269"/>
        <v>750</v>
      </c>
      <c r="J252" s="880">
        <f t="shared" si="269"/>
        <v>750</v>
      </c>
      <c r="K252" s="880">
        <f t="shared" si="269"/>
        <v>650</v>
      </c>
      <c r="L252" s="880">
        <f t="shared" si="269"/>
        <v>650</v>
      </c>
      <c r="M252" s="880">
        <f t="shared" si="269"/>
        <v>1250</v>
      </c>
      <c r="N252" s="25">
        <f t="shared" si="263"/>
        <v>9350</v>
      </c>
    </row>
    <row r="253" spans="1:14">
      <c r="A253" s="2">
        <f t="shared" si="260"/>
        <v>2020</v>
      </c>
      <c r="B253" s="880">
        <f t="shared" ref="B253:M253" si="270">B653+B693+B733+B773+B813+B853+B893+B933+B973+B1013</f>
        <v>1250</v>
      </c>
      <c r="C253" s="880">
        <f t="shared" si="270"/>
        <v>1250</v>
      </c>
      <c r="D253" s="880">
        <f t="shared" si="270"/>
        <v>1250</v>
      </c>
      <c r="E253" s="880">
        <f t="shared" si="270"/>
        <v>650</v>
      </c>
      <c r="F253" s="880">
        <f t="shared" si="270"/>
        <v>650</v>
      </c>
      <c r="G253" s="880">
        <f t="shared" si="270"/>
        <v>750</v>
      </c>
      <c r="H253" s="880">
        <f t="shared" si="270"/>
        <v>750</v>
      </c>
      <c r="I253" s="880">
        <f t="shared" si="270"/>
        <v>750</v>
      </c>
      <c r="J253" s="880">
        <f t="shared" si="270"/>
        <v>750</v>
      </c>
      <c r="K253" s="880">
        <f t="shared" si="270"/>
        <v>650</v>
      </c>
      <c r="L253" s="880">
        <f t="shared" si="270"/>
        <v>650</v>
      </c>
      <c r="M253" s="880">
        <f t="shared" si="270"/>
        <v>1250</v>
      </c>
      <c r="N253" s="25">
        <f t="shared" si="263"/>
        <v>10600</v>
      </c>
    </row>
    <row r="254" spans="1:14">
      <c r="A254" s="2">
        <f t="shared" si="260"/>
        <v>2021</v>
      </c>
      <c r="B254" s="880">
        <f t="shared" ref="B254:M254" si="271">B654+B694+B734+B774+B814+B854+B894+B934+B974+B1014</f>
        <v>1250</v>
      </c>
      <c r="C254" s="880">
        <f t="shared" si="271"/>
        <v>1250</v>
      </c>
      <c r="D254" s="880">
        <f t="shared" si="271"/>
        <v>1250</v>
      </c>
      <c r="E254" s="880">
        <f t="shared" si="271"/>
        <v>650</v>
      </c>
      <c r="F254" s="880">
        <f t="shared" si="271"/>
        <v>650</v>
      </c>
      <c r="G254" s="880">
        <f t="shared" si="271"/>
        <v>650</v>
      </c>
      <c r="H254" s="880">
        <f t="shared" si="271"/>
        <v>650</v>
      </c>
      <c r="I254" s="880">
        <f t="shared" si="271"/>
        <v>650</v>
      </c>
      <c r="J254" s="880">
        <f t="shared" si="271"/>
        <v>650</v>
      </c>
      <c r="K254" s="880">
        <f t="shared" si="271"/>
        <v>650</v>
      </c>
      <c r="L254" s="880">
        <f t="shared" si="271"/>
        <v>650</v>
      </c>
      <c r="M254" s="880">
        <f t="shared" si="271"/>
        <v>1250</v>
      </c>
      <c r="N254" s="25">
        <f t="shared" si="263"/>
        <v>10200</v>
      </c>
    </row>
    <row r="255" spans="1:14">
      <c r="A255" s="2">
        <f t="shared" si="260"/>
        <v>2022</v>
      </c>
      <c r="B255" s="880">
        <f t="shared" ref="B255:M255" si="272">B655+B695+B735+B775+B815+B855+B895+B935+B975+B1015</f>
        <v>1250</v>
      </c>
      <c r="C255" s="880">
        <f t="shared" si="272"/>
        <v>1250</v>
      </c>
      <c r="D255" s="880">
        <f t="shared" si="272"/>
        <v>1250</v>
      </c>
      <c r="E255" s="880">
        <f t="shared" si="272"/>
        <v>650</v>
      </c>
      <c r="F255" s="880">
        <f t="shared" si="272"/>
        <v>650</v>
      </c>
      <c r="G255" s="880">
        <f t="shared" si="272"/>
        <v>650</v>
      </c>
      <c r="H255" s="880">
        <f t="shared" si="272"/>
        <v>650</v>
      </c>
      <c r="I255" s="880">
        <f t="shared" si="272"/>
        <v>650</v>
      </c>
      <c r="J255" s="880">
        <f t="shared" si="272"/>
        <v>650</v>
      </c>
      <c r="K255" s="880">
        <f t="shared" si="272"/>
        <v>650</v>
      </c>
      <c r="L255" s="880">
        <f t="shared" si="272"/>
        <v>650</v>
      </c>
      <c r="M255" s="880">
        <f t="shared" si="272"/>
        <v>1250</v>
      </c>
      <c r="N255" s="25">
        <f t="shared" si="263"/>
        <v>10200</v>
      </c>
    </row>
    <row r="256" spans="1:14">
      <c r="A256" s="2">
        <f t="shared" si="260"/>
        <v>2023</v>
      </c>
      <c r="B256" s="880">
        <f t="shared" ref="B256:M256" si="273">B656+B696+B736+B776+B816+B856+B896+B936+B976+B1016</f>
        <v>1250</v>
      </c>
      <c r="C256" s="880">
        <f t="shared" si="273"/>
        <v>1250</v>
      </c>
      <c r="D256" s="880">
        <f t="shared" si="273"/>
        <v>1250</v>
      </c>
      <c r="E256" s="880">
        <f t="shared" si="273"/>
        <v>650</v>
      </c>
      <c r="F256" s="880">
        <f t="shared" si="273"/>
        <v>650</v>
      </c>
      <c r="G256" s="880">
        <f t="shared" si="273"/>
        <v>650</v>
      </c>
      <c r="H256" s="880">
        <f t="shared" si="273"/>
        <v>650</v>
      </c>
      <c r="I256" s="880">
        <f t="shared" si="273"/>
        <v>650</v>
      </c>
      <c r="J256" s="880">
        <f t="shared" si="273"/>
        <v>650</v>
      </c>
      <c r="K256" s="880">
        <f t="shared" si="273"/>
        <v>650</v>
      </c>
      <c r="L256" s="880">
        <f t="shared" si="273"/>
        <v>650</v>
      </c>
      <c r="M256" s="880">
        <f t="shared" si="273"/>
        <v>1250</v>
      </c>
      <c r="N256" s="25">
        <f t="shared" si="263"/>
        <v>10200</v>
      </c>
    </row>
    <row r="257" spans="1:14">
      <c r="A257" s="2">
        <f t="shared" si="260"/>
        <v>2024</v>
      </c>
      <c r="B257" s="880">
        <f t="shared" ref="B257:M257" si="274">B657+B697+B737+B777+B817+B857+B897+B937+B977+B1017</f>
        <v>1250</v>
      </c>
      <c r="C257" s="880">
        <f t="shared" si="274"/>
        <v>1250</v>
      </c>
      <c r="D257" s="880">
        <f t="shared" si="274"/>
        <v>1250</v>
      </c>
      <c r="E257" s="880">
        <f t="shared" si="274"/>
        <v>650</v>
      </c>
      <c r="F257" s="880">
        <f t="shared" si="274"/>
        <v>650</v>
      </c>
      <c r="G257" s="880">
        <f t="shared" si="274"/>
        <v>650</v>
      </c>
      <c r="H257" s="880">
        <f t="shared" si="274"/>
        <v>650</v>
      </c>
      <c r="I257" s="880">
        <f t="shared" si="274"/>
        <v>650</v>
      </c>
      <c r="J257" s="880">
        <f t="shared" si="274"/>
        <v>650</v>
      </c>
      <c r="K257" s="880">
        <f t="shared" si="274"/>
        <v>650</v>
      </c>
      <c r="L257" s="880">
        <f t="shared" si="274"/>
        <v>650</v>
      </c>
      <c r="M257" s="880">
        <f t="shared" si="274"/>
        <v>1250</v>
      </c>
      <c r="N257" s="25">
        <f t="shared" si="263"/>
        <v>10200</v>
      </c>
    </row>
    <row r="258" spans="1:14">
      <c r="A258" s="2">
        <f t="shared" si="260"/>
        <v>2025</v>
      </c>
      <c r="B258" s="880">
        <f t="shared" ref="B258:M258" si="275">B658+B698+B738+B778+B818+B858+B898+B938+B978+B1018</f>
        <v>1250</v>
      </c>
      <c r="C258" s="880">
        <f t="shared" si="275"/>
        <v>1250</v>
      </c>
      <c r="D258" s="880">
        <f t="shared" si="275"/>
        <v>1250</v>
      </c>
      <c r="E258" s="880">
        <f t="shared" si="275"/>
        <v>650</v>
      </c>
      <c r="F258" s="880">
        <f t="shared" si="275"/>
        <v>650</v>
      </c>
      <c r="G258" s="880">
        <f t="shared" si="275"/>
        <v>650</v>
      </c>
      <c r="H258" s="880">
        <f t="shared" si="275"/>
        <v>650</v>
      </c>
      <c r="I258" s="880">
        <f t="shared" si="275"/>
        <v>650</v>
      </c>
      <c r="J258" s="880">
        <f t="shared" si="275"/>
        <v>650</v>
      </c>
      <c r="K258" s="880">
        <f t="shared" si="275"/>
        <v>650</v>
      </c>
      <c r="L258" s="880">
        <f t="shared" si="275"/>
        <v>650</v>
      </c>
      <c r="M258" s="880">
        <f t="shared" si="275"/>
        <v>1250</v>
      </c>
      <c r="N258" s="25">
        <f t="shared" si="263"/>
        <v>10200</v>
      </c>
    </row>
    <row r="259" spans="1:14">
      <c r="A259" s="2">
        <f t="shared" si="260"/>
        <v>2026</v>
      </c>
      <c r="B259" s="880">
        <f t="shared" ref="B259:M259" si="276">B659+B699+B739+B779+B819+B859+B899+B939+B979+B1019</f>
        <v>1250</v>
      </c>
      <c r="C259" s="880">
        <f t="shared" si="276"/>
        <v>1250</v>
      </c>
      <c r="D259" s="880">
        <f t="shared" si="276"/>
        <v>1250</v>
      </c>
      <c r="E259" s="880">
        <f t="shared" si="276"/>
        <v>650</v>
      </c>
      <c r="F259" s="880">
        <f t="shared" si="276"/>
        <v>650</v>
      </c>
      <c r="G259" s="880">
        <f t="shared" si="276"/>
        <v>650</v>
      </c>
      <c r="H259" s="880">
        <f t="shared" si="276"/>
        <v>650</v>
      </c>
      <c r="I259" s="880">
        <f t="shared" si="276"/>
        <v>650</v>
      </c>
      <c r="J259" s="880">
        <f t="shared" si="276"/>
        <v>650</v>
      </c>
      <c r="K259" s="880">
        <f t="shared" si="276"/>
        <v>650</v>
      </c>
      <c r="L259" s="880">
        <f t="shared" si="276"/>
        <v>650</v>
      </c>
      <c r="M259" s="880">
        <f t="shared" si="276"/>
        <v>1250</v>
      </c>
      <c r="N259" s="25">
        <f t="shared" si="263"/>
        <v>10200</v>
      </c>
    </row>
    <row r="260" spans="1:14">
      <c r="A260" s="2">
        <f t="shared" si="260"/>
        <v>2027</v>
      </c>
      <c r="B260" s="880">
        <f t="shared" ref="B260:M260" si="277">B660+B700+B740+B780+B820+B860+B900+B940+B980+B1020</f>
        <v>1250</v>
      </c>
      <c r="C260" s="880">
        <f t="shared" si="277"/>
        <v>1250</v>
      </c>
      <c r="D260" s="880">
        <f t="shared" si="277"/>
        <v>1250</v>
      </c>
      <c r="E260" s="880">
        <f t="shared" si="277"/>
        <v>650</v>
      </c>
      <c r="F260" s="880">
        <f t="shared" si="277"/>
        <v>650</v>
      </c>
      <c r="G260" s="880">
        <f t="shared" si="277"/>
        <v>650</v>
      </c>
      <c r="H260" s="880">
        <f t="shared" si="277"/>
        <v>650</v>
      </c>
      <c r="I260" s="880">
        <f t="shared" si="277"/>
        <v>650</v>
      </c>
      <c r="J260" s="880">
        <f t="shared" si="277"/>
        <v>650</v>
      </c>
      <c r="K260" s="880">
        <f t="shared" si="277"/>
        <v>650</v>
      </c>
      <c r="L260" s="880">
        <f t="shared" si="277"/>
        <v>650</v>
      </c>
      <c r="M260" s="880">
        <f t="shared" si="277"/>
        <v>1250</v>
      </c>
      <c r="N260" s="25">
        <f t="shared" si="263"/>
        <v>10200</v>
      </c>
    </row>
    <row r="261" spans="1:14">
      <c r="A261" s="2">
        <f t="shared" si="260"/>
        <v>2028</v>
      </c>
      <c r="B261" s="880">
        <f t="shared" ref="B261:M261" si="278">B661+B701+B741+B781+B821+B861+B901+B941+B981+B1021</f>
        <v>1250</v>
      </c>
      <c r="C261" s="880">
        <f t="shared" si="278"/>
        <v>1250</v>
      </c>
      <c r="D261" s="880">
        <f t="shared" si="278"/>
        <v>1250</v>
      </c>
      <c r="E261" s="880">
        <f t="shared" si="278"/>
        <v>650</v>
      </c>
      <c r="F261" s="880">
        <f t="shared" si="278"/>
        <v>650</v>
      </c>
      <c r="G261" s="880">
        <f t="shared" si="278"/>
        <v>650</v>
      </c>
      <c r="H261" s="880">
        <f t="shared" si="278"/>
        <v>650</v>
      </c>
      <c r="I261" s="880">
        <f t="shared" si="278"/>
        <v>650</v>
      </c>
      <c r="J261" s="880">
        <f t="shared" si="278"/>
        <v>650</v>
      </c>
      <c r="K261" s="880">
        <f t="shared" si="278"/>
        <v>650</v>
      </c>
      <c r="L261" s="880">
        <f t="shared" si="278"/>
        <v>650</v>
      </c>
      <c r="M261" s="880">
        <f t="shared" si="278"/>
        <v>1250</v>
      </c>
      <c r="N261" s="25">
        <f t="shared" si="263"/>
        <v>10200</v>
      </c>
    </row>
    <row r="262" spans="1:14">
      <c r="A262" s="2">
        <f t="shared" si="260"/>
        <v>2029</v>
      </c>
      <c r="B262" s="880">
        <f t="shared" ref="B262:M262" si="279">B662+B702+B742+B782+B822+B862+B902+B942+B982+B1022</f>
        <v>1250</v>
      </c>
      <c r="C262" s="880">
        <f t="shared" si="279"/>
        <v>1250</v>
      </c>
      <c r="D262" s="880">
        <f t="shared" si="279"/>
        <v>1250</v>
      </c>
      <c r="E262" s="880">
        <f t="shared" si="279"/>
        <v>650</v>
      </c>
      <c r="F262" s="880">
        <f t="shared" si="279"/>
        <v>650</v>
      </c>
      <c r="G262" s="880">
        <f t="shared" si="279"/>
        <v>650</v>
      </c>
      <c r="H262" s="880">
        <f t="shared" si="279"/>
        <v>650</v>
      </c>
      <c r="I262" s="880">
        <f t="shared" si="279"/>
        <v>650</v>
      </c>
      <c r="J262" s="880">
        <f t="shared" si="279"/>
        <v>650</v>
      </c>
      <c r="K262" s="880">
        <f t="shared" si="279"/>
        <v>650</v>
      </c>
      <c r="L262" s="880">
        <f t="shared" si="279"/>
        <v>650</v>
      </c>
      <c r="M262" s="880">
        <f t="shared" si="279"/>
        <v>1250</v>
      </c>
      <c r="N262" s="25">
        <f t="shared" si="263"/>
        <v>10200</v>
      </c>
    </row>
    <row r="263" spans="1:14">
      <c r="A263" s="2">
        <f t="shared" si="260"/>
        <v>2030</v>
      </c>
      <c r="B263" s="880">
        <f t="shared" ref="B263:M263" si="280">B663+B703+B743+B783+B823+B863+B903+B943+B983+B1023</f>
        <v>1250</v>
      </c>
      <c r="C263" s="880">
        <f t="shared" si="280"/>
        <v>1250</v>
      </c>
      <c r="D263" s="880">
        <f t="shared" si="280"/>
        <v>1250</v>
      </c>
      <c r="E263" s="880">
        <f t="shared" si="280"/>
        <v>650</v>
      </c>
      <c r="F263" s="880">
        <f t="shared" si="280"/>
        <v>650</v>
      </c>
      <c r="G263" s="880">
        <f t="shared" si="280"/>
        <v>650</v>
      </c>
      <c r="H263" s="880">
        <f t="shared" si="280"/>
        <v>650</v>
      </c>
      <c r="I263" s="880">
        <f t="shared" si="280"/>
        <v>650</v>
      </c>
      <c r="J263" s="880">
        <f t="shared" si="280"/>
        <v>650</v>
      </c>
      <c r="K263" s="880">
        <f t="shared" si="280"/>
        <v>650</v>
      </c>
      <c r="L263" s="880">
        <f t="shared" si="280"/>
        <v>650</v>
      </c>
      <c r="M263" s="880">
        <f t="shared" si="280"/>
        <v>1250</v>
      </c>
      <c r="N263" s="25">
        <f t="shared" si="263"/>
        <v>10200</v>
      </c>
    </row>
    <row r="264" spans="1:14">
      <c r="A264" s="2">
        <f t="shared" si="260"/>
        <v>2031</v>
      </c>
      <c r="B264" s="880">
        <f t="shared" ref="B264:M264" si="281">B664+B704+B744+B784+B824+B864+B904+B944+B984+B1024</f>
        <v>1250</v>
      </c>
      <c r="C264" s="880">
        <f t="shared" si="281"/>
        <v>1250</v>
      </c>
      <c r="D264" s="880">
        <f t="shared" si="281"/>
        <v>1250</v>
      </c>
      <c r="E264" s="880">
        <f t="shared" si="281"/>
        <v>650</v>
      </c>
      <c r="F264" s="880">
        <f t="shared" si="281"/>
        <v>650</v>
      </c>
      <c r="G264" s="880">
        <f t="shared" si="281"/>
        <v>650</v>
      </c>
      <c r="H264" s="880">
        <f t="shared" si="281"/>
        <v>650</v>
      </c>
      <c r="I264" s="880">
        <f t="shared" si="281"/>
        <v>650</v>
      </c>
      <c r="J264" s="880">
        <f t="shared" si="281"/>
        <v>650</v>
      </c>
      <c r="K264" s="880">
        <f t="shared" si="281"/>
        <v>650</v>
      </c>
      <c r="L264" s="880">
        <f t="shared" si="281"/>
        <v>650</v>
      </c>
      <c r="M264" s="880">
        <f t="shared" si="281"/>
        <v>1250</v>
      </c>
      <c r="N264" s="25">
        <f t="shared" si="263"/>
        <v>10200</v>
      </c>
    </row>
    <row r="265" spans="1:14">
      <c r="A265" s="2">
        <f t="shared" si="260"/>
        <v>2032</v>
      </c>
      <c r="B265" s="880">
        <f t="shared" ref="B265:M265" si="282">B665+B705+B745+B785+B825+B865+B905+B945+B985+B1025</f>
        <v>1250</v>
      </c>
      <c r="C265" s="880">
        <f t="shared" si="282"/>
        <v>1250</v>
      </c>
      <c r="D265" s="880">
        <f t="shared" si="282"/>
        <v>1250</v>
      </c>
      <c r="E265" s="880">
        <f t="shared" si="282"/>
        <v>650</v>
      </c>
      <c r="F265" s="880">
        <f t="shared" si="282"/>
        <v>650</v>
      </c>
      <c r="G265" s="880">
        <f t="shared" si="282"/>
        <v>650</v>
      </c>
      <c r="H265" s="880">
        <f t="shared" si="282"/>
        <v>650</v>
      </c>
      <c r="I265" s="880">
        <f t="shared" si="282"/>
        <v>650</v>
      </c>
      <c r="J265" s="880">
        <f t="shared" si="282"/>
        <v>650</v>
      </c>
      <c r="K265" s="880">
        <f t="shared" si="282"/>
        <v>650</v>
      </c>
      <c r="L265" s="880">
        <f t="shared" si="282"/>
        <v>650</v>
      </c>
      <c r="M265" s="880">
        <f t="shared" si="282"/>
        <v>1250</v>
      </c>
      <c r="N265" s="25">
        <f t="shared" si="263"/>
        <v>10200</v>
      </c>
    </row>
    <row r="266" spans="1:14">
      <c r="A266" s="2">
        <f t="shared" si="260"/>
        <v>2033</v>
      </c>
      <c r="B266" s="880">
        <f t="shared" ref="B266:M266" si="283">B666+B706+B746+B786+B826+B866+B906+B946+B986+B1026</f>
        <v>1250</v>
      </c>
      <c r="C266" s="880">
        <f t="shared" si="283"/>
        <v>1250</v>
      </c>
      <c r="D266" s="880">
        <f t="shared" si="283"/>
        <v>1250</v>
      </c>
      <c r="E266" s="880">
        <f t="shared" si="283"/>
        <v>650</v>
      </c>
      <c r="F266" s="880">
        <f t="shared" si="283"/>
        <v>650</v>
      </c>
      <c r="G266" s="880">
        <f t="shared" si="283"/>
        <v>650</v>
      </c>
      <c r="H266" s="880">
        <f t="shared" si="283"/>
        <v>650</v>
      </c>
      <c r="I266" s="880">
        <f t="shared" si="283"/>
        <v>650</v>
      </c>
      <c r="J266" s="880">
        <f t="shared" si="283"/>
        <v>650</v>
      </c>
      <c r="K266" s="880">
        <f t="shared" si="283"/>
        <v>650</v>
      </c>
      <c r="L266" s="880">
        <f t="shared" si="283"/>
        <v>650</v>
      </c>
      <c r="M266" s="880">
        <f t="shared" si="283"/>
        <v>1250</v>
      </c>
      <c r="N266" s="25">
        <f t="shared" si="263"/>
        <v>10200</v>
      </c>
    </row>
    <row r="267" spans="1:14">
      <c r="A267" s="2">
        <f t="shared" si="260"/>
        <v>2034</v>
      </c>
      <c r="B267" s="880">
        <f t="shared" ref="B267:M267" si="284">B667+B707+B747+B787+B827+B867+B907+B947+B987+B1027</f>
        <v>1250</v>
      </c>
      <c r="C267" s="880">
        <f t="shared" si="284"/>
        <v>1250</v>
      </c>
      <c r="D267" s="880">
        <f t="shared" si="284"/>
        <v>1250</v>
      </c>
      <c r="E267" s="880">
        <f t="shared" si="284"/>
        <v>650</v>
      </c>
      <c r="F267" s="880">
        <f t="shared" si="284"/>
        <v>650</v>
      </c>
      <c r="G267" s="880">
        <f t="shared" si="284"/>
        <v>650</v>
      </c>
      <c r="H267" s="880">
        <f t="shared" si="284"/>
        <v>650</v>
      </c>
      <c r="I267" s="880">
        <f t="shared" si="284"/>
        <v>650</v>
      </c>
      <c r="J267" s="880">
        <f t="shared" si="284"/>
        <v>650</v>
      </c>
      <c r="K267" s="880">
        <f t="shared" si="284"/>
        <v>650</v>
      </c>
      <c r="L267" s="880">
        <f t="shared" si="284"/>
        <v>650</v>
      </c>
      <c r="M267" s="880">
        <f t="shared" si="284"/>
        <v>1250</v>
      </c>
      <c r="N267" s="25">
        <f t="shared" si="263"/>
        <v>10200</v>
      </c>
    </row>
    <row r="268" spans="1:14">
      <c r="A268" s="2">
        <f t="shared" si="260"/>
        <v>2035</v>
      </c>
      <c r="B268" s="880">
        <f t="shared" ref="B268:M268" si="285">B668+B708+B748+B788+B828+B868+B908+B948+B988+B1028</f>
        <v>1250</v>
      </c>
      <c r="C268" s="880">
        <f t="shared" si="285"/>
        <v>1250</v>
      </c>
      <c r="D268" s="880">
        <f t="shared" si="285"/>
        <v>1250</v>
      </c>
      <c r="E268" s="880">
        <f t="shared" si="285"/>
        <v>650</v>
      </c>
      <c r="F268" s="880">
        <f t="shared" si="285"/>
        <v>650</v>
      </c>
      <c r="G268" s="880">
        <f t="shared" si="285"/>
        <v>650</v>
      </c>
      <c r="H268" s="880">
        <f t="shared" si="285"/>
        <v>650</v>
      </c>
      <c r="I268" s="880">
        <f t="shared" si="285"/>
        <v>650</v>
      </c>
      <c r="J268" s="880">
        <f t="shared" si="285"/>
        <v>650</v>
      </c>
      <c r="K268" s="880">
        <f t="shared" si="285"/>
        <v>650</v>
      </c>
      <c r="L268" s="880">
        <f t="shared" si="285"/>
        <v>650</v>
      </c>
      <c r="M268" s="880">
        <f t="shared" si="285"/>
        <v>1250</v>
      </c>
      <c r="N268" s="25">
        <f t="shared" si="263"/>
        <v>10200</v>
      </c>
    </row>
    <row r="269" spans="1:14">
      <c r="A269" s="2">
        <f t="shared" si="260"/>
        <v>2036</v>
      </c>
      <c r="B269" s="880">
        <f t="shared" ref="B269:M269" si="286">B669+B709+B749+B789+B829+B869+B909+B949+B989+B1029</f>
        <v>1250</v>
      </c>
      <c r="C269" s="880">
        <f t="shared" si="286"/>
        <v>1250</v>
      </c>
      <c r="D269" s="880">
        <f t="shared" si="286"/>
        <v>1250</v>
      </c>
      <c r="E269" s="880">
        <f t="shared" si="286"/>
        <v>650</v>
      </c>
      <c r="F269" s="880">
        <f t="shared" si="286"/>
        <v>650</v>
      </c>
      <c r="G269" s="880">
        <f t="shared" si="286"/>
        <v>650</v>
      </c>
      <c r="H269" s="880">
        <f t="shared" si="286"/>
        <v>650</v>
      </c>
      <c r="I269" s="880">
        <f t="shared" si="286"/>
        <v>650</v>
      </c>
      <c r="J269" s="880">
        <f t="shared" si="286"/>
        <v>650</v>
      </c>
      <c r="K269" s="880">
        <f t="shared" si="286"/>
        <v>650</v>
      </c>
      <c r="L269" s="880">
        <f t="shared" si="286"/>
        <v>650</v>
      </c>
      <c r="M269" s="880">
        <f t="shared" si="286"/>
        <v>1250</v>
      </c>
      <c r="N269" s="25">
        <f t="shared" si="263"/>
        <v>10200</v>
      </c>
    </row>
    <row r="270" spans="1:14">
      <c r="A270" s="2">
        <f t="shared" si="260"/>
        <v>2037</v>
      </c>
      <c r="B270" s="880">
        <f t="shared" ref="B270:M270" si="287">B670+B710+B750+B790+B830+B870+B910+B950+B990+B1030</f>
        <v>1250</v>
      </c>
      <c r="C270" s="880">
        <f t="shared" si="287"/>
        <v>1250</v>
      </c>
      <c r="D270" s="880">
        <f t="shared" si="287"/>
        <v>1250</v>
      </c>
      <c r="E270" s="880">
        <f t="shared" si="287"/>
        <v>650</v>
      </c>
      <c r="F270" s="880">
        <f t="shared" si="287"/>
        <v>650</v>
      </c>
      <c r="G270" s="880">
        <f t="shared" si="287"/>
        <v>650</v>
      </c>
      <c r="H270" s="880">
        <f t="shared" si="287"/>
        <v>650</v>
      </c>
      <c r="I270" s="880">
        <f t="shared" si="287"/>
        <v>650</v>
      </c>
      <c r="J270" s="880">
        <f t="shared" si="287"/>
        <v>650</v>
      </c>
      <c r="K270" s="880">
        <f t="shared" si="287"/>
        <v>650</v>
      </c>
      <c r="L270" s="880">
        <f t="shared" si="287"/>
        <v>650</v>
      </c>
      <c r="M270" s="880">
        <f t="shared" si="287"/>
        <v>1250</v>
      </c>
      <c r="N270" s="25">
        <f t="shared" si="263"/>
        <v>10200</v>
      </c>
    </row>
    <row r="271" spans="1:14">
      <c r="A271" s="2">
        <f t="shared" si="260"/>
        <v>2038</v>
      </c>
      <c r="B271" s="880">
        <f t="shared" ref="B271:M271" si="288">B671+B711+B751+B791+B831+B871+B911+B951+B991+B1031</f>
        <v>1250</v>
      </c>
      <c r="C271" s="880">
        <f t="shared" si="288"/>
        <v>1250</v>
      </c>
      <c r="D271" s="880">
        <f t="shared" si="288"/>
        <v>1250</v>
      </c>
      <c r="E271" s="880">
        <f t="shared" si="288"/>
        <v>650</v>
      </c>
      <c r="F271" s="880">
        <f t="shared" si="288"/>
        <v>650</v>
      </c>
      <c r="G271" s="880">
        <f t="shared" si="288"/>
        <v>650</v>
      </c>
      <c r="H271" s="880">
        <f t="shared" si="288"/>
        <v>650</v>
      </c>
      <c r="I271" s="880">
        <f t="shared" si="288"/>
        <v>650</v>
      </c>
      <c r="J271" s="880">
        <f t="shared" si="288"/>
        <v>650</v>
      </c>
      <c r="K271" s="880">
        <f t="shared" si="288"/>
        <v>650</v>
      </c>
      <c r="L271" s="880">
        <f t="shared" si="288"/>
        <v>650</v>
      </c>
      <c r="M271" s="880">
        <f t="shared" si="288"/>
        <v>1250</v>
      </c>
      <c r="N271" s="25">
        <f t="shared" si="263"/>
        <v>10200</v>
      </c>
    </row>
    <row r="272" spans="1:14">
      <c r="A272" s="2">
        <f t="shared" si="260"/>
        <v>2039</v>
      </c>
      <c r="B272" s="880">
        <f t="shared" ref="B272:M272" si="289">B672+B712+B752+B792+B832+B872+B912+B952+B992+B1032</f>
        <v>1250</v>
      </c>
      <c r="C272" s="880">
        <f t="shared" si="289"/>
        <v>1250</v>
      </c>
      <c r="D272" s="880">
        <f t="shared" si="289"/>
        <v>1250</v>
      </c>
      <c r="E272" s="880">
        <f t="shared" si="289"/>
        <v>650</v>
      </c>
      <c r="F272" s="880">
        <f t="shared" si="289"/>
        <v>650</v>
      </c>
      <c r="G272" s="880">
        <f t="shared" si="289"/>
        <v>650</v>
      </c>
      <c r="H272" s="880">
        <f t="shared" si="289"/>
        <v>650</v>
      </c>
      <c r="I272" s="880">
        <f t="shared" si="289"/>
        <v>650</v>
      </c>
      <c r="J272" s="880">
        <f t="shared" si="289"/>
        <v>650</v>
      </c>
      <c r="K272" s="880">
        <f t="shared" si="289"/>
        <v>650</v>
      </c>
      <c r="L272" s="880">
        <f t="shared" si="289"/>
        <v>650</v>
      </c>
      <c r="M272" s="880">
        <f t="shared" si="289"/>
        <v>1250</v>
      </c>
      <c r="N272" s="25">
        <f t="shared" si="263"/>
        <v>10200</v>
      </c>
    </row>
    <row r="273" spans="1:14">
      <c r="A273" s="2">
        <f t="shared" si="260"/>
        <v>2040</v>
      </c>
      <c r="B273" s="880">
        <f t="shared" ref="B273:M273" si="290">B673+B713+B753+B793+B833+B873+B913+B953+B993+B1033</f>
        <v>1250</v>
      </c>
      <c r="C273" s="880">
        <f t="shared" si="290"/>
        <v>1250</v>
      </c>
      <c r="D273" s="880">
        <f t="shared" si="290"/>
        <v>1250</v>
      </c>
      <c r="E273" s="880">
        <f t="shared" si="290"/>
        <v>650</v>
      </c>
      <c r="F273" s="880">
        <f t="shared" si="290"/>
        <v>650</v>
      </c>
      <c r="G273" s="880">
        <f t="shared" si="290"/>
        <v>650</v>
      </c>
      <c r="H273" s="880">
        <f t="shared" si="290"/>
        <v>650</v>
      </c>
      <c r="I273" s="880">
        <f t="shared" si="290"/>
        <v>650</v>
      </c>
      <c r="J273" s="880">
        <f t="shared" si="290"/>
        <v>650</v>
      </c>
      <c r="K273" s="880">
        <f t="shared" si="290"/>
        <v>650</v>
      </c>
      <c r="L273" s="880">
        <f t="shared" si="290"/>
        <v>650</v>
      </c>
      <c r="M273" s="880">
        <f t="shared" si="290"/>
        <v>1250</v>
      </c>
      <c r="N273" s="25">
        <f t="shared" si="263"/>
        <v>10200</v>
      </c>
    </row>
    <row r="274" spans="1:14">
      <c r="A274" s="2">
        <f t="shared" si="260"/>
        <v>2041</v>
      </c>
      <c r="B274" s="880">
        <f t="shared" ref="B274:M274" si="291">B674+B714+B754+B794+B834+B874+B914+B954+B994+B1034</f>
        <v>0</v>
      </c>
      <c r="C274" s="880">
        <f t="shared" si="291"/>
        <v>0</v>
      </c>
      <c r="D274" s="880">
        <f t="shared" si="291"/>
        <v>0</v>
      </c>
      <c r="E274" s="880">
        <f t="shared" si="291"/>
        <v>0</v>
      </c>
      <c r="F274" s="880">
        <f t="shared" si="291"/>
        <v>0</v>
      </c>
      <c r="G274" s="880">
        <f t="shared" si="291"/>
        <v>0</v>
      </c>
      <c r="H274" s="880">
        <f t="shared" si="291"/>
        <v>0</v>
      </c>
      <c r="I274" s="880">
        <f t="shared" si="291"/>
        <v>0</v>
      </c>
      <c r="J274" s="880">
        <f t="shared" si="291"/>
        <v>0</v>
      </c>
      <c r="K274" s="880">
        <f t="shared" si="291"/>
        <v>0</v>
      </c>
      <c r="L274" s="880">
        <f t="shared" si="291"/>
        <v>0</v>
      </c>
      <c r="M274" s="880">
        <f t="shared" si="291"/>
        <v>0</v>
      </c>
      <c r="N274" s="25">
        <f>AVERAGE(B274:M274)</f>
        <v>0</v>
      </c>
    </row>
    <row r="275" spans="1:14">
      <c r="A275" s="2">
        <f t="shared" si="260"/>
        <v>2042</v>
      </c>
      <c r="B275" s="880">
        <f t="shared" ref="B275:M275" si="292">B675+B715+B755+B795+B835+B875+B915+B955+B995+B1035</f>
        <v>0</v>
      </c>
      <c r="C275" s="880">
        <f t="shared" si="292"/>
        <v>0</v>
      </c>
      <c r="D275" s="880">
        <f t="shared" si="292"/>
        <v>0</v>
      </c>
      <c r="E275" s="880">
        <f t="shared" si="292"/>
        <v>0</v>
      </c>
      <c r="F275" s="880">
        <f t="shared" si="292"/>
        <v>0</v>
      </c>
      <c r="G275" s="880">
        <f t="shared" si="292"/>
        <v>0</v>
      </c>
      <c r="H275" s="880">
        <f t="shared" si="292"/>
        <v>0</v>
      </c>
      <c r="I275" s="880">
        <f t="shared" si="292"/>
        <v>0</v>
      </c>
      <c r="J275" s="880">
        <f t="shared" si="292"/>
        <v>0</v>
      </c>
      <c r="K275" s="880">
        <f t="shared" si="292"/>
        <v>0</v>
      </c>
      <c r="L275" s="880">
        <f t="shared" si="292"/>
        <v>0</v>
      </c>
      <c r="M275" s="880">
        <f t="shared" si="292"/>
        <v>0</v>
      </c>
      <c r="N275" s="25">
        <f>AVERAGE(B275:M275)</f>
        <v>0</v>
      </c>
    </row>
    <row r="276" spans="1:14">
      <c r="A276" s="2">
        <f t="shared" si="260"/>
        <v>2043</v>
      </c>
      <c r="B276" s="880">
        <f t="shared" ref="B276:M276" si="293">B676+B716+B756+B796+B836+B876+B916+B956+B996+B1036</f>
        <v>0</v>
      </c>
      <c r="C276" s="880">
        <f t="shared" si="293"/>
        <v>0</v>
      </c>
      <c r="D276" s="880">
        <f t="shared" si="293"/>
        <v>0</v>
      </c>
      <c r="E276" s="880">
        <f t="shared" si="293"/>
        <v>0</v>
      </c>
      <c r="F276" s="880">
        <f t="shared" si="293"/>
        <v>0</v>
      </c>
      <c r="G276" s="880">
        <f t="shared" si="293"/>
        <v>0</v>
      </c>
      <c r="H276" s="880">
        <f t="shared" si="293"/>
        <v>0</v>
      </c>
      <c r="I276" s="880">
        <f t="shared" si="293"/>
        <v>0</v>
      </c>
      <c r="J276" s="880">
        <f t="shared" si="293"/>
        <v>0</v>
      </c>
      <c r="K276" s="880">
        <f t="shared" si="293"/>
        <v>0</v>
      </c>
      <c r="L276" s="880">
        <f t="shared" si="293"/>
        <v>0</v>
      </c>
      <c r="M276" s="880">
        <f t="shared" si="293"/>
        <v>0</v>
      </c>
      <c r="N276" s="25">
        <f>AVERAGE(B276:M276)</f>
        <v>0</v>
      </c>
    </row>
    <row r="277" spans="1:14">
      <c r="A277" s="2">
        <f t="shared" si="260"/>
        <v>2044</v>
      </c>
      <c r="B277" s="880">
        <f t="shared" ref="B277:M277" si="294">B677+B717+B757+B797+B837+B877+B917+B957+B997+B1037</f>
        <v>0</v>
      </c>
      <c r="C277" s="880">
        <f t="shared" si="294"/>
        <v>0</v>
      </c>
      <c r="D277" s="880">
        <f t="shared" si="294"/>
        <v>0</v>
      </c>
      <c r="E277" s="880">
        <f t="shared" si="294"/>
        <v>0</v>
      </c>
      <c r="F277" s="880">
        <f t="shared" si="294"/>
        <v>0</v>
      </c>
      <c r="G277" s="880">
        <f t="shared" si="294"/>
        <v>0</v>
      </c>
      <c r="H277" s="880">
        <f t="shared" si="294"/>
        <v>0</v>
      </c>
      <c r="I277" s="880">
        <f t="shared" si="294"/>
        <v>0</v>
      </c>
      <c r="J277" s="880">
        <f t="shared" si="294"/>
        <v>0</v>
      </c>
      <c r="K277" s="880">
        <f t="shared" si="294"/>
        <v>0</v>
      </c>
      <c r="L277" s="880">
        <f t="shared" si="294"/>
        <v>0</v>
      </c>
      <c r="M277" s="880">
        <f t="shared" si="294"/>
        <v>0</v>
      </c>
      <c r="N277" s="25">
        <f>AVERAGE(B277:M277)</f>
        <v>0</v>
      </c>
    </row>
    <row r="278" spans="1:14">
      <c r="A278" s="2">
        <f t="shared" si="260"/>
        <v>2045</v>
      </c>
      <c r="B278" s="880">
        <f t="shared" ref="B278:M278" si="295">B678+B718+B758+B798+B838+B878+B918+B958+B998+B1038</f>
        <v>0</v>
      </c>
      <c r="C278" s="880">
        <f t="shared" si="295"/>
        <v>0</v>
      </c>
      <c r="D278" s="880">
        <f t="shared" si="295"/>
        <v>0</v>
      </c>
      <c r="E278" s="880">
        <f t="shared" si="295"/>
        <v>0</v>
      </c>
      <c r="F278" s="880">
        <f t="shared" si="295"/>
        <v>0</v>
      </c>
      <c r="G278" s="880">
        <f t="shared" si="295"/>
        <v>0</v>
      </c>
      <c r="H278" s="880">
        <f t="shared" si="295"/>
        <v>0</v>
      </c>
      <c r="I278" s="880">
        <f t="shared" si="295"/>
        <v>0</v>
      </c>
      <c r="J278" s="880">
        <f t="shared" si="295"/>
        <v>0</v>
      </c>
      <c r="K278" s="880">
        <f t="shared" si="295"/>
        <v>0</v>
      </c>
      <c r="L278" s="880">
        <f t="shared" si="295"/>
        <v>0</v>
      </c>
      <c r="M278" s="880">
        <f t="shared" si="295"/>
        <v>0</v>
      </c>
      <c r="N278" s="25">
        <f>AVERAGE(B278:M278)</f>
        <v>0</v>
      </c>
    </row>
    <row r="279" spans="1:14"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25"/>
    </row>
    <row r="280" spans="1:14"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25"/>
    </row>
    <row r="281" spans="1:14">
      <c r="A281" s="31" t="s">
        <v>523</v>
      </c>
    </row>
    <row r="282" spans="1:14">
      <c r="A282" s="27" t="s">
        <v>9</v>
      </c>
      <c r="B282" s="27" t="s">
        <v>28</v>
      </c>
      <c r="C282" s="27" t="s">
        <v>29</v>
      </c>
      <c r="D282" s="27" t="s">
        <v>30</v>
      </c>
      <c r="E282" s="27" t="s">
        <v>31</v>
      </c>
      <c r="F282" s="27" t="s">
        <v>32</v>
      </c>
      <c r="G282" s="27" t="s">
        <v>33</v>
      </c>
      <c r="H282" s="27" t="s">
        <v>34</v>
      </c>
      <c r="I282" s="27" t="s">
        <v>35</v>
      </c>
      <c r="J282" s="27" t="s">
        <v>36</v>
      </c>
      <c r="K282" s="27" t="s">
        <v>37</v>
      </c>
      <c r="L282" s="27" t="s">
        <v>38</v>
      </c>
      <c r="M282" s="27" t="s">
        <v>39</v>
      </c>
      <c r="N282" s="27" t="s">
        <v>53</v>
      </c>
    </row>
    <row r="283" spans="1:14">
      <c r="A283" s="2">
        <f>A203</f>
        <v>2010</v>
      </c>
      <c r="B283" s="25">
        <f>B1203+B1283+B1363+B1403+B1443+B1483+B1563+B1683</f>
        <v>323.45405847474956</v>
      </c>
      <c r="C283" s="25">
        <f t="shared" ref="C283:M283" si="296">C1203+C1283+C1363+C1403+C1443+C1483+C1563+C1643+C1683</f>
        <v>356.36905847474952</v>
      </c>
      <c r="D283" s="25">
        <f t="shared" si="296"/>
        <v>341.39605847474951</v>
      </c>
      <c r="E283" s="25">
        <f t="shared" si="296"/>
        <v>253.17405847474956</v>
      </c>
      <c r="F283" s="25">
        <f t="shared" si="296"/>
        <v>350.27405847474955</v>
      </c>
      <c r="G283" s="25">
        <f t="shared" si="296"/>
        <v>414.9140584747496</v>
      </c>
      <c r="H283" s="25">
        <f t="shared" si="296"/>
        <v>476.76105847474957</v>
      </c>
      <c r="I283" s="25">
        <f t="shared" si="296"/>
        <v>475.51991622615776</v>
      </c>
      <c r="J283" s="25">
        <f t="shared" si="296"/>
        <v>386.90370963710973</v>
      </c>
      <c r="K283" s="25">
        <f t="shared" si="296"/>
        <v>262.34886502049903</v>
      </c>
      <c r="L283" s="25">
        <f t="shared" si="296"/>
        <v>170.06249543045698</v>
      </c>
      <c r="M283" s="25">
        <f t="shared" si="296"/>
        <v>357.57139550676652</v>
      </c>
      <c r="N283" s="25">
        <f t="shared" ref="N283:N286" si="297">AVERAGE(B283:M283)</f>
        <v>347.39573259535308</v>
      </c>
    </row>
    <row r="284" spans="1:14">
      <c r="A284" s="2">
        <f>A283+1</f>
        <v>2011</v>
      </c>
      <c r="B284" s="887">
        <f>B1204+B1284+B1364+B1404+B1444+B1484+B1524+B1564+B1644+B1684</f>
        <v>222.64810462858895</v>
      </c>
      <c r="C284" s="887">
        <f t="shared" ref="C284:M284" si="298">C1204+C1284+C1364+C1404+C1444+C1484+C1524+C1564+C1644+C1684</f>
        <v>226.64810462858895</v>
      </c>
      <c r="D284" s="887">
        <f t="shared" si="298"/>
        <v>237.64810462858895</v>
      </c>
      <c r="E284" s="887">
        <f t="shared" si="298"/>
        <v>241.64810462858895</v>
      </c>
      <c r="F284" s="887">
        <f t="shared" si="298"/>
        <v>245.6219798144561</v>
      </c>
      <c r="G284" s="887">
        <f t="shared" si="298"/>
        <v>253.6219798144561</v>
      </c>
      <c r="H284" s="887">
        <f t="shared" si="298"/>
        <v>269.6219798144561</v>
      </c>
      <c r="I284" s="887">
        <f t="shared" si="298"/>
        <v>256.6219798144561</v>
      </c>
      <c r="J284" s="887">
        <f t="shared" si="298"/>
        <v>248.6219798144561</v>
      </c>
      <c r="K284" s="887">
        <f t="shared" si="298"/>
        <v>246.6219798144561</v>
      </c>
      <c r="L284" s="887">
        <f t="shared" si="298"/>
        <v>233.6219798144561</v>
      </c>
      <c r="M284" s="887">
        <f t="shared" si="298"/>
        <v>229.6219798144561</v>
      </c>
      <c r="N284" s="25">
        <f t="shared" si="297"/>
        <v>242.7140214191671</v>
      </c>
    </row>
    <row r="285" spans="1:14">
      <c r="A285" s="2">
        <f t="shared" ref="A285:A318" si="299">A284+1</f>
        <v>2012</v>
      </c>
      <c r="B285" s="887">
        <f>B1205+B1285+B1365+B1405+B1445+B1485+B1525+B1565+B1645+B1685</f>
        <v>223.608</v>
      </c>
      <c r="C285" s="887">
        <f t="shared" ref="C285:M285" si="300">C1205+C1285+C1365+C1405+C1445+C1485+C1525+C1565+C1645+C1685</f>
        <v>229.608</v>
      </c>
      <c r="D285" s="887">
        <f t="shared" si="300"/>
        <v>240.608</v>
      </c>
      <c r="E285" s="887">
        <f t="shared" si="300"/>
        <v>244.608</v>
      </c>
      <c r="F285" s="887">
        <f t="shared" si="300"/>
        <v>248.608</v>
      </c>
      <c r="G285" s="887">
        <f t="shared" si="300"/>
        <v>256.608</v>
      </c>
      <c r="H285" s="887">
        <f t="shared" si="300"/>
        <v>272.608</v>
      </c>
      <c r="I285" s="887">
        <f t="shared" si="300"/>
        <v>260.608</v>
      </c>
      <c r="J285" s="887">
        <f t="shared" si="300"/>
        <v>252.608</v>
      </c>
      <c r="K285" s="887">
        <f t="shared" si="300"/>
        <v>250.608</v>
      </c>
      <c r="L285" s="887">
        <f t="shared" si="300"/>
        <v>237.608</v>
      </c>
      <c r="M285" s="887">
        <f t="shared" si="300"/>
        <v>234.608</v>
      </c>
      <c r="N285" s="25">
        <f t="shared" si="297"/>
        <v>246.02466666666669</v>
      </c>
    </row>
    <row r="286" spans="1:14">
      <c r="A286" s="2">
        <f t="shared" si="299"/>
        <v>2013</v>
      </c>
      <c r="B286" s="887">
        <f>B1206+B1286+B1366+B1406+B1446+B1486+B1526+B1566+B1646+B1686</f>
        <v>236.08999999999997</v>
      </c>
      <c r="C286" s="887">
        <f t="shared" ref="C286:M286" si="301">C1206+C1286+C1366+C1406+C1446+C1486+C1526+C1566+C1646+C1686</f>
        <v>247.09999999999997</v>
      </c>
      <c r="D286" s="887">
        <f t="shared" si="301"/>
        <v>269.08999999999997</v>
      </c>
      <c r="E286" s="887">
        <f t="shared" si="301"/>
        <v>241.08999999999997</v>
      </c>
      <c r="F286" s="887">
        <f t="shared" si="301"/>
        <v>271.08999999999997</v>
      </c>
      <c r="G286" s="887">
        <f t="shared" si="301"/>
        <v>284.09999999999997</v>
      </c>
      <c r="H286" s="887">
        <f t="shared" si="301"/>
        <v>287.09999999999997</v>
      </c>
      <c r="I286" s="887">
        <f t="shared" si="301"/>
        <v>288.09999999999997</v>
      </c>
      <c r="J286" s="887">
        <f t="shared" si="301"/>
        <v>268.09999999999997</v>
      </c>
      <c r="K286" s="887">
        <f t="shared" si="301"/>
        <v>251.08999999999997</v>
      </c>
      <c r="L286" s="887">
        <f t="shared" si="301"/>
        <v>234.08999999999997</v>
      </c>
      <c r="M286" s="887">
        <f t="shared" si="301"/>
        <v>241.08999999999997</v>
      </c>
      <c r="N286" s="25">
        <f t="shared" si="297"/>
        <v>259.84416666666669</v>
      </c>
    </row>
    <row r="287" spans="1:14">
      <c r="A287" s="2">
        <f t="shared" si="299"/>
        <v>2014</v>
      </c>
      <c r="B287" s="887">
        <f t="shared" ref="B287:M287" si="302">B1207+B1287+B1367+B1407+B1447+B1487+B1527+B1567+B1647+B1687</f>
        <v>199.07</v>
      </c>
      <c r="C287" s="887">
        <f t="shared" si="302"/>
        <v>182.05999999999997</v>
      </c>
      <c r="D287" s="887">
        <f t="shared" si="302"/>
        <v>212.04999999999998</v>
      </c>
      <c r="E287" s="887">
        <f t="shared" si="302"/>
        <v>185.04999999999998</v>
      </c>
      <c r="F287" s="887">
        <f t="shared" si="302"/>
        <v>212.04999999999998</v>
      </c>
      <c r="G287" s="887">
        <f t="shared" si="302"/>
        <v>212.04999999999998</v>
      </c>
      <c r="H287" s="887">
        <f t="shared" si="302"/>
        <v>212.04999999999998</v>
      </c>
      <c r="I287" s="887">
        <f t="shared" si="302"/>
        <v>212.04999999999998</v>
      </c>
      <c r="J287" s="887">
        <f t="shared" si="302"/>
        <v>200.04999999999998</v>
      </c>
      <c r="K287" s="887">
        <f t="shared" si="302"/>
        <v>194.04999999999998</v>
      </c>
      <c r="L287" s="887">
        <f t="shared" si="302"/>
        <v>175.04999999999998</v>
      </c>
      <c r="M287" s="887">
        <f t="shared" si="302"/>
        <v>184.04999999999998</v>
      </c>
      <c r="N287" s="25">
        <f t="shared" ref="N287:N313" si="303">AVERAGE(B287:M287)</f>
        <v>198.30250000000001</v>
      </c>
    </row>
    <row r="288" spans="1:14">
      <c r="A288" s="2">
        <f t="shared" si="299"/>
        <v>2015</v>
      </c>
      <c r="B288" s="887">
        <f t="shared" ref="B288:M288" si="304">B1208+B1288+B1368+B1408+B1448+B1488+B1528+B1568+B1648+B1688</f>
        <v>180.04999999999998</v>
      </c>
      <c r="C288" s="887">
        <f t="shared" si="304"/>
        <v>166.04999999999998</v>
      </c>
      <c r="D288" s="887">
        <f t="shared" si="304"/>
        <v>214.04999999999998</v>
      </c>
      <c r="E288" s="887">
        <f t="shared" si="304"/>
        <v>185.04999999999998</v>
      </c>
      <c r="F288" s="887">
        <f t="shared" si="304"/>
        <v>214.04999999999998</v>
      </c>
      <c r="G288" s="887">
        <f t="shared" si="304"/>
        <v>214.04999999999998</v>
      </c>
      <c r="H288" s="887">
        <f t="shared" si="304"/>
        <v>214.04999999999998</v>
      </c>
      <c r="I288" s="887">
        <f t="shared" si="304"/>
        <v>214.04999999999998</v>
      </c>
      <c r="J288" s="887">
        <f t="shared" si="304"/>
        <v>200.04999999999998</v>
      </c>
      <c r="K288" s="887">
        <f t="shared" si="304"/>
        <v>195.04999999999998</v>
      </c>
      <c r="L288" s="887">
        <f t="shared" si="304"/>
        <v>177.04999999999998</v>
      </c>
      <c r="M288" s="887">
        <f t="shared" si="304"/>
        <v>187.04999999999998</v>
      </c>
      <c r="N288" s="25">
        <f t="shared" si="303"/>
        <v>196.71666666666667</v>
      </c>
    </row>
    <row r="289" spans="1:14">
      <c r="A289" s="2">
        <f t="shared" si="299"/>
        <v>2016</v>
      </c>
      <c r="B289" s="887">
        <f t="shared" ref="B289:M289" si="305">B1209+B1289+B1369+B1409+B1449+B1489+B1529+B1569+B1649+B1689</f>
        <v>182.04999999999998</v>
      </c>
      <c r="C289" s="887">
        <f t="shared" si="305"/>
        <v>167.04999999999998</v>
      </c>
      <c r="D289" s="887">
        <f t="shared" si="305"/>
        <v>216.04999999999998</v>
      </c>
      <c r="E289" s="887">
        <f t="shared" si="305"/>
        <v>185.04999999999998</v>
      </c>
      <c r="F289" s="887">
        <f t="shared" si="305"/>
        <v>216.04999999999998</v>
      </c>
      <c r="G289" s="887">
        <f t="shared" si="305"/>
        <v>216.04999999999998</v>
      </c>
      <c r="H289" s="887">
        <f t="shared" si="305"/>
        <v>216.04999999999998</v>
      </c>
      <c r="I289" s="887">
        <f t="shared" si="305"/>
        <v>216.04999999999998</v>
      </c>
      <c r="J289" s="887">
        <f t="shared" si="305"/>
        <v>200.04999999999998</v>
      </c>
      <c r="K289" s="887">
        <f t="shared" si="305"/>
        <v>196.04999999999998</v>
      </c>
      <c r="L289" s="887">
        <f t="shared" si="305"/>
        <v>179.04999999999998</v>
      </c>
      <c r="M289" s="887">
        <f t="shared" si="305"/>
        <v>190.04999999999998</v>
      </c>
      <c r="N289" s="25">
        <f t="shared" si="303"/>
        <v>198.29999999999998</v>
      </c>
    </row>
    <row r="290" spans="1:14">
      <c r="A290" s="2">
        <f t="shared" si="299"/>
        <v>2017</v>
      </c>
      <c r="B290" s="887">
        <f t="shared" ref="B290:M290" si="306">B1210+B1290+B1370+B1410+B1450+B1490+B1530+B1570+B1650+B1690</f>
        <v>65.05</v>
      </c>
      <c r="C290" s="887">
        <f t="shared" si="306"/>
        <v>65.05</v>
      </c>
      <c r="D290" s="887">
        <f t="shared" si="306"/>
        <v>65.05</v>
      </c>
      <c r="E290" s="887">
        <f t="shared" si="306"/>
        <v>65.05</v>
      </c>
      <c r="F290" s="887">
        <f t="shared" si="306"/>
        <v>65.05</v>
      </c>
      <c r="G290" s="887">
        <f t="shared" si="306"/>
        <v>65.05</v>
      </c>
      <c r="H290" s="887">
        <f t="shared" si="306"/>
        <v>65.05</v>
      </c>
      <c r="I290" s="887">
        <f t="shared" si="306"/>
        <v>65.05</v>
      </c>
      <c r="J290" s="887">
        <f t="shared" si="306"/>
        <v>65.05</v>
      </c>
      <c r="K290" s="887">
        <f t="shared" si="306"/>
        <v>65.05</v>
      </c>
      <c r="L290" s="887">
        <f t="shared" si="306"/>
        <v>65.05</v>
      </c>
      <c r="M290" s="887">
        <f t="shared" si="306"/>
        <v>65.05</v>
      </c>
      <c r="N290" s="25">
        <f t="shared" si="303"/>
        <v>65.049999999999983</v>
      </c>
    </row>
    <row r="291" spans="1:14">
      <c r="A291" s="2">
        <f t="shared" si="299"/>
        <v>2018</v>
      </c>
      <c r="B291" s="887">
        <f t="shared" ref="B291:M291" si="307">B1211+B1291+B1371+B1411+B1451+B1491+B1531+B1571+B1651+B1691</f>
        <v>65.05</v>
      </c>
      <c r="C291" s="887">
        <f t="shared" si="307"/>
        <v>65.05</v>
      </c>
      <c r="D291" s="887">
        <f t="shared" si="307"/>
        <v>65.05</v>
      </c>
      <c r="E291" s="887">
        <f t="shared" si="307"/>
        <v>65.05</v>
      </c>
      <c r="F291" s="887">
        <f t="shared" si="307"/>
        <v>65.05</v>
      </c>
      <c r="G291" s="887">
        <f t="shared" si="307"/>
        <v>65.05</v>
      </c>
      <c r="H291" s="887">
        <f t="shared" si="307"/>
        <v>65.05</v>
      </c>
      <c r="I291" s="887">
        <f t="shared" si="307"/>
        <v>65.05</v>
      </c>
      <c r="J291" s="887">
        <f t="shared" si="307"/>
        <v>65.05</v>
      </c>
      <c r="K291" s="887">
        <f t="shared" si="307"/>
        <v>65.05</v>
      </c>
      <c r="L291" s="887">
        <f t="shared" si="307"/>
        <v>65.05</v>
      </c>
      <c r="M291" s="887">
        <f t="shared" si="307"/>
        <v>65.05</v>
      </c>
      <c r="N291" s="25">
        <f t="shared" si="303"/>
        <v>65.049999999999983</v>
      </c>
    </row>
    <row r="292" spans="1:14">
      <c r="A292" s="2">
        <f t="shared" si="299"/>
        <v>2019</v>
      </c>
      <c r="B292" s="887">
        <f t="shared" ref="B292:M292" si="308">B1212+B1292+B1372+B1412+B1452+B1492+B1532+B1572+B1652+B1692</f>
        <v>65.05</v>
      </c>
      <c r="C292" s="887">
        <f t="shared" si="308"/>
        <v>65.05</v>
      </c>
      <c r="D292" s="887">
        <f t="shared" si="308"/>
        <v>65.05</v>
      </c>
      <c r="E292" s="887">
        <f t="shared" si="308"/>
        <v>65.05</v>
      </c>
      <c r="F292" s="887">
        <f t="shared" si="308"/>
        <v>65.05</v>
      </c>
      <c r="G292" s="887">
        <f t="shared" si="308"/>
        <v>65.05</v>
      </c>
      <c r="H292" s="887">
        <f t="shared" si="308"/>
        <v>65.05</v>
      </c>
      <c r="I292" s="887">
        <f t="shared" si="308"/>
        <v>65.05</v>
      </c>
      <c r="J292" s="887">
        <f t="shared" si="308"/>
        <v>65.05</v>
      </c>
      <c r="K292" s="887">
        <f t="shared" si="308"/>
        <v>65.05</v>
      </c>
      <c r="L292" s="887">
        <f t="shared" si="308"/>
        <v>65.05</v>
      </c>
      <c r="M292" s="887">
        <f t="shared" si="308"/>
        <v>65.05</v>
      </c>
      <c r="N292" s="25">
        <f t="shared" si="303"/>
        <v>65.049999999999983</v>
      </c>
    </row>
    <row r="293" spans="1:14">
      <c r="A293" s="2">
        <f t="shared" si="299"/>
        <v>2020</v>
      </c>
      <c r="B293" s="887">
        <f t="shared" ref="B293:M293" si="309">B1213+B1293+B1373+B1413+B1453+B1493+B1533+B1573+B1653+B1693</f>
        <v>65.05</v>
      </c>
      <c r="C293" s="887">
        <f t="shared" si="309"/>
        <v>65.05</v>
      </c>
      <c r="D293" s="887">
        <f t="shared" si="309"/>
        <v>65.05</v>
      </c>
      <c r="E293" s="887">
        <f t="shared" si="309"/>
        <v>65.05</v>
      </c>
      <c r="F293" s="887">
        <f t="shared" si="309"/>
        <v>65.05</v>
      </c>
      <c r="G293" s="887">
        <f t="shared" si="309"/>
        <v>65.05</v>
      </c>
      <c r="H293" s="887">
        <f t="shared" si="309"/>
        <v>65.05</v>
      </c>
      <c r="I293" s="887">
        <f t="shared" si="309"/>
        <v>65.05</v>
      </c>
      <c r="J293" s="887">
        <f t="shared" si="309"/>
        <v>65.05</v>
      </c>
      <c r="K293" s="887">
        <f t="shared" si="309"/>
        <v>65.05</v>
      </c>
      <c r="L293" s="887">
        <f t="shared" si="309"/>
        <v>65.05</v>
      </c>
      <c r="M293" s="887">
        <f t="shared" si="309"/>
        <v>65.05</v>
      </c>
      <c r="N293" s="25">
        <f t="shared" si="303"/>
        <v>65.049999999999983</v>
      </c>
    </row>
    <row r="294" spans="1:14">
      <c r="A294" s="2">
        <f t="shared" si="299"/>
        <v>2021</v>
      </c>
      <c r="B294" s="887">
        <f t="shared" ref="B294:M294" si="310">B1214+B1294+B1374+B1414+B1454+B1494+B1534+B1574+B1654+B1694</f>
        <v>65.05</v>
      </c>
      <c r="C294" s="887">
        <f t="shared" si="310"/>
        <v>65.05</v>
      </c>
      <c r="D294" s="887">
        <f t="shared" si="310"/>
        <v>65.05</v>
      </c>
      <c r="E294" s="887">
        <f t="shared" si="310"/>
        <v>65.05</v>
      </c>
      <c r="F294" s="887">
        <f t="shared" si="310"/>
        <v>65.05</v>
      </c>
      <c r="G294" s="887">
        <f t="shared" si="310"/>
        <v>65.05</v>
      </c>
      <c r="H294" s="887">
        <f t="shared" si="310"/>
        <v>65.05</v>
      </c>
      <c r="I294" s="887">
        <f t="shared" si="310"/>
        <v>65.05</v>
      </c>
      <c r="J294" s="887">
        <f t="shared" si="310"/>
        <v>65.05</v>
      </c>
      <c r="K294" s="887">
        <f t="shared" si="310"/>
        <v>65.05</v>
      </c>
      <c r="L294" s="887">
        <f t="shared" si="310"/>
        <v>65.05</v>
      </c>
      <c r="M294" s="887">
        <f t="shared" si="310"/>
        <v>65.05</v>
      </c>
      <c r="N294" s="25">
        <f t="shared" si="303"/>
        <v>65.049999999999983</v>
      </c>
    </row>
    <row r="295" spans="1:14">
      <c r="A295" s="2">
        <f t="shared" si="299"/>
        <v>2022</v>
      </c>
      <c r="B295" s="887">
        <f t="shared" ref="B295:M295" si="311">B1215+B1295+B1375+B1415+B1455+B1495+B1535+B1575+B1655+B1695</f>
        <v>65.05</v>
      </c>
      <c r="C295" s="887">
        <f t="shared" si="311"/>
        <v>65.05</v>
      </c>
      <c r="D295" s="887">
        <f t="shared" si="311"/>
        <v>65.05</v>
      </c>
      <c r="E295" s="887">
        <f t="shared" si="311"/>
        <v>65.05</v>
      </c>
      <c r="F295" s="887">
        <f t="shared" si="311"/>
        <v>65.05</v>
      </c>
      <c r="G295" s="887">
        <f t="shared" si="311"/>
        <v>65.05</v>
      </c>
      <c r="H295" s="887">
        <f t="shared" si="311"/>
        <v>65.05</v>
      </c>
      <c r="I295" s="887">
        <f t="shared" si="311"/>
        <v>65.05</v>
      </c>
      <c r="J295" s="887">
        <f t="shared" si="311"/>
        <v>65.05</v>
      </c>
      <c r="K295" s="887">
        <f t="shared" si="311"/>
        <v>65.05</v>
      </c>
      <c r="L295" s="887">
        <f t="shared" si="311"/>
        <v>65.05</v>
      </c>
      <c r="M295" s="887">
        <f t="shared" si="311"/>
        <v>65.05</v>
      </c>
      <c r="N295" s="25">
        <f t="shared" si="303"/>
        <v>65.049999999999983</v>
      </c>
    </row>
    <row r="296" spans="1:14">
      <c r="A296" s="2">
        <f t="shared" si="299"/>
        <v>2023</v>
      </c>
      <c r="B296" s="887">
        <f t="shared" ref="B296:M296" si="312">B1216+B1296+B1376+B1416+B1456+B1496+B1536+B1576+B1656+B1696</f>
        <v>65.05</v>
      </c>
      <c r="C296" s="887">
        <f t="shared" si="312"/>
        <v>65.05</v>
      </c>
      <c r="D296" s="887">
        <f t="shared" si="312"/>
        <v>65.05</v>
      </c>
      <c r="E296" s="887">
        <f t="shared" si="312"/>
        <v>65.05</v>
      </c>
      <c r="F296" s="887">
        <f t="shared" si="312"/>
        <v>65.05</v>
      </c>
      <c r="G296" s="887">
        <f t="shared" si="312"/>
        <v>65.05</v>
      </c>
      <c r="H296" s="887">
        <f t="shared" si="312"/>
        <v>65.05</v>
      </c>
      <c r="I296" s="887">
        <f t="shared" si="312"/>
        <v>65.05</v>
      </c>
      <c r="J296" s="887">
        <f t="shared" si="312"/>
        <v>65.05</v>
      </c>
      <c r="K296" s="887">
        <f t="shared" si="312"/>
        <v>65.05</v>
      </c>
      <c r="L296" s="887">
        <f t="shared" si="312"/>
        <v>65.05</v>
      </c>
      <c r="M296" s="887">
        <f t="shared" si="312"/>
        <v>65.05</v>
      </c>
      <c r="N296" s="25">
        <f t="shared" si="303"/>
        <v>65.049999999999983</v>
      </c>
    </row>
    <row r="297" spans="1:14">
      <c r="A297" s="2">
        <f t="shared" si="299"/>
        <v>2024</v>
      </c>
      <c r="B297" s="887">
        <f t="shared" ref="B297:M297" si="313">B1217+B1297+B1377+B1417+B1457+B1497+B1537+B1577+B1657+B1697</f>
        <v>65.05</v>
      </c>
      <c r="C297" s="887">
        <f t="shared" si="313"/>
        <v>65.05</v>
      </c>
      <c r="D297" s="887">
        <f t="shared" si="313"/>
        <v>65.05</v>
      </c>
      <c r="E297" s="887">
        <f t="shared" si="313"/>
        <v>65.05</v>
      </c>
      <c r="F297" s="887">
        <f t="shared" si="313"/>
        <v>65.05</v>
      </c>
      <c r="G297" s="887">
        <f t="shared" si="313"/>
        <v>65.05</v>
      </c>
      <c r="H297" s="887">
        <f t="shared" si="313"/>
        <v>65.05</v>
      </c>
      <c r="I297" s="887">
        <f t="shared" si="313"/>
        <v>65.05</v>
      </c>
      <c r="J297" s="887">
        <f t="shared" si="313"/>
        <v>65.05</v>
      </c>
      <c r="K297" s="887">
        <f t="shared" si="313"/>
        <v>65.05</v>
      </c>
      <c r="L297" s="887">
        <f t="shared" si="313"/>
        <v>65.05</v>
      </c>
      <c r="M297" s="887">
        <f t="shared" si="313"/>
        <v>65.05</v>
      </c>
      <c r="N297" s="25">
        <f t="shared" si="303"/>
        <v>65.049999999999983</v>
      </c>
    </row>
    <row r="298" spans="1:14">
      <c r="A298" s="2">
        <f t="shared" si="299"/>
        <v>2025</v>
      </c>
      <c r="B298" s="887">
        <f t="shared" ref="B298:M298" si="314">B1218+B1298+B1378+B1418+B1458+B1498+B1538+B1578+B1658+B1698</f>
        <v>65.05</v>
      </c>
      <c r="C298" s="887">
        <f t="shared" si="314"/>
        <v>65.05</v>
      </c>
      <c r="D298" s="887">
        <f t="shared" si="314"/>
        <v>65.05</v>
      </c>
      <c r="E298" s="887">
        <f t="shared" si="314"/>
        <v>65.05</v>
      </c>
      <c r="F298" s="887">
        <f t="shared" si="314"/>
        <v>65.05</v>
      </c>
      <c r="G298" s="887">
        <f t="shared" si="314"/>
        <v>65.05</v>
      </c>
      <c r="H298" s="887">
        <f t="shared" si="314"/>
        <v>65.05</v>
      </c>
      <c r="I298" s="887">
        <f t="shared" si="314"/>
        <v>65.05</v>
      </c>
      <c r="J298" s="887">
        <f t="shared" si="314"/>
        <v>65.05</v>
      </c>
      <c r="K298" s="887">
        <f t="shared" si="314"/>
        <v>65.05</v>
      </c>
      <c r="L298" s="887">
        <f t="shared" si="314"/>
        <v>65.05</v>
      </c>
      <c r="M298" s="887">
        <f t="shared" si="314"/>
        <v>65.05</v>
      </c>
      <c r="N298" s="25">
        <f t="shared" si="303"/>
        <v>65.049999999999983</v>
      </c>
    </row>
    <row r="299" spans="1:14">
      <c r="A299" s="2">
        <f t="shared" si="299"/>
        <v>2026</v>
      </c>
      <c r="B299" s="887">
        <f t="shared" ref="B299:M299" si="315">B1219+B1299+B1379+B1419+B1459+B1499+B1539+B1579+B1659+B1699</f>
        <v>65.05</v>
      </c>
      <c r="C299" s="887">
        <f t="shared" si="315"/>
        <v>65.05</v>
      </c>
      <c r="D299" s="887">
        <f t="shared" si="315"/>
        <v>65.05</v>
      </c>
      <c r="E299" s="887">
        <f t="shared" si="315"/>
        <v>65.05</v>
      </c>
      <c r="F299" s="887">
        <f t="shared" si="315"/>
        <v>65.05</v>
      </c>
      <c r="G299" s="887">
        <f t="shared" si="315"/>
        <v>65.05</v>
      </c>
      <c r="H299" s="887">
        <f t="shared" si="315"/>
        <v>65.05</v>
      </c>
      <c r="I299" s="887">
        <f t="shared" si="315"/>
        <v>65.05</v>
      </c>
      <c r="J299" s="887">
        <f t="shared" si="315"/>
        <v>65.05</v>
      </c>
      <c r="K299" s="887">
        <f t="shared" si="315"/>
        <v>65.05</v>
      </c>
      <c r="L299" s="887">
        <f t="shared" si="315"/>
        <v>65.05</v>
      </c>
      <c r="M299" s="887">
        <f t="shared" si="315"/>
        <v>65.05</v>
      </c>
      <c r="N299" s="25">
        <f t="shared" si="303"/>
        <v>65.049999999999983</v>
      </c>
    </row>
    <row r="300" spans="1:14">
      <c r="A300" s="2">
        <f t="shared" si="299"/>
        <v>2027</v>
      </c>
      <c r="B300" s="887">
        <f t="shared" ref="B300:M300" si="316">B1220+B1300+B1380+B1420+B1460+B1500+B1540+B1580+B1660+B1700</f>
        <v>65.05</v>
      </c>
      <c r="C300" s="887">
        <f t="shared" si="316"/>
        <v>65.05</v>
      </c>
      <c r="D300" s="887">
        <f t="shared" si="316"/>
        <v>65.05</v>
      </c>
      <c r="E300" s="887">
        <f t="shared" si="316"/>
        <v>65.05</v>
      </c>
      <c r="F300" s="887">
        <f t="shared" si="316"/>
        <v>65.05</v>
      </c>
      <c r="G300" s="887">
        <f t="shared" si="316"/>
        <v>65.05</v>
      </c>
      <c r="H300" s="887">
        <f t="shared" si="316"/>
        <v>65.05</v>
      </c>
      <c r="I300" s="887">
        <f t="shared" si="316"/>
        <v>65.05</v>
      </c>
      <c r="J300" s="887">
        <f t="shared" si="316"/>
        <v>65.05</v>
      </c>
      <c r="K300" s="887">
        <f t="shared" si="316"/>
        <v>65.05</v>
      </c>
      <c r="L300" s="887">
        <f t="shared" si="316"/>
        <v>65.05</v>
      </c>
      <c r="M300" s="887">
        <f t="shared" si="316"/>
        <v>65.05</v>
      </c>
      <c r="N300" s="25">
        <f t="shared" si="303"/>
        <v>65.049999999999983</v>
      </c>
    </row>
    <row r="301" spans="1:14">
      <c r="A301" s="2">
        <f t="shared" si="299"/>
        <v>2028</v>
      </c>
      <c r="B301" s="887">
        <f t="shared" ref="B301:M301" si="317">B1221+B1301+B1381+B1421+B1461+B1501+B1541+B1581+B1661+B1701</f>
        <v>65.05</v>
      </c>
      <c r="C301" s="887">
        <f t="shared" si="317"/>
        <v>65.05</v>
      </c>
      <c r="D301" s="887">
        <f t="shared" si="317"/>
        <v>65.05</v>
      </c>
      <c r="E301" s="887">
        <f t="shared" si="317"/>
        <v>65.05</v>
      </c>
      <c r="F301" s="887">
        <f t="shared" si="317"/>
        <v>65.05</v>
      </c>
      <c r="G301" s="887">
        <f t="shared" si="317"/>
        <v>65.05</v>
      </c>
      <c r="H301" s="887">
        <f t="shared" si="317"/>
        <v>65.05</v>
      </c>
      <c r="I301" s="887">
        <f t="shared" si="317"/>
        <v>65.05</v>
      </c>
      <c r="J301" s="887">
        <f t="shared" si="317"/>
        <v>65.05</v>
      </c>
      <c r="K301" s="887">
        <f t="shared" si="317"/>
        <v>65.05</v>
      </c>
      <c r="L301" s="887">
        <f t="shared" si="317"/>
        <v>65.05</v>
      </c>
      <c r="M301" s="887">
        <f t="shared" si="317"/>
        <v>65.05</v>
      </c>
      <c r="N301" s="25">
        <f t="shared" si="303"/>
        <v>65.049999999999983</v>
      </c>
    </row>
    <row r="302" spans="1:14">
      <c r="A302" s="2">
        <f t="shared" si="299"/>
        <v>2029</v>
      </c>
      <c r="B302" s="887">
        <f t="shared" ref="B302:M302" si="318">B1222+B1302+B1382+B1422+B1462+B1502+B1542+B1582+B1662+B1702</f>
        <v>65.05</v>
      </c>
      <c r="C302" s="887">
        <f t="shared" si="318"/>
        <v>65.05</v>
      </c>
      <c r="D302" s="887">
        <f t="shared" si="318"/>
        <v>65.05</v>
      </c>
      <c r="E302" s="887">
        <f t="shared" si="318"/>
        <v>65.05</v>
      </c>
      <c r="F302" s="887">
        <f t="shared" si="318"/>
        <v>65.05</v>
      </c>
      <c r="G302" s="887">
        <f t="shared" si="318"/>
        <v>65.05</v>
      </c>
      <c r="H302" s="887">
        <f t="shared" si="318"/>
        <v>65.05</v>
      </c>
      <c r="I302" s="887">
        <f t="shared" si="318"/>
        <v>65.05</v>
      </c>
      <c r="J302" s="887">
        <f t="shared" si="318"/>
        <v>65.05</v>
      </c>
      <c r="K302" s="887">
        <f t="shared" si="318"/>
        <v>65.05</v>
      </c>
      <c r="L302" s="887">
        <f t="shared" si="318"/>
        <v>65.05</v>
      </c>
      <c r="M302" s="887">
        <f t="shared" si="318"/>
        <v>65.05</v>
      </c>
      <c r="N302" s="25">
        <f t="shared" si="303"/>
        <v>65.049999999999983</v>
      </c>
    </row>
    <row r="303" spans="1:14">
      <c r="A303" s="2">
        <f t="shared" si="299"/>
        <v>2030</v>
      </c>
      <c r="B303" s="887">
        <f t="shared" ref="B303:M303" si="319">B1223+B1303+B1383+B1423+B1463+B1503+B1543+B1583+B1663+B1703</f>
        <v>65.05</v>
      </c>
      <c r="C303" s="887">
        <f t="shared" si="319"/>
        <v>65.05</v>
      </c>
      <c r="D303" s="887">
        <f t="shared" si="319"/>
        <v>65.05</v>
      </c>
      <c r="E303" s="887">
        <f t="shared" si="319"/>
        <v>65.05</v>
      </c>
      <c r="F303" s="887">
        <f t="shared" si="319"/>
        <v>65.05</v>
      </c>
      <c r="G303" s="887">
        <f t="shared" si="319"/>
        <v>65.05</v>
      </c>
      <c r="H303" s="887">
        <f t="shared" si="319"/>
        <v>65.05</v>
      </c>
      <c r="I303" s="887">
        <f t="shared" si="319"/>
        <v>65.05</v>
      </c>
      <c r="J303" s="887">
        <f t="shared" si="319"/>
        <v>65.05</v>
      </c>
      <c r="K303" s="887">
        <f t="shared" si="319"/>
        <v>65.05</v>
      </c>
      <c r="L303" s="887">
        <f t="shared" si="319"/>
        <v>65.05</v>
      </c>
      <c r="M303" s="887">
        <f t="shared" si="319"/>
        <v>65.05</v>
      </c>
      <c r="N303" s="25">
        <f t="shared" si="303"/>
        <v>65.049999999999983</v>
      </c>
    </row>
    <row r="304" spans="1:14">
      <c r="A304" s="2">
        <f t="shared" si="299"/>
        <v>2031</v>
      </c>
      <c r="B304" s="887">
        <f t="shared" ref="B304:M304" si="320">B1224+B1304+B1384+B1424+B1464+B1504+B1544+B1584+B1664+B1704</f>
        <v>65.05</v>
      </c>
      <c r="C304" s="887">
        <f t="shared" si="320"/>
        <v>65.05</v>
      </c>
      <c r="D304" s="887">
        <f t="shared" si="320"/>
        <v>65.05</v>
      </c>
      <c r="E304" s="887">
        <f t="shared" si="320"/>
        <v>65.05</v>
      </c>
      <c r="F304" s="887">
        <f t="shared" si="320"/>
        <v>65.05</v>
      </c>
      <c r="G304" s="887">
        <f t="shared" si="320"/>
        <v>65.05</v>
      </c>
      <c r="H304" s="887">
        <f t="shared" si="320"/>
        <v>65.05</v>
      </c>
      <c r="I304" s="887">
        <f t="shared" si="320"/>
        <v>65.05</v>
      </c>
      <c r="J304" s="887">
        <f t="shared" si="320"/>
        <v>65.05</v>
      </c>
      <c r="K304" s="887">
        <f t="shared" si="320"/>
        <v>65.05</v>
      </c>
      <c r="L304" s="887">
        <f t="shared" si="320"/>
        <v>65.05</v>
      </c>
      <c r="M304" s="887">
        <f t="shared" si="320"/>
        <v>65.05</v>
      </c>
      <c r="N304" s="25">
        <f t="shared" si="303"/>
        <v>65.049999999999983</v>
      </c>
    </row>
    <row r="305" spans="1:14">
      <c r="A305" s="2">
        <f t="shared" si="299"/>
        <v>2032</v>
      </c>
      <c r="B305" s="887">
        <f t="shared" ref="B305:M305" si="321">B1225+B1305+B1385+B1425+B1465+B1505+B1545+B1585+B1665+B1705</f>
        <v>65.05</v>
      </c>
      <c r="C305" s="887">
        <f t="shared" si="321"/>
        <v>65.05</v>
      </c>
      <c r="D305" s="887">
        <f t="shared" si="321"/>
        <v>65.05</v>
      </c>
      <c r="E305" s="887">
        <f t="shared" si="321"/>
        <v>65.05</v>
      </c>
      <c r="F305" s="887">
        <f t="shared" si="321"/>
        <v>65.05</v>
      </c>
      <c r="G305" s="887">
        <f t="shared" si="321"/>
        <v>65.05</v>
      </c>
      <c r="H305" s="887">
        <f t="shared" si="321"/>
        <v>65.05</v>
      </c>
      <c r="I305" s="887">
        <f t="shared" si="321"/>
        <v>65.05</v>
      </c>
      <c r="J305" s="887">
        <f t="shared" si="321"/>
        <v>65.05</v>
      </c>
      <c r="K305" s="887">
        <f t="shared" si="321"/>
        <v>65.05</v>
      </c>
      <c r="L305" s="887">
        <f t="shared" si="321"/>
        <v>65.05</v>
      </c>
      <c r="M305" s="887">
        <f t="shared" si="321"/>
        <v>65.05</v>
      </c>
      <c r="N305" s="25">
        <f t="shared" si="303"/>
        <v>65.049999999999983</v>
      </c>
    </row>
    <row r="306" spans="1:14">
      <c r="A306" s="2">
        <f t="shared" si="299"/>
        <v>2033</v>
      </c>
      <c r="B306" s="887">
        <f t="shared" ref="B306:M306" si="322">B1226+B1306+B1386+B1426+B1466+B1506+B1546+B1586+B1666+B1706</f>
        <v>65.05</v>
      </c>
      <c r="C306" s="887">
        <f t="shared" si="322"/>
        <v>65.05</v>
      </c>
      <c r="D306" s="887">
        <f t="shared" si="322"/>
        <v>65.05</v>
      </c>
      <c r="E306" s="887">
        <f t="shared" si="322"/>
        <v>65.05</v>
      </c>
      <c r="F306" s="887">
        <f t="shared" si="322"/>
        <v>65.05</v>
      </c>
      <c r="G306" s="887">
        <f t="shared" si="322"/>
        <v>65.05</v>
      </c>
      <c r="H306" s="887">
        <f t="shared" si="322"/>
        <v>65.05</v>
      </c>
      <c r="I306" s="887">
        <f t="shared" si="322"/>
        <v>65.05</v>
      </c>
      <c r="J306" s="887">
        <f t="shared" si="322"/>
        <v>65.05</v>
      </c>
      <c r="K306" s="887">
        <f t="shared" si="322"/>
        <v>65.05</v>
      </c>
      <c r="L306" s="887">
        <f t="shared" si="322"/>
        <v>65.05</v>
      </c>
      <c r="M306" s="887">
        <f t="shared" si="322"/>
        <v>65.05</v>
      </c>
      <c r="N306" s="25">
        <f t="shared" si="303"/>
        <v>65.049999999999983</v>
      </c>
    </row>
    <row r="307" spans="1:14">
      <c r="A307" s="2">
        <f t="shared" si="299"/>
        <v>2034</v>
      </c>
      <c r="B307" s="887">
        <f t="shared" ref="B307:M307" si="323">B1227+B1307+B1387+B1427+B1467+B1507+B1547+B1587+B1667+B1707</f>
        <v>65.05</v>
      </c>
      <c r="C307" s="887">
        <f t="shared" si="323"/>
        <v>65.05</v>
      </c>
      <c r="D307" s="887">
        <f t="shared" si="323"/>
        <v>65.05</v>
      </c>
      <c r="E307" s="887">
        <f t="shared" si="323"/>
        <v>65.05</v>
      </c>
      <c r="F307" s="887">
        <f t="shared" si="323"/>
        <v>65.05</v>
      </c>
      <c r="G307" s="887">
        <f t="shared" si="323"/>
        <v>65.05</v>
      </c>
      <c r="H307" s="887">
        <f t="shared" si="323"/>
        <v>65.05</v>
      </c>
      <c r="I307" s="887">
        <f t="shared" si="323"/>
        <v>65.05</v>
      </c>
      <c r="J307" s="887">
        <f t="shared" si="323"/>
        <v>65.05</v>
      </c>
      <c r="K307" s="887">
        <f t="shared" si="323"/>
        <v>65.05</v>
      </c>
      <c r="L307" s="887">
        <f t="shared" si="323"/>
        <v>65.05</v>
      </c>
      <c r="M307" s="887">
        <f t="shared" si="323"/>
        <v>65.05</v>
      </c>
      <c r="N307" s="25">
        <f t="shared" si="303"/>
        <v>65.049999999999983</v>
      </c>
    </row>
    <row r="308" spans="1:14">
      <c r="A308" s="2">
        <f t="shared" si="299"/>
        <v>2035</v>
      </c>
      <c r="B308" s="887">
        <f t="shared" ref="B308:M308" si="324">B1228+B1308+B1388+B1428+B1468+B1508+B1548+B1588+B1668+B1708</f>
        <v>65.05</v>
      </c>
      <c r="C308" s="887">
        <f t="shared" si="324"/>
        <v>65.05</v>
      </c>
      <c r="D308" s="887">
        <f t="shared" si="324"/>
        <v>65.05</v>
      </c>
      <c r="E308" s="887">
        <f t="shared" si="324"/>
        <v>65.05</v>
      </c>
      <c r="F308" s="887">
        <f t="shared" si="324"/>
        <v>65.05</v>
      </c>
      <c r="G308" s="887">
        <f t="shared" si="324"/>
        <v>65.05</v>
      </c>
      <c r="H308" s="887">
        <f t="shared" si="324"/>
        <v>65.05</v>
      </c>
      <c r="I308" s="887">
        <f t="shared" si="324"/>
        <v>65.05</v>
      </c>
      <c r="J308" s="887">
        <f t="shared" si="324"/>
        <v>65.05</v>
      </c>
      <c r="K308" s="887">
        <f t="shared" si="324"/>
        <v>65.05</v>
      </c>
      <c r="L308" s="887">
        <f t="shared" si="324"/>
        <v>65.05</v>
      </c>
      <c r="M308" s="887">
        <f t="shared" si="324"/>
        <v>65.05</v>
      </c>
      <c r="N308" s="25">
        <f t="shared" si="303"/>
        <v>65.049999999999983</v>
      </c>
    </row>
    <row r="309" spans="1:14">
      <c r="A309" s="2">
        <f t="shared" si="299"/>
        <v>2036</v>
      </c>
      <c r="B309" s="887">
        <f t="shared" ref="B309:M309" si="325">B1229+B1309+B1389+B1429+B1469+B1509+B1549+B1589+B1669+B1709</f>
        <v>65.05</v>
      </c>
      <c r="C309" s="887">
        <f t="shared" si="325"/>
        <v>65.05</v>
      </c>
      <c r="D309" s="887">
        <f t="shared" si="325"/>
        <v>65.05</v>
      </c>
      <c r="E309" s="887">
        <f t="shared" si="325"/>
        <v>65.05</v>
      </c>
      <c r="F309" s="887">
        <f t="shared" si="325"/>
        <v>65.05</v>
      </c>
      <c r="G309" s="887">
        <f t="shared" si="325"/>
        <v>65.05</v>
      </c>
      <c r="H309" s="887">
        <f t="shared" si="325"/>
        <v>65.05</v>
      </c>
      <c r="I309" s="887">
        <f t="shared" si="325"/>
        <v>65.05</v>
      </c>
      <c r="J309" s="887">
        <f t="shared" si="325"/>
        <v>65.05</v>
      </c>
      <c r="K309" s="887">
        <f t="shared" si="325"/>
        <v>65.05</v>
      </c>
      <c r="L309" s="887">
        <f t="shared" si="325"/>
        <v>65.05</v>
      </c>
      <c r="M309" s="887">
        <f t="shared" si="325"/>
        <v>65.05</v>
      </c>
      <c r="N309" s="25">
        <f t="shared" si="303"/>
        <v>65.049999999999983</v>
      </c>
    </row>
    <row r="310" spans="1:14">
      <c r="A310" s="2">
        <f t="shared" si="299"/>
        <v>2037</v>
      </c>
      <c r="B310" s="887">
        <f t="shared" ref="B310:M310" si="326">B1230+B1310+B1390+B1430+B1470+B1510+B1550+B1590+B1670+B1710</f>
        <v>65.05</v>
      </c>
      <c r="C310" s="887">
        <f t="shared" si="326"/>
        <v>65.05</v>
      </c>
      <c r="D310" s="887">
        <f t="shared" si="326"/>
        <v>65.05</v>
      </c>
      <c r="E310" s="887">
        <f t="shared" si="326"/>
        <v>65.05</v>
      </c>
      <c r="F310" s="887">
        <f t="shared" si="326"/>
        <v>65.05</v>
      </c>
      <c r="G310" s="887">
        <f t="shared" si="326"/>
        <v>65.05</v>
      </c>
      <c r="H310" s="887">
        <f t="shared" si="326"/>
        <v>65.05</v>
      </c>
      <c r="I310" s="887">
        <f t="shared" si="326"/>
        <v>65.05</v>
      </c>
      <c r="J310" s="887">
        <f t="shared" si="326"/>
        <v>65.05</v>
      </c>
      <c r="K310" s="887">
        <f t="shared" si="326"/>
        <v>65.05</v>
      </c>
      <c r="L310" s="887">
        <f t="shared" si="326"/>
        <v>65.05</v>
      </c>
      <c r="M310" s="887">
        <f t="shared" si="326"/>
        <v>65.05</v>
      </c>
      <c r="N310" s="25">
        <f t="shared" si="303"/>
        <v>65.049999999999983</v>
      </c>
    </row>
    <row r="311" spans="1:14">
      <c r="A311" s="2">
        <f t="shared" si="299"/>
        <v>2038</v>
      </c>
      <c r="B311" s="887">
        <f t="shared" ref="B311:M311" si="327">B1231+B1311+B1391+B1431+B1471+B1511+B1551+B1591+B1671+B1711</f>
        <v>65.05</v>
      </c>
      <c r="C311" s="887">
        <f t="shared" si="327"/>
        <v>65.05</v>
      </c>
      <c r="D311" s="887">
        <f t="shared" si="327"/>
        <v>65.05</v>
      </c>
      <c r="E311" s="887">
        <f t="shared" si="327"/>
        <v>65.05</v>
      </c>
      <c r="F311" s="887">
        <f t="shared" si="327"/>
        <v>65.05</v>
      </c>
      <c r="G311" s="887">
        <f t="shared" si="327"/>
        <v>65.05</v>
      </c>
      <c r="H311" s="887">
        <f t="shared" si="327"/>
        <v>65.05</v>
      </c>
      <c r="I311" s="887">
        <f t="shared" si="327"/>
        <v>65.05</v>
      </c>
      <c r="J311" s="887">
        <f t="shared" si="327"/>
        <v>65.05</v>
      </c>
      <c r="K311" s="887">
        <f t="shared" si="327"/>
        <v>65.05</v>
      </c>
      <c r="L311" s="887">
        <f t="shared" si="327"/>
        <v>65.05</v>
      </c>
      <c r="M311" s="887">
        <f t="shared" si="327"/>
        <v>65.05</v>
      </c>
      <c r="N311" s="25">
        <f t="shared" si="303"/>
        <v>65.049999999999983</v>
      </c>
    </row>
    <row r="312" spans="1:14">
      <c r="A312" s="2">
        <f t="shared" si="299"/>
        <v>2039</v>
      </c>
      <c r="B312" s="887">
        <f t="shared" ref="B312:M312" si="328">B1232+B1312+B1392+B1432+B1472+B1512+B1552+B1592+B1672+B1712</f>
        <v>65.05</v>
      </c>
      <c r="C312" s="887">
        <f t="shared" si="328"/>
        <v>65.05</v>
      </c>
      <c r="D312" s="887">
        <f t="shared" si="328"/>
        <v>65.05</v>
      </c>
      <c r="E312" s="887">
        <f t="shared" si="328"/>
        <v>65.05</v>
      </c>
      <c r="F312" s="887">
        <f t="shared" si="328"/>
        <v>65.05</v>
      </c>
      <c r="G312" s="887">
        <f t="shared" si="328"/>
        <v>65.05</v>
      </c>
      <c r="H312" s="887">
        <f t="shared" si="328"/>
        <v>65.05</v>
      </c>
      <c r="I312" s="887">
        <f t="shared" si="328"/>
        <v>65.05</v>
      </c>
      <c r="J312" s="887">
        <f t="shared" si="328"/>
        <v>65.05</v>
      </c>
      <c r="K312" s="887">
        <f t="shared" si="328"/>
        <v>65.05</v>
      </c>
      <c r="L312" s="887">
        <f t="shared" si="328"/>
        <v>65.05</v>
      </c>
      <c r="M312" s="887">
        <f t="shared" si="328"/>
        <v>65.05</v>
      </c>
      <c r="N312" s="25">
        <f t="shared" si="303"/>
        <v>65.049999999999983</v>
      </c>
    </row>
    <row r="313" spans="1:14">
      <c r="A313" s="2">
        <f t="shared" si="299"/>
        <v>2040</v>
      </c>
      <c r="B313" s="887">
        <f t="shared" ref="B313:M313" si="329">B1233+B1313+B1393+B1433+B1473+B1513+B1553+B1593+B1673+B1713</f>
        <v>65.05</v>
      </c>
      <c r="C313" s="887">
        <f t="shared" si="329"/>
        <v>65.05</v>
      </c>
      <c r="D313" s="887">
        <f t="shared" si="329"/>
        <v>65.05</v>
      </c>
      <c r="E313" s="887">
        <f t="shared" si="329"/>
        <v>65.05</v>
      </c>
      <c r="F313" s="887">
        <f t="shared" si="329"/>
        <v>65.05</v>
      </c>
      <c r="G313" s="887">
        <f t="shared" si="329"/>
        <v>65.05</v>
      </c>
      <c r="H313" s="887">
        <f t="shared" si="329"/>
        <v>65.05</v>
      </c>
      <c r="I313" s="887">
        <f t="shared" si="329"/>
        <v>65.05</v>
      </c>
      <c r="J313" s="887">
        <f t="shared" si="329"/>
        <v>65.05</v>
      </c>
      <c r="K313" s="887">
        <f t="shared" si="329"/>
        <v>65.05</v>
      </c>
      <c r="L313" s="887">
        <f t="shared" si="329"/>
        <v>65.05</v>
      </c>
      <c r="M313" s="887">
        <f t="shared" si="329"/>
        <v>65.05</v>
      </c>
      <c r="N313" s="25">
        <f t="shared" si="303"/>
        <v>65.049999999999983</v>
      </c>
    </row>
    <row r="314" spans="1:14">
      <c r="A314" s="2">
        <f t="shared" si="299"/>
        <v>2041</v>
      </c>
      <c r="B314" s="887">
        <f t="shared" ref="B314:M314" si="330">B1234+B1314+B1394+B1434+B1474+B1514+B1554+B1594+B1674+B1714</f>
        <v>0</v>
      </c>
      <c r="C314" s="887">
        <f t="shared" si="330"/>
        <v>0</v>
      </c>
      <c r="D314" s="887">
        <f t="shared" si="330"/>
        <v>0</v>
      </c>
      <c r="E314" s="887">
        <f t="shared" si="330"/>
        <v>0</v>
      </c>
      <c r="F314" s="887">
        <f t="shared" si="330"/>
        <v>0</v>
      </c>
      <c r="G314" s="887">
        <f t="shared" si="330"/>
        <v>0</v>
      </c>
      <c r="H314" s="887">
        <f t="shared" si="330"/>
        <v>0</v>
      </c>
      <c r="I314" s="887">
        <f t="shared" si="330"/>
        <v>0</v>
      </c>
      <c r="J314" s="887">
        <f t="shared" si="330"/>
        <v>0</v>
      </c>
      <c r="K314" s="887">
        <f t="shared" si="330"/>
        <v>0</v>
      </c>
      <c r="L314" s="887">
        <f t="shared" si="330"/>
        <v>0</v>
      </c>
      <c r="M314" s="887">
        <f t="shared" si="330"/>
        <v>0</v>
      </c>
      <c r="N314" s="25">
        <f>AVERAGE(B314:M314)</f>
        <v>0</v>
      </c>
    </row>
    <row r="315" spans="1:14">
      <c r="A315" s="2">
        <f t="shared" si="299"/>
        <v>2042</v>
      </c>
      <c r="B315" s="887">
        <f t="shared" ref="B315:M315" si="331">B1235+B1315+B1395+B1435+B1475+B1515+B1555+B1595+B1675+B1715</f>
        <v>0</v>
      </c>
      <c r="C315" s="887">
        <f t="shared" si="331"/>
        <v>0</v>
      </c>
      <c r="D315" s="887">
        <f t="shared" si="331"/>
        <v>0</v>
      </c>
      <c r="E315" s="887">
        <f t="shared" si="331"/>
        <v>0</v>
      </c>
      <c r="F315" s="887">
        <f t="shared" si="331"/>
        <v>0</v>
      </c>
      <c r="G315" s="887">
        <f t="shared" si="331"/>
        <v>0</v>
      </c>
      <c r="H315" s="887">
        <f t="shared" si="331"/>
        <v>0</v>
      </c>
      <c r="I315" s="887">
        <f t="shared" si="331"/>
        <v>0</v>
      </c>
      <c r="J315" s="887">
        <f t="shared" si="331"/>
        <v>0</v>
      </c>
      <c r="K315" s="887">
        <f t="shared" si="331"/>
        <v>0</v>
      </c>
      <c r="L315" s="887">
        <f t="shared" si="331"/>
        <v>0</v>
      </c>
      <c r="M315" s="887">
        <f t="shared" si="331"/>
        <v>0</v>
      </c>
      <c r="N315" s="25">
        <f>AVERAGE(B315:M315)</f>
        <v>0</v>
      </c>
    </row>
    <row r="316" spans="1:14">
      <c r="A316" s="2">
        <f t="shared" si="299"/>
        <v>2043</v>
      </c>
      <c r="B316" s="887">
        <f t="shared" ref="B316:M316" si="332">B1236+B1316+B1396+B1436+B1476+B1516+B1556+B1596+B1676+B1716</f>
        <v>0</v>
      </c>
      <c r="C316" s="887">
        <f t="shared" si="332"/>
        <v>0</v>
      </c>
      <c r="D316" s="887">
        <f t="shared" si="332"/>
        <v>0</v>
      </c>
      <c r="E316" s="887">
        <f t="shared" si="332"/>
        <v>0</v>
      </c>
      <c r="F316" s="887">
        <f t="shared" si="332"/>
        <v>0</v>
      </c>
      <c r="G316" s="887">
        <f t="shared" si="332"/>
        <v>0</v>
      </c>
      <c r="H316" s="887">
        <f t="shared" si="332"/>
        <v>0</v>
      </c>
      <c r="I316" s="887">
        <f t="shared" si="332"/>
        <v>0</v>
      </c>
      <c r="J316" s="887">
        <f t="shared" si="332"/>
        <v>0</v>
      </c>
      <c r="K316" s="887">
        <f t="shared" si="332"/>
        <v>0</v>
      </c>
      <c r="L316" s="887">
        <f t="shared" si="332"/>
        <v>0</v>
      </c>
      <c r="M316" s="887">
        <f t="shared" si="332"/>
        <v>0</v>
      </c>
      <c r="N316" s="25">
        <f>AVERAGE(B316:M316)</f>
        <v>0</v>
      </c>
    </row>
    <row r="317" spans="1:14">
      <c r="A317" s="2">
        <f t="shared" si="299"/>
        <v>2044</v>
      </c>
      <c r="B317" s="887">
        <f t="shared" ref="B317:M317" si="333">B1237+B1317+B1397+B1437+B1477+B1517+B1557+B1597+B1677+B1717</f>
        <v>0</v>
      </c>
      <c r="C317" s="887">
        <f t="shared" si="333"/>
        <v>0</v>
      </c>
      <c r="D317" s="887">
        <f t="shared" si="333"/>
        <v>0</v>
      </c>
      <c r="E317" s="887">
        <f t="shared" si="333"/>
        <v>0</v>
      </c>
      <c r="F317" s="887">
        <f t="shared" si="333"/>
        <v>0</v>
      </c>
      <c r="G317" s="887">
        <f t="shared" si="333"/>
        <v>0</v>
      </c>
      <c r="H317" s="887">
        <f t="shared" si="333"/>
        <v>0</v>
      </c>
      <c r="I317" s="887">
        <f t="shared" si="333"/>
        <v>0</v>
      </c>
      <c r="J317" s="887">
        <f t="shared" si="333"/>
        <v>0</v>
      </c>
      <c r="K317" s="887">
        <f t="shared" si="333"/>
        <v>0</v>
      </c>
      <c r="L317" s="887">
        <f t="shared" si="333"/>
        <v>0</v>
      </c>
      <c r="M317" s="887">
        <f t="shared" si="333"/>
        <v>0</v>
      </c>
      <c r="N317" s="25">
        <f>AVERAGE(B317:M317)</f>
        <v>0</v>
      </c>
    </row>
    <row r="318" spans="1:14">
      <c r="A318" s="2">
        <f t="shared" si="299"/>
        <v>2045</v>
      </c>
      <c r="B318" s="887">
        <f t="shared" ref="B318:M318" si="334">B1238+B1318+B1398+B1438+B1478+B1518+B1558+B1598+B1678+B1718</f>
        <v>0</v>
      </c>
      <c r="C318" s="887">
        <f t="shared" si="334"/>
        <v>0</v>
      </c>
      <c r="D318" s="887">
        <f t="shared" si="334"/>
        <v>0</v>
      </c>
      <c r="E318" s="887">
        <f t="shared" si="334"/>
        <v>0</v>
      </c>
      <c r="F318" s="887">
        <f t="shared" si="334"/>
        <v>0</v>
      </c>
      <c r="G318" s="887">
        <f t="shared" si="334"/>
        <v>0</v>
      </c>
      <c r="H318" s="887">
        <f t="shared" si="334"/>
        <v>0</v>
      </c>
      <c r="I318" s="887">
        <f t="shared" si="334"/>
        <v>0</v>
      </c>
      <c r="J318" s="887">
        <f t="shared" si="334"/>
        <v>0</v>
      </c>
      <c r="K318" s="887">
        <f t="shared" si="334"/>
        <v>0</v>
      </c>
      <c r="L318" s="887">
        <f t="shared" si="334"/>
        <v>0</v>
      </c>
      <c r="M318" s="887">
        <f t="shared" si="334"/>
        <v>0</v>
      </c>
      <c r="N318" s="25">
        <f>AVERAGE(B318:M318)</f>
        <v>0</v>
      </c>
    </row>
    <row r="319" spans="1:14"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25"/>
    </row>
    <row r="320" spans="1:14"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25"/>
    </row>
    <row r="321" spans="1:14">
      <c r="A321" s="31" t="s">
        <v>524</v>
      </c>
      <c r="D321" s="1184" t="s">
        <v>520</v>
      </c>
      <c r="E321" s="1185"/>
      <c r="F321" s="1185"/>
      <c r="G321" s="1185"/>
      <c r="H321" s="1186"/>
    </row>
    <row r="322" spans="1:14">
      <c r="A322" s="27" t="s">
        <v>9</v>
      </c>
      <c r="B322" s="27" t="s">
        <v>28</v>
      </c>
      <c r="C322" s="27" t="s">
        <v>29</v>
      </c>
      <c r="D322" s="27" t="s">
        <v>30</v>
      </c>
      <c r="E322" s="27" t="s">
        <v>31</v>
      </c>
      <c r="F322" s="27" t="s">
        <v>32</v>
      </c>
      <c r="G322" s="27" t="s">
        <v>33</v>
      </c>
      <c r="H322" s="27" t="s">
        <v>34</v>
      </c>
      <c r="I322" s="27" t="s">
        <v>35</v>
      </c>
      <c r="J322" s="27" t="s">
        <v>36</v>
      </c>
      <c r="K322" s="27" t="s">
        <v>37</v>
      </c>
      <c r="L322" s="27" t="s">
        <v>38</v>
      </c>
      <c r="M322" s="27" t="s">
        <v>39</v>
      </c>
      <c r="N322" s="27" t="s">
        <v>53</v>
      </c>
    </row>
    <row r="323" spans="1:14">
      <c r="A323" s="2">
        <f>A243</f>
        <v>2010</v>
      </c>
      <c r="B323" s="1090">
        <f>B1163+B1243+B1323+B1523+B1603+B1643</f>
        <v>264.54899999999998</v>
      </c>
      <c r="C323" s="1090">
        <f t="shared" ref="C323:M323" si="335">C1163+C1243+C1323+C1523+C1603+C1643</f>
        <v>204.86500000000001</v>
      </c>
      <c r="D323" s="1090">
        <f t="shared" si="335"/>
        <v>197.30700000000002</v>
      </c>
      <c r="E323" s="1090">
        <f t="shared" si="335"/>
        <v>151.12</v>
      </c>
      <c r="F323" s="1090">
        <f t="shared" si="335"/>
        <v>197.36</v>
      </c>
      <c r="G323" s="1090">
        <f t="shared" si="335"/>
        <v>235.33499999999998</v>
      </c>
      <c r="H323" s="1090">
        <f t="shared" si="335"/>
        <v>227.48099999999999</v>
      </c>
      <c r="I323" s="1090">
        <f t="shared" si="335"/>
        <v>226.55099999999999</v>
      </c>
      <c r="J323" s="1090">
        <f t="shared" si="335"/>
        <v>201.49</v>
      </c>
      <c r="K323" s="1090">
        <f t="shared" si="335"/>
        <v>177.053</v>
      </c>
      <c r="L323" s="1090">
        <f t="shared" si="335"/>
        <v>139.50400000000002</v>
      </c>
      <c r="M323" s="1090">
        <f t="shared" si="335"/>
        <v>213.41</v>
      </c>
      <c r="N323" s="25">
        <f t="shared" ref="N323:N333" si="336">SUM(B323:M323)</f>
        <v>2436.0249999999996</v>
      </c>
    </row>
    <row r="324" spans="1:14">
      <c r="A324" s="2">
        <f>A323+1</f>
        <v>2011</v>
      </c>
      <c r="B324" s="880">
        <f>B1164+B1244+B1324+B1604</f>
        <v>36</v>
      </c>
      <c r="C324" s="880">
        <f t="shared" ref="C324:M324" si="337">C1164+C1244+C1324+C1604</f>
        <v>43.2</v>
      </c>
      <c r="D324" s="880">
        <f t="shared" si="337"/>
        <v>29.1</v>
      </c>
      <c r="E324" s="880">
        <f t="shared" si="337"/>
        <v>31.2</v>
      </c>
      <c r="F324" s="880">
        <f t="shared" si="337"/>
        <v>39.200000000000003</v>
      </c>
      <c r="G324" s="880">
        <f t="shared" si="337"/>
        <v>41.2</v>
      </c>
      <c r="H324" s="880">
        <f t="shared" si="337"/>
        <v>41.2</v>
      </c>
      <c r="I324" s="880">
        <f t="shared" si="337"/>
        <v>41.2</v>
      </c>
      <c r="J324" s="880">
        <f t="shared" si="337"/>
        <v>40.200000000000003</v>
      </c>
      <c r="K324" s="880">
        <f t="shared" si="337"/>
        <v>39.200000000000003</v>
      </c>
      <c r="L324" s="880">
        <f t="shared" si="337"/>
        <v>29.1</v>
      </c>
      <c r="M324" s="880">
        <f t="shared" si="337"/>
        <v>35.200000000000003</v>
      </c>
      <c r="N324" s="25">
        <f t="shared" si="336"/>
        <v>445.99999999999994</v>
      </c>
    </row>
    <row r="325" spans="1:14">
      <c r="A325" s="2">
        <f t="shared" ref="A325:A358" si="338">A324+1</f>
        <v>2012</v>
      </c>
      <c r="B325" s="880">
        <f>B1165+B1245+B1325+B1605</f>
        <v>58</v>
      </c>
      <c r="C325" s="880">
        <f t="shared" ref="C325:M325" si="339">C1165+C1245+C1325+C1605</f>
        <v>44</v>
      </c>
      <c r="D325" s="880">
        <f t="shared" si="339"/>
        <v>23</v>
      </c>
      <c r="E325" s="880">
        <f t="shared" si="339"/>
        <v>24</v>
      </c>
      <c r="F325" s="880">
        <f t="shared" si="339"/>
        <v>39</v>
      </c>
      <c r="G325" s="880">
        <f t="shared" si="339"/>
        <v>43</v>
      </c>
      <c r="H325" s="880">
        <f t="shared" si="339"/>
        <v>42</v>
      </c>
      <c r="I325" s="880">
        <f t="shared" si="339"/>
        <v>41</v>
      </c>
      <c r="J325" s="880">
        <f t="shared" si="339"/>
        <v>41</v>
      </c>
      <c r="K325" s="880">
        <f t="shared" si="339"/>
        <v>39</v>
      </c>
      <c r="L325" s="880">
        <f t="shared" si="339"/>
        <v>29</v>
      </c>
      <c r="M325" s="880">
        <f t="shared" si="339"/>
        <v>35</v>
      </c>
      <c r="N325" s="25">
        <f t="shared" si="336"/>
        <v>458</v>
      </c>
    </row>
    <row r="326" spans="1:14">
      <c r="A326" s="2">
        <f t="shared" si="338"/>
        <v>2013</v>
      </c>
      <c r="B326" s="880">
        <f>B1166+B1246+B1326+B1606</f>
        <v>45.629999999999995</v>
      </c>
      <c r="C326" s="880">
        <f t="shared" ref="C326:M326" si="340">C1166+C1246+C1326+C1606</f>
        <v>39.69</v>
      </c>
      <c r="D326" s="880">
        <f t="shared" si="340"/>
        <v>33.119999999999997</v>
      </c>
      <c r="E326" s="880">
        <f t="shared" si="340"/>
        <v>35.07</v>
      </c>
      <c r="F326" s="880">
        <f t="shared" si="340"/>
        <v>39.239999999999995</v>
      </c>
      <c r="G326" s="880">
        <f t="shared" si="340"/>
        <v>42.150000000000006</v>
      </c>
      <c r="H326" s="880">
        <f t="shared" si="340"/>
        <v>41.72</v>
      </c>
      <c r="I326" s="880">
        <f t="shared" si="340"/>
        <v>41.75</v>
      </c>
      <c r="J326" s="880">
        <f t="shared" si="340"/>
        <v>40.900000000000006</v>
      </c>
      <c r="K326" s="880">
        <f t="shared" si="340"/>
        <v>38.32</v>
      </c>
      <c r="L326" s="880">
        <f t="shared" si="340"/>
        <v>29.189999999999998</v>
      </c>
      <c r="M326" s="880">
        <f t="shared" si="340"/>
        <v>36.409999999999997</v>
      </c>
      <c r="N326" s="25">
        <f t="shared" si="336"/>
        <v>463.18999999999994</v>
      </c>
    </row>
    <row r="327" spans="1:14">
      <c r="A327" s="2">
        <f t="shared" si="338"/>
        <v>2014</v>
      </c>
      <c r="B327" s="880">
        <f t="shared" ref="B327:M327" si="341">B1167+B1247+B1327+B1607</f>
        <v>45.86</v>
      </c>
      <c r="C327" s="880">
        <f t="shared" si="341"/>
        <v>39.590000000000003</v>
      </c>
      <c r="D327" s="880">
        <f t="shared" si="341"/>
        <v>33.229999999999997</v>
      </c>
      <c r="E327" s="880">
        <f t="shared" si="341"/>
        <v>35.159999999999997</v>
      </c>
      <c r="F327" s="880">
        <f t="shared" si="341"/>
        <v>39.370000000000005</v>
      </c>
      <c r="G327" s="880">
        <f t="shared" si="341"/>
        <v>42.24</v>
      </c>
      <c r="H327" s="880">
        <f t="shared" si="341"/>
        <v>41.94</v>
      </c>
      <c r="I327" s="880">
        <f t="shared" si="341"/>
        <v>41.93</v>
      </c>
      <c r="J327" s="880">
        <f t="shared" si="341"/>
        <v>41.129999999999995</v>
      </c>
      <c r="K327" s="880">
        <f t="shared" si="341"/>
        <v>38.159999999999997</v>
      </c>
      <c r="L327" s="880">
        <f t="shared" si="341"/>
        <v>29.119999999999997</v>
      </c>
      <c r="M327" s="880">
        <f t="shared" si="341"/>
        <v>36.540000000000006</v>
      </c>
      <c r="N327" s="25">
        <f t="shared" si="336"/>
        <v>464.27000000000004</v>
      </c>
    </row>
    <row r="328" spans="1:14">
      <c r="A328" s="2">
        <f t="shared" si="338"/>
        <v>2015</v>
      </c>
      <c r="B328" s="880">
        <f t="shared" ref="B328:M328" si="342">B1168+B1248+B1328+B1608</f>
        <v>46</v>
      </c>
      <c r="C328" s="880">
        <f t="shared" si="342"/>
        <v>39.619999999999997</v>
      </c>
      <c r="D328" s="880">
        <f t="shared" si="342"/>
        <v>33.25</v>
      </c>
      <c r="E328" s="880">
        <f t="shared" si="342"/>
        <v>35.14</v>
      </c>
      <c r="F328" s="880">
        <f t="shared" si="342"/>
        <v>39.49</v>
      </c>
      <c r="G328" s="880">
        <f t="shared" si="342"/>
        <v>42.400000000000006</v>
      </c>
      <c r="H328" s="880">
        <f t="shared" si="342"/>
        <v>42.06</v>
      </c>
      <c r="I328" s="880">
        <f t="shared" si="342"/>
        <v>42.010000000000005</v>
      </c>
      <c r="J328" s="880">
        <f t="shared" si="342"/>
        <v>41.34</v>
      </c>
      <c r="K328" s="880">
        <f t="shared" si="342"/>
        <v>38.24</v>
      </c>
      <c r="L328" s="880">
        <f t="shared" si="342"/>
        <v>29.14</v>
      </c>
      <c r="M328" s="880">
        <f t="shared" si="342"/>
        <v>36.650000000000006</v>
      </c>
      <c r="N328" s="25">
        <f t="shared" si="336"/>
        <v>465.34000000000003</v>
      </c>
    </row>
    <row r="329" spans="1:14">
      <c r="A329" s="2">
        <f t="shared" si="338"/>
        <v>2016</v>
      </c>
      <c r="B329" s="880">
        <f t="shared" ref="B329:M329" si="343">B1169+B1249+B1329+B1609</f>
        <v>46.22</v>
      </c>
      <c r="C329" s="880">
        <f t="shared" si="343"/>
        <v>39.65</v>
      </c>
      <c r="D329" s="880">
        <f t="shared" si="343"/>
        <v>33.36</v>
      </c>
      <c r="E329" s="880">
        <f t="shared" si="343"/>
        <v>35.22</v>
      </c>
      <c r="F329" s="880">
        <f t="shared" si="343"/>
        <v>39.620000000000005</v>
      </c>
      <c r="G329" s="880">
        <f t="shared" si="343"/>
        <v>42.57</v>
      </c>
      <c r="H329" s="880">
        <f t="shared" si="343"/>
        <v>42.28</v>
      </c>
      <c r="I329" s="880">
        <f t="shared" si="343"/>
        <v>42.180000000000007</v>
      </c>
      <c r="J329" s="880">
        <f t="shared" si="343"/>
        <v>41.46</v>
      </c>
      <c r="K329" s="880">
        <f t="shared" si="343"/>
        <v>38.299999999999997</v>
      </c>
      <c r="L329" s="880">
        <f t="shared" si="343"/>
        <v>29.22</v>
      </c>
      <c r="M329" s="880">
        <f t="shared" si="343"/>
        <v>36.78</v>
      </c>
      <c r="N329" s="25">
        <f t="shared" si="336"/>
        <v>466.8599999999999</v>
      </c>
    </row>
    <row r="330" spans="1:14">
      <c r="A330" s="2">
        <f t="shared" si="338"/>
        <v>2017</v>
      </c>
      <c r="B330" s="880">
        <f t="shared" ref="B330:M330" si="344">B1170+B1250+B1330+B1610</f>
        <v>22.61</v>
      </c>
      <c r="C330" s="880">
        <f t="shared" si="344"/>
        <v>20.89</v>
      </c>
      <c r="D330" s="880">
        <f t="shared" si="344"/>
        <v>19.34</v>
      </c>
      <c r="E330" s="880">
        <f t="shared" si="344"/>
        <v>18.57</v>
      </c>
      <c r="F330" s="880">
        <f t="shared" si="344"/>
        <v>21.33</v>
      </c>
      <c r="G330" s="880">
        <f t="shared" si="344"/>
        <v>23.990000000000002</v>
      </c>
      <c r="H330" s="880">
        <f t="shared" si="344"/>
        <v>22.490000000000002</v>
      </c>
      <c r="I330" s="880">
        <f t="shared" si="344"/>
        <v>22.13</v>
      </c>
      <c r="J330" s="880">
        <f t="shared" si="344"/>
        <v>21.53</v>
      </c>
      <c r="K330" s="880">
        <f t="shared" si="344"/>
        <v>20.400000000000002</v>
      </c>
      <c r="L330" s="880">
        <f t="shared" si="344"/>
        <v>15.95</v>
      </c>
      <c r="M330" s="880">
        <f t="shared" si="344"/>
        <v>20.48</v>
      </c>
      <c r="N330" s="25">
        <f t="shared" si="336"/>
        <v>249.70999999999998</v>
      </c>
    </row>
    <row r="331" spans="1:14">
      <c r="A331" s="2">
        <f t="shared" si="338"/>
        <v>2018</v>
      </c>
      <c r="B331" s="880">
        <f t="shared" ref="B331:M331" si="345">B1171+B1251+B1331+B1611</f>
        <v>22.8</v>
      </c>
      <c r="C331" s="880">
        <f t="shared" si="345"/>
        <v>20.89</v>
      </c>
      <c r="D331" s="880">
        <f t="shared" si="345"/>
        <v>19.48</v>
      </c>
      <c r="E331" s="880">
        <f t="shared" si="345"/>
        <v>18.7</v>
      </c>
      <c r="F331" s="880">
        <f t="shared" si="345"/>
        <v>21.43</v>
      </c>
      <c r="G331" s="880">
        <f t="shared" si="345"/>
        <v>24.12</v>
      </c>
      <c r="H331" s="880">
        <f t="shared" si="345"/>
        <v>22.59</v>
      </c>
      <c r="I331" s="880">
        <f t="shared" si="345"/>
        <v>22.17</v>
      </c>
      <c r="J331" s="880">
        <f t="shared" si="345"/>
        <v>21.560000000000002</v>
      </c>
      <c r="K331" s="880">
        <f t="shared" si="345"/>
        <v>20.43</v>
      </c>
      <c r="L331" s="880">
        <f t="shared" si="345"/>
        <v>16</v>
      </c>
      <c r="M331" s="880">
        <f t="shared" si="345"/>
        <v>20.75</v>
      </c>
      <c r="N331" s="25">
        <f t="shared" si="336"/>
        <v>250.92000000000002</v>
      </c>
    </row>
    <row r="332" spans="1:14">
      <c r="A332" s="2">
        <f t="shared" si="338"/>
        <v>2019</v>
      </c>
      <c r="B332" s="880">
        <f t="shared" ref="B332:M332" si="346">B1172+B1252+B1332+B1612</f>
        <v>23</v>
      </c>
      <c r="C332" s="880">
        <f t="shared" si="346"/>
        <v>21.02</v>
      </c>
      <c r="D332" s="880">
        <f t="shared" si="346"/>
        <v>19.61</v>
      </c>
      <c r="E332" s="880">
        <f t="shared" si="346"/>
        <v>18.75</v>
      </c>
      <c r="F332" s="880">
        <f t="shared" si="346"/>
        <v>21.52</v>
      </c>
      <c r="G332" s="880">
        <f t="shared" si="346"/>
        <v>24.17</v>
      </c>
      <c r="H332" s="880">
        <f t="shared" si="346"/>
        <v>22.68</v>
      </c>
      <c r="I332" s="880">
        <f t="shared" si="346"/>
        <v>22.220000000000002</v>
      </c>
      <c r="J332" s="880">
        <f t="shared" si="346"/>
        <v>21.67</v>
      </c>
      <c r="K332" s="880">
        <f t="shared" si="346"/>
        <v>20.560000000000002</v>
      </c>
      <c r="L332" s="880">
        <f t="shared" si="346"/>
        <v>16.13</v>
      </c>
      <c r="M332" s="880">
        <f t="shared" si="346"/>
        <v>20.85</v>
      </c>
      <c r="N332" s="25">
        <f t="shared" si="336"/>
        <v>252.17999999999998</v>
      </c>
    </row>
    <row r="333" spans="1:14">
      <c r="A333" s="2">
        <f t="shared" si="338"/>
        <v>2020</v>
      </c>
      <c r="B333" s="880">
        <f t="shared" ref="B333:M333" si="347">B1173+B1253+B1333+B1613</f>
        <v>23.19</v>
      </c>
      <c r="C333" s="880">
        <f t="shared" si="347"/>
        <v>21.02</v>
      </c>
      <c r="D333" s="880">
        <f t="shared" si="347"/>
        <v>19.650000000000002</v>
      </c>
      <c r="E333" s="880">
        <f t="shared" si="347"/>
        <v>18.8</v>
      </c>
      <c r="F333" s="880">
        <f t="shared" si="347"/>
        <v>21.62</v>
      </c>
      <c r="G333" s="880">
        <f t="shared" si="347"/>
        <v>24.310000000000002</v>
      </c>
      <c r="H333" s="880">
        <f t="shared" si="347"/>
        <v>22.87</v>
      </c>
      <c r="I333" s="880">
        <f t="shared" si="347"/>
        <v>22.36</v>
      </c>
      <c r="J333" s="880">
        <f t="shared" si="347"/>
        <v>21.700000000000003</v>
      </c>
      <c r="K333" s="880">
        <f t="shared" si="347"/>
        <v>20.69</v>
      </c>
      <c r="L333" s="880">
        <f t="shared" si="347"/>
        <v>16.18</v>
      </c>
      <c r="M333" s="880">
        <f t="shared" si="347"/>
        <v>21.04</v>
      </c>
      <c r="N333" s="25">
        <f t="shared" si="336"/>
        <v>253.42999999999998</v>
      </c>
    </row>
    <row r="334" spans="1:14">
      <c r="A334" s="2">
        <f t="shared" si="338"/>
        <v>2021</v>
      </c>
      <c r="B334" s="880">
        <f t="shared" ref="B334:M334" si="348">B1174+B1254+B1334+B1614</f>
        <v>23.290000000000003</v>
      </c>
      <c r="C334" s="880">
        <f t="shared" si="348"/>
        <v>21.11</v>
      </c>
      <c r="D334" s="880">
        <f t="shared" si="348"/>
        <v>19.77</v>
      </c>
      <c r="E334" s="880">
        <f t="shared" si="348"/>
        <v>18.93</v>
      </c>
      <c r="F334" s="880">
        <f t="shared" si="348"/>
        <v>21.72</v>
      </c>
      <c r="G334" s="880">
        <f t="shared" si="348"/>
        <v>24.36</v>
      </c>
      <c r="H334" s="880">
        <f t="shared" si="348"/>
        <v>22.87</v>
      </c>
      <c r="I334" s="880">
        <f t="shared" si="348"/>
        <v>22.4</v>
      </c>
      <c r="J334" s="880">
        <f t="shared" si="348"/>
        <v>21.72</v>
      </c>
      <c r="K334" s="880">
        <f t="shared" si="348"/>
        <v>20.73</v>
      </c>
      <c r="L334" s="880">
        <f t="shared" si="348"/>
        <v>16.32</v>
      </c>
      <c r="M334" s="880">
        <f t="shared" si="348"/>
        <v>21.23</v>
      </c>
      <c r="N334" s="25">
        <f t="shared" ref="N334:N339" si="349">SUM(B334:M334)</f>
        <v>254.45</v>
      </c>
    </row>
    <row r="335" spans="1:14">
      <c r="A335" s="2">
        <f t="shared" si="338"/>
        <v>2022</v>
      </c>
      <c r="B335" s="880">
        <f t="shared" ref="B335:M335" si="350">B1175+B1255+B1335+B1615</f>
        <v>23.48</v>
      </c>
      <c r="C335" s="880">
        <f t="shared" si="350"/>
        <v>21.11</v>
      </c>
      <c r="D335" s="880">
        <f t="shared" si="350"/>
        <v>19.810000000000002</v>
      </c>
      <c r="E335" s="880">
        <f t="shared" si="350"/>
        <v>18.98</v>
      </c>
      <c r="F335" s="880">
        <f t="shared" si="350"/>
        <v>21.72</v>
      </c>
      <c r="G335" s="880">
        <f t="shared" si="350"/>
        <v>24.400000000000002</v>
      </c>
      <c r="H335" s="880">
        <f t="shared" si="350"/>
        <v>23.05</v>
      </c>
      <c r="I335" s="880">
        <f t="shared" si="350"/>
        <v>22.54</v>
      </c>
      <c r="J335" s="880">
        <f t="shared" si="350"/>
        <v>21.740000000000002</v>
      </c>
      <c r="K335" s="880">
        <f t="shared" si="350"/>
        <v>20.94</v>
      </c>
      <c r="L335" s="880">
        <f t="shared" si="350"/>
        <v>16.37</v>
      </c>
      <c r="M335" s="880">
        <f t="shared" si="350"/>
        <v>21.41</v>
      </c>
      <c r="N335" s="25">
        <f t="shared" si="349"/>
        <v>255.55</v>
      </c>
    </row>
    <row r="336" spans="1:14">
      <c r="A336" s="2">
        <f t="shared" si="338"/>
        <v>2023</v>
      </c>
      <c r="B336" s="880">
        <f t="shared" ref="B336:M336" si="351">B1176+B1256+B1336+B1616</f>
        <v>23.67</v>
      </c>
      <c r="C336" s="880">
        <f t="shared" si="351"/>
        <v>21.2</v>
      </c>
      <c r="D336" s="880">
        <f t="shared" si="351"/>
        <v>19.850000000000001</v>
      </c>
      <c r="E336" s="880">
        <f t="shared" si="351"/>
        <v>19.12</v>
      </c>
      <c r="F336" s="880">
        <f t="shared" si="351"/>
        <v>21.81</v>
      </c>
      <c r="G336" s="880">
        <f t="shared" si="351"/>
        <v>24.540000000000003</v>
      </c>
      <c r="H336" s="880">
        <f t="shared" si="351"/>
        <v>23.14</v>
      </c>
      <c r="I336" s="880">
        <f t="shared" si="351"/>
        <v>22.68</v>
      </c>
      <c r="J336" s="880">
        <f t="shared" si="351"/>
        <v>21.77</v>
      </c>
      <c r="K336" s="880">
        <f t="shared" si="351"/>
        <v>21.080000000000002</v>
      </c>
      <c r="L336" s="880">
        <f t="shared" si="351"/>
        <v>16.59</v>
      </c>
      <c r="M336" s="880">
        <f t="shared" si="351"/>
        <v>21.61</v>
      </c>
      <c r="N336" s="25">
        <f t="shared" si="349"/>
        <v>257.06</v>
      </c>
    </row>
    <row r="337" spans="1:14">
      <c r="A337" s="2">
        <f t="shared" si="338"/>
        <v>2024</v>
      </c>
      <c r="B337" s="880">
        <f t="shared" ref="B337:M337" si="352">B1177+B1257+B1337+B1617</f>
        <v>23.77</v>
      </c>
      <c r="C337" s="880">
        <f t="shared" si="352"/>
        <v>21.29</v>
      </c>
      <c r="D337" s="880">
        <f t="shared" si="352"/>
        <v>19.98</v>
      </c>
      <c r="E337" s="880">
        <f t="shared" si="352"/>
        <v>19.170000000000002</v>
      </c>
      <c r="F337" s="880">
        <f t="shared" si="352"/>
        <v>21.909999999999997</v>
      </c>
      <c r="G337" s="880">
        <f t="shared" si="352"/>
        <v>24.59</v>
      </c>
      <c r="H337" s="880">
        <f t="shared" si="352"/>
        <v>23.28</v>
      </c>
      <c r="I337" s="880">
        <f t="shared" si="352"/>
        <v>22.81</v>
      </c>
      <c r="J337" s="880">
        <f t="shared" si="352"/>
        <v>21.88</v>
      </c>
      <c r="K337" s="880">
        <f t="shared" si="352"/>
        <v>21.12</v>
      </c>
      <c r="L337" s="880">
        <f t="shared" si="352"/>
        <v>16.64</v>
      </c>
      <c r="M337" s="880">
        <f t="shared" si="352"/>
        <v>21.71</v>
      </c>
      <c r="N337" s="25">
        <f t="shared" si="349"/>
        <v>258.14999999999998</v>
      </c>
    </row>
    <row r="338" spans="1:14">
      <c r="A338" s="2">
        <f t="shared" si="338"/>
        <v>2025</v>
      </c>
      <c r="B338" s="880">
        <f t="shared" ref="B338:M338" si="353">B1178+B1258+B1338+B1618</f>
        <v>23.950000000000003</v>
      </c>
      <c r="C338" s="880">
        <f t="shared" si="353"/>
        <v>21.47</v>
      </c>
      <c r="D338" s="880">
        <f t="shared" si="353"/>
        <v>20.02</v>
      </c>
      <c r="E338" s="880">
        <f t="shared" si="353"/>
        <v>19.21</v>
      </c>
      <c r="F338" s="880">
        <f t="shared" si="353"/>
        <v>21.96</v>
      </c>
      <c r="G338" s="880">
        <f t="shared" si="353"/>
        <v>24.72</v>
      </c>
      <c r="H338" s="880">
        <f t="shared" si="353"/>
        <v>23.41</v>
      </c>
      <c r="I338" s="880">
        <f t="shared" si="353"/>
        <v>22.95</v>
      </c>
      <c r="J338" s="880">
        <f t="shared" si="353"/>
        <v>21.91</v>
      </c>
      <c r="K338" s="880">
        <f t="shared" si="353"/>
        <v>21.25</v>
      </c>
      <c r="L338" s="880">
        <f t="shared" si="353"/>
        <v>16.77</v>
      </c>
      <c r="M338" s="880">
        <f t="shared" si="353"/>
        <v>21.799999999999997</v>
      </c>
      <c r="N338" s="25">
        <f t="shared" si="349"/>
        <v>259.42</v>
      </c>
    </row>
    <row r="339" spans="1:14">
      <c r="A339" s="2">
        <f t="shared" si="338"/>
        <v>2026</v>
      </c>
      <c r="B339" s="880">
        <f t="shared" ref="B339:M339" si="354">B1179+B1259+B1339+B1619</f>
        <v>24.14</v>
      </c>
      <c r="C339" s="880">
        <f t="shared" si="354"/>
        <v>21.56</v>
      </c>
      <c r="D339" s="880">
        <f t="shared" si="354"/>
        <v>20.149999999999999</v>
      </c>
      <c r="E339" s="880">
        <f t="shared" si="354"/>
        <v>19.259999999999998</v>
      </c>
      <c r="F339" s="880">
        <f t="shared" si="354"/>
        <v>22</v>
      </c>
      <c r="G339" s="880">
        <f t="shared" si="354"/>
        <v>24.86</v>
      </c>
      <c r="H339" s="880">
        <f t="shared" si="354"/>
        <v>23.54</v>
      </c>
      <c r="I339" s="880">
        <f t="shared" si="354"/>
        <v>23.1</v>
      </c>
      <c r="J339" s="880">
        <f t="shared" si="354"/>
        <v>22.02</v>
      </c>
      <c r="K339" s="880">
        <f t="shared" si="354"/>
        <v>21.28</v>
      </c>
      <c r="L339" s="880">
        <f t="shared" si="354"/>
        <v>16.82</v>
      </c>
      <c r="M339" s="880">
        <f t="shared" si="354"/>
        <v>21.9</v>
      </c>
      <c r="N339" s="25">
        <f t="shared" si="349"/>
        <v>260.62999999999994</v>
      </c>
    </row>
    <row r="340" spans="1:14">
      <c r="A340" s="2">
        <f t="shared" si="338"/>
        <v>2027</v>
      </c>
      <c r="B340" s="880">
        <f t="shared" ref="B340:M340" si="355">B1180+B1260+B1340+B1620</f>
        <v>24.330000000000002</v>
      </c>
      <c r="C340" s="880">
        <f t="shared" si="355"/>
        <v>21.56</v>
      </c>
      <c r="D340" s="880">
        <f t="shared" si="355"/>
        <v>20.190000000000001</v>
      </c>
      <c r="E340" s="880">
        <f t="shared" si="355"/>
        <v>19.5</v>
      </c>
      <c r="F340" s="880">
        <f t="shared" si="355"/>
        <v>22.04</v>
      </c>
      <c r="G340" s="880">
        <f t="shared" si="355"/>
        <v>25</v>
      </c>
      <c r="H340" s="880">
        <f t="shared" si="355"/>
        <v>23.67</v>
      </c>
      <c r="I340" s="880">
        <f t="shared" si="355"/>
        <v>23.23</v>
      </c>
      <c r="J340" s="880">
        <f t="shared" si="355"/>
        <v>22.13</v>
      </c>
      <c r="K340" s="880">
        <f t="shared" si="355"/>
        <v>21.32</v>
      </c>
      <c r="L340" s="880">
        <f t="shared" si="355"/>
        <v>16.96</v>
      </c>
      <c r="M340" s="880">
        <f t="shared" si="355"/>
        <v>22.09</v>
      </c>
      <c r="N340" s="25">
        <f>SUM(B340:M340)</f>
        <v>262.02</v>
      </c>
    </row>
    <row r="341" spans="1:14">
      <c r="A341" s="2">
        <f t="shared" si="338"/>
        <v>2028</v>
      </c>
      <c r="B341" s="880">
        <f t="shared" ref="B341:M341" si="356">B1181+B1261+B1341+B1621</f>
        <v>24.52</v>
      </c>
      <c r="C341" s="880">
        <f t="shared" si="356"/>
        <v>21.65</v>
      </c>
      <c r="D341" s="880">
        <f t="shared" si="356"/>
        <v>20.309999999999999</v>
      </c>
      <c r="E341" s="880">
        <f t="shared" si="356"/>
        <v>19.55</v>
      </c>
      <c r="F341" s="880">
        <f t="shared" si="356"/>
        <v>22.08</v>
      </c>
      <c r="G341" s="880">
        <f t="shared" si="356"/>
        <v>25.04</v>
      </c>
      <c r="H341" s="880">
        <f t="shared" si="356"/>
        <v>23.71</v>
      </c>
      <c r="I341" s="880">
        <f t="shared" si="356"/>
        <v>23.28</v>
      </c>
      <c r="J341" s="880">
        <f t="shared" si="356"/>
        <v>22.25</v>
      </c>
      <c r="K341" s="880">
        <f t="shared" si="356"/>
        <v>21.36</v>
      </c>
      <c r="L341" s="880">
        <f t="shared" si="356"/>
        <v>17</v>
      </c>
      <c r="M341" s="880">
        <f t="shared" si="356"/>
        <v>22.28</v>
      </c>
      <c r="N341" s="25">
        <f>SUM(B341:M341)</f>
        <v>263.02999999999997</v>
      </c>
    </row>
    <row r="342" spans="1:14">
      <c r="A342" s="2">
        <f t="shared" si="338"/>
        <v>2029</v>
      </c>
      <c r="B342" s="880">
        <f t="shared" ref="B342:M342" si="357">B1182+B1262+B1342+B1622</f>
        <v>24.71</v>
      </c>
      <c r="C342" s="880">
        <f t="shared" si="357"/>
        <v>21.65</v>
      </c>
      <c r="D342" s="880">
        <f t="shared" si="357"/>
        <v>20.440000000000001</v>
      </c>
      <c r="E342" s="880">
        <f t="shared" si="357"/>
        <v>19.59</v>
      </c>
      <c r="F342" s="880">
        <f t="shared" si="357"/>
        <v>22.2</v>
      </c>
      <c r="G342" s="880">
        <f t="shared" si="357"/>
        <v>25.18</v>
      </c>
      <c r="H342" s="880">
        <f t="shared" si="357"/>
        <v>23.84</v>
      </c>
      <c r="I342" s="880">
        <f t="shared" si="357"/>
        <v>23.42</v>
      </c>
      <c r="J342" s="880">
        <f t="shared" si="357"/>
        <v>22.36</v>
      </c>
      <c r="K342" s="880">
        <f t="shared" si="357"/>
        <v>21.490000000000002</v>
      </c>
      <c r="L342" s="880">
        <f t="shared" si="357"/>
        <v>17.14</v>
      </c>
      <c r="M342" s="880">
        <f t="shared" si="357"/>
        <v>22.37</v>
      </c>
      <c r="N342" s="25">
        <f>SUM(B342:M342)</f>
        <v>264.39000000000004</v>
      </c>
    </row>
    <row r="343" spans="1:14">
      <c r="A343" s="2">
        <f t="shared" si="338"/>
        <v>2030</v>
      </c>
      <c r="B343" s="880">
        <f t="shared" ref="B343:M343" si="358">B1183+B1263+B1343+B1623</f>
        <v>24.810000000000002</v>
      </c>
      <c r="C343" s="880">
        <f t="shared" si="358"/>
        <v>21.74</v>
      </c>
      <c r="D343" s="880">
        <f t="shared" si="358"/>
        <v>20.48</v>
      </c>
      <c r="E343" s="880">
        <f t="shared" si="358"/>
        <v>19.73</v>
      </c>
      <c r="F343" s="880">
        <f t="shared" si="358"/>
        <v>22.240000000000002</v>
      </c>
      <c r="G343" s="880">
        <f t="shared" si="358"/>
        <v>25.32</v>
      </c>
      <c r="H343" s="880">
        <f t="shared" si="358"/>
        <v>23.970000000000002</v>
      </c>
      <c r="I343" s="880">
        <f t="shared" si="358"/>
        <v>23.55</v>
      </c>
      <c r="J343" s="880">
        <f t="shared" si="358"/>
        <v>22.47</v>
      </c>
      <c r="K343" s="880">
        <f t="shared" si="358"/>
        <v>21.53</v>
      </c>
      <c r="L343" s="880">
        <f t="shared" si="358"/>
        <v>17.18</v>
      </c>
      <c r="M343" s="880">
        <f t="shared" si="358"/>
        <v>22.560000000000002</v>
      </c>
      <c r="N343" s="25">
        <f>SUM(B343:M343)</f>
        <v>265.58000000000004</v>
      </c>
    </row>
    <row r="344" spans="1:14">
      <c r="A344" s="2">
        <f t="shared" si="338"/>
        <v>2031</v>
      </c>
      <c r="B344" s="880">
        <f t="shared" ref="B344:M344" si="359">B1184+B1264+B1344+B1624</f>
        <v>24.97</v>
      </c>
      <c r="C344" s="880">
        <f t="shared" si="359"/>
        <v>21.79</v>
      </c>
      <c r="D344" s="880">
        <f t="shared" si="359"/>
        <v>20.52</v>
      </c>
      <c r="E344" s="880">
        <f t="shared" si="359"/>
        <v>19.78</v>
      </c>
      <c r="F344" s="880">
        <f t="shared" si="359"/>
        <v>22.259999999999998</v>
      </c>
      <c r="G344" s="880">
        <f t="shared" si="359"/>
        <v>25.330000000000002</v>
      </c>
      <c r="H344" s="880">
        <f t="shared" si="359"/>
        <v>23.95</v>
      </c>
      <c r="I344" s="880">
        <f t="shared" si="359"/>
        <v>23.54</v>
      </c>
      <c r="J344" s="880">
        <f t="shared" si="359"/>
        <v>22.509999999999998</v>
      </c>
      <c r="K344" s="880">
        <f t="shared" si="359"/>
        <v>21.62</v>
      </c>
      <c r="L344" s="880">
        <f t="shared" si="359"/>
        <v>17.25</v>
      </c>
      <c r="M344" s="880">
        <f t="shared" si="359"/>
        <v>22.689999999999998</v>
      </c>
      <c r="N344" s="25">
        <f t="shared" ref="N344:N353" si="360">AVERAGE(B344:M344)</f>
        <v>22.184166666666666</v>
      </c>
    </row>
    <row r="345" spans="1:14">
      <c r="A345" s="2">
        <f t="shared" si="338"/>
        <v>2032</v>
      </c>
      <c r="B345" s="880">
        <f t="shared" ref="B345:M345" si="361">B1185+B1265+B1345+B1625</f>
        <v>25.12</v>
      </c>
      <c r="C345" s="880">
        <f t="shared" si="361"/>
        <v>21.84</v>
      </c>
      <c r="D345" s="880">
        <f t="shared" si="361"/>
        <v>20.6</v>
      </c>
      <c r="E345" s="880">
        <f t="shared" si="361"/>
        <v>19.830000000000002</v>
      </c>
      <c r="F345" s="880">
        <f t="shared" si="361"/>
        <v>22.31</v>
      </c>
      <c r="G345" s="880">
        <f t="shared" si="361"/>
        <v>25.42</v>
      </c>
      <c r="H345" s="880">
        <f t="shared" si="361"/>
        <v>24.04</v>
      </c>
      <c r="I345" s="880">
        <f t="shared" si="361"/>
        <v>23.650000000000002</v>
      </c>
      <c r="J345" s="880">
        <f t="shared" si="361"/>
        <v>22.59</v>
      </c>
      <c r="K345" s="880">
        <f t="shared" si="361"/>
        <v>21.7</v>
      </c>
      <c r="L345" s="880">
        <f t="shared" si="361"/>
        <v>17.329999999999998</v>
      </c>
      <c r="M345" s="880">
        <f t="shared" si="361"/>
        <v>22.83</v>
      </c>
      <c r="N345" s="25">
        <f t="shared" si="360"/>
        <v>22.271666666666665</v>
      </c>
    </row>
    <row r="346" spans="1:14">
      <c r="A346" s="2">
        <f t="shared" si="338"/>
        <v>2033</v>
      </c>
      <c r="B346" s="880">
        <f t="shared" ref="B346:M346" si="362">B1186+B1266+B1346+B1626</f>
        <v>25.28</v>
      </c>
      <c r="C346" s="880">
        <f t="shared" si="362"/>
        <v>21.88</v>
      </c>
      <c r="D346" s="880">
        <f t="shared" si="362"/>
        <v>20.68</v>
      </c>
      <c r="E346" s="880">
        <f t="shared" si="362"/>
        <v>19.87</v>
      </c>
      <c r="F346" s="880">
        <f t="shared" si="362"/>
        <v>22.37</v>
      </c>
      <c r="G346" s="880">
        <f t="shared" si="362"/>
        <v>25.51</v>
      </c>
      <c r="H346" s="880">
        <f t="shared" si="362"/>
        <v>24.130000000000003</v>
      </c>
      <c r="I346" s="880">
        <f t="shared" si="362"/>
        <v>23.740000000000002</v>
      </c>
      <c r="J346" s="880">
        <f t="shared" si="362"/>
        <v>22.67</v>
      </c>
      <c r="K346" s="880">
        <f t="shared" si="362"/>
        <v>21.78</v>
      </c>
      <c r="L346" s="880">
        <f t="shared" si="362"/>
        <v>17.420000000000002</v>
      </c>
      <c r="M346" s="880">
        <f t="shared" si="362"/>
        <v>22.98</v>
      </c>
      <c r="N346" s="25">
        <f t="shared" si="360"/>
        <v>22.359166666666667</v>
      </c>
    </row>
    <row r="347" spans="1:14">
      <c r="A347" s="2">
        <f t="shared" si="338"/>
        <v>2034</v>
      </c>
      <c r="B347" s="880">
        <f t="shared" ref="B347:M347" si="363">B1187+B1267+B1347+B1627</f>
        <v>25.450000000000003</v>
      </c>
      <c r="C347" s="880">
        <f t="shared" si="363"/>
        <v>21.93</v>
      </c>
      <c r="D347" s="880">
        <f t="shared" si="363"/>
        <v>20.740000000000002</v>
      </c>
      <c r="E347" s="880">
        <f t="shared" si="363"/>
        <v>19.89</v>
      </c>
      <c r="F347" s="880">
        <f t="shared" si="363"/>
        <v>22.42</v>
      </c>
      <c r="G347" s="880">
        <f t="shared" si="363"/>
        <v>25.61</v>
      </c>
      <c r="H347" s="880">
        <f t="shared" si="363"/>
        <v>24.22</v>
      </c>
      <c r="I347" s="880">
        <f t="shared" si="363"/>
        <v>23.84</v>
      </c>
      <c r="J347" s="880">
        <f t="shared" si="363"/>
        <v>22.75</v>
      </c>
      <c r="K347" s="880">
        <f t="shared" si="363"/>
        <v>21.86</v>
      </c>
      <c r="L347" s="880">
        <f t="shared" si="363"/>
        <v>17.52</v>
      </c>
      <c r="M347" s="880">
        <f t="shared" si="363"/>
        <v>23.13</v>
      </c>
      <c r="N347" s="25">
        <f t="shared" si="360"/>
        <v>22.446666666666673</v>
      </c>
    </row>
    <row r="348" spans="1:14">
      <c r="A348" s="2">
        <f t="shared" si="338"/>
        <v>2035</v>
      </c>
      <c r="B348" s="880">
        <f t="shared" ref="B348:M348" si="364">B1188+B1268+B1348+B1628</f>
        <v>25.61</v>
      </c>
      <c r="C348" s="880">
        <f t="shared" si="364"/>
        <v>21.98</v>
      </c>
      <c r="D348" s="880">
        <f t="shared" si="364"/>
        <v>20.82</v>
      </c>
      <c r="E348" s="880">
        <f t="shared" si="364"/>
        <v>19.96</v>
      </c>
      <c r="F348" s="880">
        <f t="shared" si="364"/>
        <v>22.470000000000002</v>
      </c>
      <c r="G348" s="880">
        <f t="shared" si="364"/>
        <v>25.700000000000003</v>
      </c>
      <c r="H348" s="880">
        <f t="shared" si="364"/>
        <v>24.31</v>
      </c>
      <c r="I348" s="880">
        <f t="shared" si="364"/>
        <v>23.94</v>
      </c>
      <c r="J348" s="880">
        <f t="shared" si="364"/>
        <v>22.83</v>
      </c>
      <c r="K348" s="880">
        <f t="shared" si="364"/>
        <v>21.93</v>
      </c>
      <c r="L348" s="880">
        <f t="shared" si="364"/>
        <v>17.600000000000001</v>
      </c>
      <c r="M348" s="880">
        <f t="shared" si="364"/>
        <v>23.29</v>
      </c>
      <c r="N348" s="25">
        <f t="shared" si="360"/>
        <v>22.536666666666665</v>
      </c>
    </row>
    <row r="349" spans="1:14">
      <c r="A349" s="2">
        <f t="shared" si="338"/>
        <v>2036</v>
      </c>
      <c r="B349" s="880">
        <f t="shared" ref="B349:M349" si="365">B1189+B1269+B1349+B1629</f>
        <v>25.779999999999998</v>
      </c>
      <c r="C349" s="880">
        <f t="shared" si="365"/>
        <v>22.02</v>
      </c>
      <c r="D349" s="880">
        <f t="shared" si="365"/>
        <v>20.9</v>
      </c>
      <c r="E349" s="880">
        <f t="shared" si="365"/>
        <v>20.07</v>
      </c>
      <c r="F349" s="880">
        <f t="shared" si="365"/>
        <v>22.520000000000003</v>
      </c>
      <c r="G349" s="880">
        <f t="shared" si="365"/>
        <v>25.8</v>
      </c>
      <c r="H349" s="880">
        <f t="shared" si="365"/>
        <v>24.410000000000004</v>
      </c>
      <c r="I349" s="880">
        <f t="shared" si="365"/>
        <v>24.049999999999997</v>
      </c>
      <c r="J349" s="880">
        <f t="shared" si="365"/>
        <v>22.92</v>
      </c>
      <c r="K349" s="880">
        <f t="shared" si="365"/>
        <v>22.02</v>
      </c>
      <c r="L349" s="880">
        <f t="shared" si="365"/>
        <v>17.690000000000001</v>
      </c>
      <c r="M349" s="880">
        <f t="shared" si="365"/>
        <v>23.43</v>
      </c>
      <c r="N349" s="25">
        <f t="shared" si="360"/>
        <v>22.634166666666669</v>
      </c>
    </row>
    <row r="350" spans="1:14">
      <c r="A350" s="2">
        <f t="shared" si="338"/>
        <v>2037</v>
      </c>
      <c r="B350" s="880">
        <f t="shared" ref="B350:M350" si="366">B1190+B1270+B1350+B1630</f>
        <v>25.939999999999998</v>
      </c>
      <c r="C350" s="880">
        <f t="shared" si="366"/>
        <v>22.07</v>
      </c>
      <c r="D350" s="880">
        <f t="shared" si="366"/>
        <v>20.98</v>
      </c>
      <c r="E350" s="880">
        <f t="shared" si="366"/>
        <v>20.12</v>
      </c>
      <c r="F350" s="880">
        <f t="shared" si="366"/>
        <v>22.58</v>
      </c>
      <c r="G350" s="880">
        <f t="shared" si="366"/>
        <v>25.89</v>
      </c>
      <c r="H350" s="880">
        <f t="shared" si="366"/>
        <v>24.5</v>
      </c>
      <c r="I350" s="880">
        <f t="shared" si="366"/>
        <v>24.139999999999997</v>
      </c>
      <c r="J350" s="880">
        <f t="shared" si="366"/>
        <v>22.990000000000002</v>
      </c>
      <c r="K350" s="880">
        <f t="shared" si="366"/>
        <v>22.1</v>
      </c>
      <c r="L350" s="880">
        <f t="shared" si="366"/>
        <v>17.77</v>
      </c>
      <c r="M350" s="880">
        <f t="shared" si="366"/>
        <v>23.580000000000002</v>
      </c>
      <c r="N350" s="25">
        <f t="shared" si="360"/>
        <v>22.721666666666664</v>
      </c>
    </row>
    <row r="351" spans="1:14">
      <c r="A351" s="2">
        <f t="shared" si="338"/>
        <v>2038</v>
      </c>
      <c r="B351" s="880">
        <f t="shared" ref="B351:M351" si="367">B1191+B1271+B1351+B1631</f>
        <v>26.1</v>
      </c>
      <c r="C351" s="880">
        <f t="shared" si="367"/>
        <v>22.12</v>
      </c>
      <c r="D351" s="880">
        <f t="shared" si="367"/>
        <v>21.06</v>
      </c>
      <c r="E351" s="880">
        <f t="shared" si="367"/>
        <v>20.170000000000002</v>
      </c>
      <c r="F351" s="880">
        <f t="shared" si="367"/>
        <v>22.63</v>
      </c>
      <c r="G351" s="880">
        <f t="shared" si="367"/>
        <v>25.99</v>
      </c>
      <c r="H351" s="880">
        <f t="shared" si="367"/>
        <v>24.580000000000002</v>
      </c>
      <c r="I351" s="880">
        <f t="shared" si="367"/>
        <v>24.24</v>
      </c>
      <c r="J351" s="880">
        <f t="shared" si="367"/>
        <v>23.080000000000002</v>
      </c>
      <c r="K351" s="880">
        <f t="shared" si="367"/>
        <v>22.18</v>
      </c>
      <c r="L351" s="880">
        <f t="shared" si="367"/>
        <v>17.87</v>
      </c>
      <c r="M351" s="880">
        <f t="shared" si="367"/>
        <v>23.729999999999997</v>
      </c>
      <c r="N351" s="25">
        <f t="shared" si="360"/>
        <v>22.812500000000004</v>
      </c>
    </row>
    <row r="352" spans="1:14">
      <c r="A352" s="2">
        <f t="shared" si="338"/>
        <v>2039</v>
      </c>
      <c r="B352" s="880">
        <f t="shared" ref="B352:M352" si="368">B1192+B1272+B1352+B1632</f>
        <v>26.259999999999998</v>
      </c>
      <c r="C352" s="880">
        <f t="shared" si="368"/>
        <v>22.16</v>
      </c>
      <c r="D352" s="880">
        <f t="shared" si="368"/>
        <v>21.14</v>
      </c>
      <c r="E352" s="880">
        <f t="shared" si="368"/>
        <v>20.239999999999998</v>
      </c>
      <c r="F352" s="880">
        <f t="shared" si="368"/>
        <v>22.68</v>
      </c>
      <c r="G352" s="880">
        <f t="shared" si="368"/>
        <v>26.080000000000002</v>
      </c>
      <c r="H352" s="880">
        <f t="shared" si="368"/>
        <v>24.68</v>
      </c>
      <c r="I352" s="880">
        <f t="shared" si="368"/>
        <v>24.35</v>
      </c>
      <c r="J352" s="880">
        <f t="shared" si="368"/>
        <v>23.16</v>
      </c>
      <c r="K352" s="880">
        <f t="shared" si="368"/>
        <v>22.25</v>
      </c>
      <c r="L352" s="880">
        <f t="shared" si="368"/>
        <v>17.95</v>
      </c>
      <c r="M352" s="880">
        <f t="shared" si="368"/>
        <v>23.87</v>
      </c>
      <c r="N352" s="25">
        <f t="shared" si="360"/>
        <v>22.901666666666667</v>
      </c>
    </row>
    <row r="353" spans="1:14">
      <c r="A353" s="2">
        <f t="shared" si="338"/>
        <v>2040</v>
      </c>
      <c r="B353" s="880">
        <f t="shared" ref="B353:M353" si="369">B1193+B1273+B1353+B1633</f>
        <v>26.419999999999998</v>
      </c>
      <c r="C353" s="880">
        <f t="shared" si="369"/>
        <v>22.21</v>
      </c>
      <c r="D353" s="880">
        <f t="shared" si="369"/>
        <v>21.22</v>
      </c>
      <c r="E353" s="880">
        <f t="shared" si="369"/>
        <v>20.310000000000002</v>
      </c>
      <c r="F353" s="880">
        <f t="shared" si="369"/>
        <v>22.740000000000002</v>
      </c>
      <c r="G353" s="880">
        <f t="shared" si="369"/>
        <v>26.169999999999998</v>
      </c>
      <c r="H353" s="880">
        <f t="shared" si="369"/>
        <v>24.77</v>
      </c>
      <c r="I353" s="880">
        <f t="shared" si="369"/>
        <v>24.439999999999998</v>
      </c>
      <c r="J353" s="880">
        <f t="shared" si="369"/>
        <v>23.23</v>
      </c>
      <c r="K353" s="880">
        <f t="shared" si="369"/>
        <v>22.330000000000002</v>
      </c>
      <c r="L353" s="880">
        <f t="shared" si="369"/>
        <v>18.04</v>
      </c>
      <c r="M353" s="880">
        <f t="shared" si="369"/>
        <v>24.02</v>
      </c>
      <c r="N353" s="25">
        <f t="shared" si="360"/>
        <v>22.991666666666664</v>
      </c>
    </row>
    <row r="354" spans="1:14">
      <c r="A354" s="2">
        <f t="shared" si="338"/>
        <v>2041</v>
      </c>
      <c r="B354" s="880">
        <f t="shared" ref="B354:M354" si="370">B1194+B1274+B1354+B1634</f>
        <v>0</v>
      </c>
      <c r="C354" s="880">
        <f t="shared" si="370"/>
        <v>0</v>
      </c>
      <c r="D354" s="880">
        <f t="shared" si="370"/>
        <v>0</v>
      </c>
      <c r="E354" s="880">
        <f t="shared" si="370"/>
        <v>0</v>
      </c>
      <c r="F354" s="880">
        <f t="shared" si="370"/>
        <v>0</v>
      </c>
      <c r="G354" s="880">
        <f t="shared" si="370"/>
        <v>0</v>
      </c>
      <c r="H354" s="880">
        <f t="shared" si="370"/>
        <v>0</v>
      </c>
      <c r="I354" s="880">
        <f t="shared" si="370"/>
        <v>0</v>
      </c>
      <c r="J354" s="880">
        <f t="shared" si="370"/>
        <v>0</v>
      </c>
      <c r="K354" s="880">
        <f t="shared" si="370"/>
        <v>0</v>
      </c>
      <c r="L354" s="880">
        <f t="shared" si="370"/>
        <v>0</v>
      </c>
      <c r="M354" s="880">
        <f t="shared" si="370"/>
        <v>0</v>
      </c>
      <c r="N354" s="25">
        <f>AVERAGE(B354:M354)</f>
        <v>0</v>
      </c>
    </row>
    <row r="355" spans="1:14">
      <c r="A355" s="2">
        <f t="shared" si="338"/>
        <v>2042</v>
      </c>
      <c r="B355" s="880">
        <f t="shared" ref="B355:M355" si="371">B1195+B1275+B1355+B1635</f>
        <v>0</v>
      </c>
      <c r="C355" s="880">
        <f t="shared" si="371"/>
        <v>0</v>
      </c>
      <c r="D355" s="880">
        <f t="shared" si="371"/>
        <v>0</v>
      </c>
      <c r="E355" s="880">
        <f t="shared" si="371"/>
        <v>0</v>
      </c>
      <c r="F355" s="880">
        <f t="shared" si="371"/>
        <v>0</v>
      </c>
      <c r="G355" s="880">
        <f t="shared" si="371"/>
        <v>0</v>
      </c>
      <c r="H355" s="880">
        <f t="shared" si="371"/>
        <v>0</v>
      </c>
      <c r="I355" s="880">
        <f t="shared" si="371"/>
        <v>0</v>
      </c>
      <c r="J355" s="880">
        <f t="shared" si="371"/>
        <v>0</v>
      </c>
      <c r="K355" s="880">
        <f t="shared" si="371"/>
        <v>0</v>
      </c>
      <c r="L355" s="880">
        <f t="shared" si="371"/>
        <v>0</v>
      </c>
      <c r="M355" s="880">
        <f t="shared" si="371"/>
        <v>0</v>
      </c>
      <c r="N355" s="25">
        <f>AVERAGE(B355:M355)</f>
        <v>0</v>
      </c>
    </row>
    <row r="356" spans="1:14">
      <c r="A356" s="2">
        <f t="shared" si="338"/>
        <v>2043</v>
      </c>
      <c r="B356" s="880">
        <f t="shared" ref="B356:M356" si="372">B1196+B1276+B1356+B1636</f>
        <v>0</v>
      </c>
      <c r="C356" s="880">
        <f t="shared" si="372"/>
        <v>0</v>
      </c>
      <c r="D356" s="880">
        <f t="shared" si="372"/>
        <v>0</v>
      </c>
      <c r="E356" s="880">
        <f t="shared" si="372"/>
        <v>0</v>
      </c>
      <c r="F356" s="880">
        <f t="shared" si="372"/>
        <v>0</v>
      </c>
      <c r="G356" s="880">
        <f t="shared" si="372"/>
        <v>0</v>
      </c>
      <c r="H356" s="880">
        <f t="shared" si="372"/>
        <v>0</v>
      </c>
      <c r="I356" s="880">
        <f t="shared" si="372"/>
        <v>0</v>
      </c>
      <c r="J356" s="880">
        <f t="shared" si="372"/>
        <v>0</v>
      </c>
      <c r="K356" s="880">
        <f t="shared" si="372"/>
        <v>0</v>
      </c>
      <c r="L356" s="880">
        <f t="shared" si="372"/>
        <v>0</v>
      </c>
      <c r="M356" s="880">
        <f t="shared" si="372"/>
        <v>0</v>
      </c>
      <c r="N356" s="25">
        <f>AVERAGE(B356:M356)</f>
        <v>0</v>
      </c>
    </row>
    <row r="357" spans="1:14">
      <c r="A357" s="2">
        <f t="shared" si="338"/>
        <v>2044</v>
      </c>
      <c r="B357" s="880">
        <f t="shared" ref="B357:M358" si="373">B1197+B1277+B1357+B1637</f>
        <v>0</v>
      </c>
      <c r="C357" s="880">
        <f t="shared" si="373"/>
        <v>0</v>
      </c>
      <c r="D357" s="880">
        <f t="shared" si="373"/>
        <v>0</v>
      </c>
      <c r="E357" s="880">
        <f t="shared" si="373"/>
        <v>0</v>
      </c>
      <c r="F357" s="880">
        <f t="shared" si="373"/>
        <v>0</v>
      </c>
      <c r="G357" s="880">
        <f t="shared" si="373"/>
        <v>0</v>
      </c>
      <c r="H357" s="880">
        <f t="shared" si="373"/>
        <v>0</v>
      </c>
      <c r="I357" s="880">
        <f t="shared" si="373"/>
        <v>0</v>
      </c>
      <c r="J357" s="880">
        <f t="shared" si="373"/>
        <v>0</v>
      </c>
      <c r="K357" s="880">
        <f t="shared" si="373"/>
        <v>0</v>
      </c>
      <c r="L357" s="880">
        <f t="shared" si="373"/>
        <v>0</v>
      </c>
      <c r="M357" s="880">
        <f t="shared" si="373"/>
        <v>0</v>
      </c>
      <c r="N357" s="25">
        <f>AVERAGE(B357:M357)</f>
        <v>0</v>
      </c>
    </row>
    <row r="358" spans="1:14">
      <c r="A358" s="2">
        <f t="shared" si="338"/>
        <v>2045</v>
      </c>
      <c r="B358" s="880">
        <f>B1198+B1278+B1358+B1638</f>
        <v>0</v>
      </c>
      <c r="C358" s="880">
        <f t="shared" si="373"/>
        <v>0</v>
      </c>
      <c r="D358" s="880">
        <f t="shared" si="373"/>
        <v>0</v>
      </c>
      <c r="E358" s="880">
        <f t="shared" si="373"/>
        <v>0</v>
      </c>
      <c r="F358" s="880">
        <f t="shared" si="373"/>
        <v>0</v>
      </c>
      <c r="G358" s="880">
        <f t="shared" si="373"/>
        <v>0</v>
      </c>
      <c r="H358" s="880">
        <f t="shared" si="373"/>
        <v>0</v>
      </c>
      <c r="I358" s="880">
        <f t="shared" si="373"/>
        <v>0</v>
      </c>
      <c r="J358" s="880">
        <f t="shared" si="373"/>
        <v>0</v>
      </c>
      <c r="K358" s="880">
        <f t="shared" si="373"/>
        <v>0</v>
      </c>
      <c r="L358" s="880">
        <f t="shared" si="373"/>
        <v>0</v>
      </c>
      <c r="M358" s="880">
        <f t="shared" si="373"/>
        <v>0</v>
      </c>
      <c r="N358" s="25">
        <f>AVERAGE(B358:M358)</f>
        <v>0</v>
      </c>
    </row>
    <row r="361" spans="1:14">
      <c r="A361" s="32" t="s">
        <v>55</v>
      </c>
    </row>
    <row r="362" spans="1:14" s="27" customFormat="1">
      <c r="A362" s="27" t="s">
        <v>9</v>
      </c>
      <c r="B362" s="27" t="s">
        <v>28</v>
      </c>
      <c r="C362" s="27" t="s">
        <v>29</v>
      </c>
      <c r="D362" s="27" t="s">
        <v>30</v>
      </c>
      <c r="E362" s="27" t="s">
        <v>31</v>
      </c>
      <c r="F362" s="27" t="s">
        <v>32</v>
      </c>
      <c r="G362" s="27" t="s">
        <v>33</v>
      </c>
      <c r="H362" s="27" t="s">
        <v>34</v>
      </c>
      <c r="I362" s="27" t="s">
        <v>35</v>
      </c>
      <c r="J362" s="27" t="s">
        <v>36</v>
      </c>
      <c r="K362" s="27" t="s">
        <v>37</v>
      </c>
      <c r="L362" s="27" t="s">
        <v>38</v>
      </c>
      <c r="M362" s="27" t="s">
        <v>39</v>
      </c>
      <c r="N362" s="27" t="s">
        <v>53</v>
      </c>
    </row>
    <row r="363" spans="1:14">
      <c r="A363" s="2">
        <f t="shared" ref="A363:A398" si="374">A603</f>
        <v>2010</v>
      </c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25"/>
    </row>
    <row r="364" spans="1:14">
      <c r="A364" s="2">
        <f t="shared" si="374"/>
        <v>2011</v>
      </c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25"/>
    </row>
    <row r="365" spans="1:14">
      <c r="A365" s="2">
        <f t="shared" si="374"/>
        <v>2012</v>
      </c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25"/>
    </row>
    <row r="366" spans="1:14">
      <c r="A366" s="2">
        <f t="shared" si="374"/>
        <v>2013</v>
      </c>
      <c r="B366" s="34"/>
      <c r="C366" s="34"/>
      <c r="D366" s="34"/>
      <c r="E366" s="34"/>
      <c r="F366" s="34"/>
      <c r="G366" s="34"/>
      <c r="H366" s="34">
        <v>25</v>
      </c>
      <c r="I366" s="34">
        <v>25</v>
      </c>
      <c r="J366" s="34">
        <v>25</v>
      </c>
      <c r="K366" s="34">
        <v>25</v>
      </c>
      <c r="L366" s="34">
        <v>25</v>
      </c>
      <c r="M366" s="34">
        <v>25</v>
      </c>
      <c r="N366" s="25">
        <f t="shared" ref="N366:N373" si="375">AVERAGE(B366:M366)</f>
        <v>25</v>
      </c>
    </row>
    <row r="367" spans="1:14">
      <c r="A367" s="2">
        <f t="shared" si="374"/>
        <v>2014</v>
      </c>
      <c r="B367" s="34">
        <v>25</v>
      </c>
      <c r="C367" s="34">
        <v>25</v>
      </c>
      <c r="D367" s="34">
        <v>25</v>
      </c>
      <c r="E367" s="34">
        <v>25</v>
      </c>
      <c r="F367" s="34">
        <v>25</v>
      </c>
      <c r="G367" s="34">
        <v>25</v>
      </c>
      <c r="H367" s="34">
        <v>25</v>
      </c>
      <c r="I367" s="34">
        <v>25</v>
      </c>
      <c r="J367" s="34">
        <v>25</v>
      </c>
      <c r="K367" s="34">
        <v>25</v>
      </c>
      <c r="L367" s="34">
        <v>25</v>
      </c>
      <c r="M367" s="34">
        <v>25</v>
      </c>
      <c r="N367" s="25">
        <f t="shared" si="375"/>
        <v>25</v>
      </c>
    </row>
    <row r="368" spans="1:14">
      <c r="A368" s="2">
        <f t="shared" si="374"/>
        <v>2015</v>
      </c>
      <c r="B368" s="34">
        <v>25</v>
      </c>
      <c r="C368" s="34">
        <v>25</v>
      </c>
      <c r="D368" s="34">
        <v>25</v>
      </c>
      <c r="E368" s="34">
        <v>25</v>
      </c>
      <c r="F368" s="34">
        <v>25</v>
      </c>
      <c r="G368" s="34">
        <v>25</v>
      </c>
      <c r="H368" s="34">
        <v>25</v>
      </c>
      <c r="I368" s="34">
        <v>25</v>
      </c>
      <c r="J368" s="34">
        <v>25</v>
      </c>
      <c r="K368" s="34">
        <v>25</v>
      </c>
      <c r="L368" s="34">
        <v>25</v>
      </c>
      <c r="M368" s="34">
        <v>25</v>
      </c>
      <c r="N368" s="25">
        <f t="shared" si="375"/>
        <v>25</v>
      </c>
    </row>
    <row r="369" spans="1:14">
      <c r="A369" s="2">
        <f t="shared" si="374"/>
        <v>2016</v>
      </c>
      <c r="B369" s="34">
        <v>25</v>
      </c>
      <c r="C369" s="34">
        <v>25</v>
      </c>
      <c r="D369" s="34">
        <v>25</v>
      </c>
      <c r="E369" s="34">
        <v>25</v>
      </c>
      <c r="F369" s="34">
        <v>25</v>
      </c>
      <c r="G369" s="34">
        <v>25</v>
      </c>
      <c r="H369" s="34">
        <v>25</v>
      </c>
      <c r="I369" s="34">
        <v>25</v>
      </c>
      <c r="J369" s="34">
        <v>25</v>
      </c>
      <c r="K369" s="34">
        <v>25</v>
      </c>
      <c r="L369" s="34">
        <v>25</v>
      </c>
      <c r="M369" s="34">
        <v>25</v>
      </c>
      <c r="N369" s="25">
        <f t="shared" si="375"/>
        <v>25</v>
      </c>
    </row>
    <row r="370" spans="1:14">
      <c r="A370" s="2">
        <f t="shared" si="374"/>
        <v>2017</v>
      </c>
      <c r="B370" s="34">
        <v>25</v>
      </c>
      <c r="C370" s="34">
        <v>25</v>
      </c>
      <c r="D370" s="34">
        <v>25</v>
      </c>
      <c r="E370" s="34">
        <v>25</v>
      </c>
      <c r="F370" s="34">
        <v>25</v>
      </c>
      <c r="G370" s="34">
        <v>25</v>
      </c>
      <c r="H370" s="34">
        <v>25</v>
      </c>
      <c r="I370" s="34">
        <v>25</v>
      </c>
      <c r="J370" s="34">
        <v>25</v>
      </c>
      <c r="K370" s="34">
        <v>25</v>
      </c>
      <c r="L370" s="34">
        <v>25</v>
      </c>
      <c r="M370" s="34">
        <v>25</v>
      </c>
      <c r="N370" s="25">
        <f t="shared" si="375"/>
        <v>25</v>
      </c>
    </row>
    <row r="371" spans="1:14">
      <c r="A371" s="2">
        <f t="shared" si="374"/>
        <v>2018</v>
      </c>
      <c r="B371" s="34">
        <v>25</v>
      </c>
      <c r="C371" s="34">
        <v>25</v>
      </c>
      <c r="D371" s="34">
        <v>25</v>
      </c>
      <c r="E371" s="34">
        <v>25</v>
      </c>
      <c r="F371" s="34">
        <v>25</v>
      </c>
      <c r="G371" s="34">
        <v>25</v>
      </c>
      <c r="H371" s="34">
        <v>25</v>
      </c>
      <c r="I371" s="34">
        <v>25</v>
      </c>
      <c r="J371" s="34">
        <v>25</v>
      </c>
      <c r="K371" s="34">
        <v>25</v>
      </c>
      <c r="L371" s="34">
        <v>25</v>
      </c>
      <c r="M371" s="34">
        <v>25</v>
      </c>
      <c r="N371" s="25">
        <f t="shared" si="375"/>
        <v>25</v>
      </c>
    </row>
    <row r="372" spans="1:14">
      <c r="A372" s="2">
        <f t="shared" si="374"/>
        <v>2019</v>
      </c>
      <c r="B372" s="34">
        <v>25</v>
      </c>
      <c r="C372" s="34">
        <v>25</v>
      </c>
      <c r="D372" s="34">
        <v>25</v>
      </c>
      <c r="E372" s="34">
        <v>25</v>
      </c>
      <c r="F372" s="34">
        <v>25</v>
      </c>
      <c r="G372" s="34">
        <v>25</v>
      </c>
      <c r="H372" s="34">
        <v>25</v>
      </c>
      <c r="I372" s="34">
        <v>25</v>
      </c>
      <c r="J372" s="34">
        <v>25</v>
      </c>
      <c r="K372" s="34">
        <v>25</v>
      </c>
      <c r="L372" s="34">
        <v>25</v>
      </c>
      <c r="M372" s="34">
        <v>25</v>
      </c>
      <c r="N372" s="25">
        <f t="shared" si="375"/>
        <v>25</v>
      </c>
    </row>
    <row r="373" spans="1:14">
      <c r="A373" s="2">
        <f t="shared" si="374"/>
        <v>2020</v>
      </c>
      <c r="B373" s="34">
        <v>25</v>
      </c>
      <c r="C373" s="34">
        <v>25</v>
      </c>
      <c r="D373" s="34">
        <v>25</v>
      </c>
      <c r="E373" s="34">
        <v>25</v>
      </c>
      <c r="F373" s="34">
        <v>25</v>
      </c>
      <c r="G373" s="34">
        <v>25</v>
      </c>
      <c r="H373" s="34">
        <v>25</v>
      </c>
      <c r="I373" s="34">
        <v>25</v>
      </c>
      <c r="J373" s="34">
        <v>25</v>
      </c>
      <c r="K373" s="34">
        <v>25</v>
      </c>
      <c r="L373" s="34">
        <v>25</v>
      </c>
      <c r="M373" s="34">
        <v>25</v>
      </c>
      <c r="N373" s="25">
        <f t="shared" si="375"/>
        <v>25</v>
      </c>
    </row>
    <row r="374" spans="1:14">
      <c r="A374" s="2">
        <f t="shared" si="374"/>
        <v>2021</v>
      </c>
      <c r="B374" s="34">
        <v>25</v>
      </c>
      <c r="C374" s="34">
        <v>25</v>
      </c>
      <c r="D374" s="34">
        <v>25</v>
      </c>
      <c r="E374" s="34">
        <v>25</v>
      </c>
      <c r="F374" s="34">
        <v>25</v>
      </c>
      <c r="G374" s="34">
        <v>25</v>
      </c>
      <c r="H374" s="34">
        <v>25</v>
      </c>
      <c r="I374" s="34">
        <v>25</v>
      </c>
      <c r="J374" s="34">
        <v>25</v>
      </c>
      <c r="K374" s="34">
        <v>25</v>
      </c>
      <c r="L374" s="34">
        <v>25</v>
      </c>
      <c r="M374" s="34">
        <v>25</v>
      </c>
      <c r="N374" s="25">
        <f t="shared" ref="N374:N379" si="376">AVERAGE(B374:M374)</f>
        <v>25</v>
      </c>
    </row>
    <row r="375" spans="1:14">
      <c r="A375" s="2">
        <f t="shared" si="374"/>
        <v>2022</v>
      </c>
      <c r="B375" s="34">
        <v>25</v>
      </c>
      <c r="C375" s="34">
        <v>25</v>
      </c>
      <c r="D375" s="34">
        <v>25</v>
      </c>
      <c r="E375" s="34">
        <v>25</v>
      </c>
      <c r="F375" s="34">
        <v>25</v>
      </c>
      <c r="G375" s="34">
        <v>25</v>
      </c>
      <c r="H375" s="34">
        <v>25</v>
      </c>
      <c r="I375" s="34">
        <v>25</v>
      </c>
      <c r="J375" s="34">
        <v>25</v>
      </c>
      <c r="K375" s="34">
        <v>25</v>
      </c>
      <c r="L375" s="34">
        <v>25</v>
      </c>
      <c r="M375" s="34">
        <v>25</v>
      </c>
      <c r="N375" s="25">
        <f t="shared" si="376"/>
        <v>25</v>
      </c>
    </row>
    <row r="376" spans="1:14">
      <c r="A376" s="2">
        <f t="shared" si="374"/>
        <v>2023</v>
      </c>
      <c r="B376" s="34">
        <v>25</v>
      </c>
      <c r="C376" s="34">
        <v>25</v>
      </c>
      <c r="D376" s="34">
        <v>25</v>
      </c>
      <c r="E376" s="34">
        <v>25</v>
      </c>
      <c r="F376" s="34">
        <v>25</v>
      </c>
      <c r="G376" s="34">
        <v>25</v>
      </c>
      <c r="H376" s="34">
        <v>25</v>
      </c>
      <c r="I376" s="34">
        <v>25</v>
      </c>
      <c r="J376" s="34">
        <v>25</v>
      </c>
      <c r="K376" s="34">
        <v>25</v>
      </c>
      <c r="L376" s="34">
        <v>25</v>
      </c>
      <c r="M376" s="34">
        <v>25</v>
      </c>
      <c r="N376" s="25">
        <f t="shared" si="376"/>
        <v>25</v>
      </c>
    </row>
    <row r="377" spans="1:14">
      <c r="A377" s="2">
        <f t="shared" si="374"/>
        <v>2024</v>
      </c>
      <c r="B377" s="34">
        <v>25</v>
      </c>
      <c r="C377" s="34">
        <v>25</v>
      </c>
      <c r="D377" s="34">
        <v>25</v>
      </c>
      <c r="E377" s="34">
        <v>25</v>
      </c>
      <c r="F377" s="34">
        <v>25</v>
      </c>
      <c r="G377" s="34">
        <v>25</v>
      </c>
      <c r="H377" s="34">
        <v>25</v>
      </c>
      <c r="I377" s="34">
        <v>25</v>
      </c>
      <c r="J377" s="34">
        <v>25</v>
      </c>
      <c r="K377" s="34">
        <v>25</v>
      </c>
      <c r="L377" s="34">
        <v>25</v>
      </c>
      <c r="M377" s="34">
        <v>25</v>
      </c>
      <c r="N377" s="25">
        <f t="shared" si="376"/>
        <v>25</v>
      </c>
    </row>
    <row r="378" spans="1:14">
      <c r="A378" s="2">
        <f t="shared" si="374"/>
        <v>2025</v>
      </c>
      <c r="B378" s="34">
        <v>25</v>
      </c>
      <c r="C378" s="34">
        <v>25</v>
      </c>
      <c r="D378" s="34">
        <v>25</v>
      </c>
      <c r="E378" s="34">
        <v>25</v>
      </c>
      <c r="F378" s="34">
        <v>25</v>
      </c>
      <c r="G378" s="34">
        <v>25</v>
      </c>
      <c r="H378" s="34">
        <v>25</v>
      </c>
      <c r="I378" s="34">
        <v>25</v>
      </c>
      <c r="J378" s="34">
        <v>25</v>
      </c>
      <c r="K378" s="34">
        <v>25</v>
      </c>
      <c r="L378" s="34">
        <v>25</v>
      </c>
      <c r="M378" s="34">
        <v>25</v>
      </c>
      <c r="N378" s="25">
        <f t="shared" si="376"/>
        <v>25</v>
      </c>
    </row>
    <row r="379" spans="1:14">
      <c r="A379" s="2">
        <f t="shared" si="374"/>
        <v>2026</v>
      </c>
      <c r="B379" s="34">
        <v>25</v>
      </c>
      <c r="C379" s="34">
        <v>25</v>
      </c>
      <c r="D379" s="34">
        <v>25</v>
      </c>
      <c r="E379" s="34">
        <v>25</v>
      </c>
      <c r="F379" s="34">
        <v>25</v>
      </c>
      <c r="G379" s="34">
        <v>25</v>
      </c>
      <c r="H379" s="34">
        <v>25</v>
      </c>
      <c r="I379" s="34">
        <v>25</v>
      </c>
      <c r="J379" s="34">
        <v>25</v>
      </c>
      <c r="K379" s="34">
        <v>25</v>
      </c>
      <c r="L379" s="34">
        <v>25</v>
      </c>
      <c r="M379" s="34">
        <v>25</v>
      </c>
      <c r="N379" s="25">
        <f t="shared" si="376"/>
        <v>25</v>
      </c>
    </row>
    <row r="380" spans="1:14">
      <c r="A380" s="2">
        <f t="shared" si="374"/>
        <v>2027</v>
      </c>
      <c r="B380" s="34">
        <v>25</v>
      </c>
      <c r="C380" s="34">
        <v>25</v>
      </c>
      <c r="D380" s="34">
        <v>25</v>
      </c>
      <c r="E380" s="34">
        <v>25</v>
      </c>
      <c r="F380" s="34">
        <v>25</v>
      </c>
      <c r="G380" s="34">
        <v>25</v>
      </c>
      <c r="H380" s="34">
        <v>25</v>
      </c>
      <c r="I380" s="34">
        <v>25</v>
      </c>
      <c r="J380" s="34">
        <v>25</v>
      </c>
      <c r="K380" s="34">
        <v>25</v>
      </c>
      <c r="L380" s="34">
        <v>25</v>
      </c>
      <c r="M380" s="34">
        <v>25</v>
      </c>
      <c r="N380" s="25">
        <f>AVERAGE(B380:M380)</f>
        <v>25</v>
      </c>
    </row>
    <row r="381" spans="1:14">
      <c r="A381" s="2">
        <f t="shared" si="374"/>
        <v>2028</v>
      </c>
      <c r="B381" s="34">
        <v>25</v>
      </c>
      <c r="C381" s="34">
        <v>25</v>
      </c>
      <c r="D381" s="34">
        <v>25</v>
      </c>
      <c r="E381" s="34">
        <v>25</v>
      </c>
      <c r="F381" s="34">
        <v>25</v>
      </c>
      <c r="G381" s="34">
        <v>25</v>
      </c>
      <c r="H381" s="34">
        <v>25</v>
      </c>
      <c r="I381" s="34">
        <v>25</v>
      </c>
      <c r="J381" s="34">
        <v>25</v>
      </c>
      <c r="K381" s="34">
        <v>25</v>
      </c>
      <c r="L381" s="34">
        <v>25</v>
      </c>
      <c r="M381" s="34">
        <v>25</v>
      </c>
      <c r="N381" s="25">
        <f>AVERAGE(B381:M381)</f>
        <v>25</v>
      </c>
    </row>
    <row r="382" spans="1:14">
      <c r="A382" s="2">
        <f t="shared" si="374"/>
        <v>2029</v>
      </c>
      <c r="B382" s="34">
        <v>25</v>
      </c>
      <c r="C382" s="34">
        <v>25</v>
      </c>
      <c r="D382" s="34">
        <v>25</v>
      </c>
      <c r="E382" s="34">
        <v>25</v>
      </c>
      <c r="F382" s="34">
        <v>25</v>
      </c>
      <c r="G382" s="34">
        <v>25</v>
      </c>
      <c r="H382" s="34">
        <v>25</v>
      </c>
      <c r="I382" s="34">
        <v>25</v>
      </c>
      <c r="J382" s="34">
        <v>25</v>
      </c>
      <c r="K382" s="34">
        <v>25</v>
      </c>
      <c r="L382" s="34">
        <v>25</v>
      </c>
      <c r="M382" s="34">
        <v>25</v>
      </c>
      <c r="N382" s="25">
        <f>AVERAGE(B382:M382)</f>
        <v>25</v>
      </c>
    </row>
    <row r="383" spans="1:14">
      <c r="A383" s="2">
        <f t="shared" si="374"/>
        <v>2030</v>
      </c>
      <c r="B383" s="34">
        <v>25</v>
      </c>
      <c r="C383" s="34">
        <v>25</v>
      </c>
      <c r="D383" s="34">
        <v>25</v>
      </c>
      <c r="E383" s="34">
        <v>25</v>
      </c>
      <c r="F383" s="34">
        <v>25</v>
      </c>
      <c r="G383" s="34">
        <v>25</v>
      </c>
      <c r="H383" s="34">
        <v>25</v>
      </c>
      <c r="I383" s="34">
        <v>25</v>
      </c>
      <c r="J383" s="34">
        <v>25</v>
      </c>
      <c r="K383" s="34">
        <v>25</v>
      </c>
      <c r="L383" s="34">
        <v>25</v>
      </c>
      <c r="M383" s="34">
        <v>25</v>
      </c>
      <c r="N383" s="25">
        <f>AVERAGE(B383:M383)</f>
        <v>25</v>
      </c>
    </row>
    <row r="384" spans="1:14">
      <c r="A384" s="2">
        <f t="shared" si="374"/>
        <v>2031</v>
      </c>
      <c r="B384" s="34">
        <v>25</v>
      </c>
      <c r="C384" s="34">
        <v>25</v>
      </c>
      <c r="D384" s="34">
        <v>25</v>
      </c>
      <c r="E384" s="34">
        <v>25</v>
      </c>
      <c r="F384" s="34">
        <v>25</v>
      </c>
      <c r="G384" s="34">
        <v>25</v>
      </c>
      <c r="H384" s="34">
        <v>25</v>
      </c>
      <c r="I384" s="34">
        <v>25</v>
      </c>
      <c r="J384" s="34">
        <v>25</v>
      </c>
      <c r="K384" s="34">
        <v>25</v>
      </c>
      <c r="L384" s="34">
        <v>25</v>
      </c>
      <c r="M384" s="34">
        <v>25</v>
      </c>
      <c r="N384" s="25">
        <f>AVERAGE(B384:M384)</f>
        <v>25</v>
      </c>
    </row>
    <row r="385" spans="1:14">
      <c r="A385" s="2">
        <f t="shared" si="374"/>
        <v>2032</v>
      </c>
      <c r="B385" s="34">
        <v>25</v>
      </c>
      <c r="C385" s="34">
        <v>25</v>
      </c>
      <c r="D385" s="34">
        <v>25</v>
      </c>
      <c r="E385" s="34">
        <v>25</v>
      </c>
      <c r="F385" s="34">
        <v>25</v>
      </c>
      <c r="G385" s="34">
        <v>25</v>
      </c>
      <c r="H385" s="34">
        <v>25</v>
      </c>
      <c r="I385" s="34">
        <v>25</v>
      </c>
      <c r="J385" s="34">
        <v>25</v>
      </c>
      <c r="K385" s="34">
        <v>25</v>
      </c>
      <c r="L385" s="34">
        <v>25</v>
      </c>
      <c r="M385" s="34">
        <v>25</v>
      </c>
      <c r="N385" s="25">
        <f t="shared" ref="N385:N393" si="377">AVERAGE(B385:M385)</f>
        <v>25</v>
      </c>
    </row>
    <row r="386" spans="1:14">
      <c r="A386" s="2">
        <f t="shared" si="374"/>
        <v>2033</v>
      </c>
      <c r="B386" s="34">
        <v>25</v>
      </c>
      <c r="C386" s="34">
        <v>25</v>
      </c>
      <c r="D386" s="34">
        <v>25</v>
      </c>
      <c r="E386" s="34">
        <v>25</v>
      </c>
      <c r="F386" s="34">
        <v>25</v>
      </c>
      <c r="G386" s="34">
        <v>25</v>
      </c>
      <c r="H386" s="34">
        <v>25</v>
      </c>
      <c r="I386" s="34">
        <v>25</v>
      </c>
      <c r="J386" s="34">
        <v>25</v>
      </c>
      <c r="K386" s="34">
        <v>25</v>
      </c>
      <c r="L386" s="34">
        <v>25</v>
      </c>
      <c r="M386" s="34">
        <v>25</v>
      </c>
      <c r="N386" s="25">
        <f t="shared" si="377"/>
        <v>25</v>
      </c>
    </row>
    <row r="387" spans="1:14">
      <c r="A387" s="2">
        <f t="shared" si="374"/>
        <v>2034</v>
      </c>
      <c r="B387" s="34">
        <v>25</v>
      </c>
      <c r="C387" s="34">
        <v>25</v>
      </c>
      <c r="D387" s="34">
        <v>25</v>
      </c>
      <c r="E387" s="34">
        <v>25</v>
      </c>
      <c r="F387" s="34">
        <v>25</v>
      </c>
      <c r="G387" s="34">
        <v>25</v>
      </c>
      <c r="H387" s="34">
        <v>25</v>
      </c>
      <c r="I387" s="34">
        <v>25</v>
      </c>
      <c r="J387" s="34">
        <v>25</v>
      </c>
      <c r="K387" s="34">
        <v>25</v>
      </c>
      <c r="L387" s="34">
        <v>25</v>
      </c>
      <c r="M387" s="34">
        <v>25</v>
      </c>
      <c r="N387" s="25">
        <f t="shared" si="377"/>
        <v>25</v>
      </c>
    </row>
    <row r="388" spans="1:14">
      <c r="A388" s="2">
        <f t="shared" si="374"/>
        <v>2035</v>
      </c>
      <c r="B388" s="34">
        <v>25</v>
      </c>
      <c r="C388" s="34">
        <v>25</v>
      </c>
      <c r="D388" s="34">
        <v>25</v>
      </c>
      <c r="E388" s="34">
        <v>25</v>
      </c>
      <c r="F388" s="34">
        <v>25</v>
      </c>
      <c r="G388" s="34">
        <v>25</v>
      </c>
      <c r="H388" s="34">
        <v>25</v>
      </c>
      <c r="I388" s="34">
        <v>25</v>
      </c>
      <c r="J388" s="34">
        <v>25</v>
      </c>
      <c r="K388" s="34">
        <v>25</v>
      </c>
      <c r="L388" s="34">
        <v>25</v>
      </c>
      <c r="M388" s="34">
        <v>25</v>
      </c>
      <c r="N388" s="25">
        <f t="shared" si="377"/>
        <v>25</v>
      </c>
    </row>
    <row r="389" spans="1:14">
      <c r="A389" s="2">
        <f t="shared" si="374"/>
        <v>2036</v>
      </c>
      <c r="B389" s="34">
        <v>25</v>
      </c>
      <c r="C389" s="34">
        <v>25</v>
      </c>
      <c r="D389" s="34">
        <v>25</v>
      </c>
      <c r="E389" s="34">
        <v>25</v>
      </c>
      <c r="F389" s="34">
        <v>25</v>
      </c>
      <c r="G389" s="34">
        <v>25</v>
      </c>
      <c r="H389" s="34">
        <v>25</v>
      </c>
      <c r="I389" s="34">
        <v>25</v>
      </c>
      <c r="J389" s="34">
        <v>25</v>
      </c>
      <c r="K389" s="34">
        <v>25</v>
      </c>
      <c r="L389" s="34">
        <v>25</v>
      </c>
      <c r="M389" s="34">
        <v>25</v>
      </c>
      <c r="N389" s="25">
        <f t="shared" si="377"/>
        <v>25</v>
      </c>
    </row>
    <row r="390" spans="1:14">
      <c r="A390" s="2">
        <f t="shared" si="374"/>
        <v>2037</v>
      </c>
      <c r="B390" s="34">
        <v>25</v>
      </c>
      <c r="C390" s="34">
        <v>25</v>
      </c>
      <c r="D390" s="34">
        <v>25</v>
      </c>
      <c r="E390" s="34">
        <v>25</v>
      </c>
      <c r="F390" s="34">
        <v>25</v>
      </c>
      <c r="G390" s="34">
        <v>25</v>
      </c>
      <c r="H390" s="34">
        <v>25</v>
      </c>
      <c r="I390" s="34">
        <v>25</v>
      </c>
      <c r="J390" s="34">
        <v>25</v>
      </c>
      <c r="K390" s="34">
        <v>25</v>
      </c>
      <c r="L390" s="34">
        <v>25</v>
      </c>
      <c r="M390" s="34">
        <v>25</v>
      </c>
      <c r="N390" s="25">
        <f t="shared" si="377"/>
        <v>25</v>
      </c>
    </row>
    <row r="391" spans="1:14">
      <c r="A391" s="2">
        <f t="shared" si="374"/>
        <v>2038</v>
      </c>
      <c r="B391" s="34">
        <v>25</v>
      </c>
      <c r="C391" s="34">
        <v>25</v>
      </c>
      <c r="D391" s="34">
        <v>25</v>
      </c>
      <c r="E391" s="34">
        <v>25</v>
      </c>
      <c r="F391" s="34">
        <v>25</v>
      </c>
      <c r="G391" s="34">
        <v>25</v>
      </c>
      <c r="H391" s="34">
        <v>25</v>
      </c>
      <c r="I391" s="34">
        <v>25</v>
      </c>
      <c r="J391" s="34">
        <v>25</v>
      </c>
      <c r="K391" s="34">
        <v>25</v>
      </c>
      <c r="L391" s="34">
        <v>25</v>
      </c>
      <c r="M391" s="34">
        <v>25</v>
      </c>
      <c r="N391" s="25">
        <f t="shared" si="377"/>
        <v>25</v>
      </c>
    </row>
    <row r="392" spans="1:14">
      <c r="A392" s="2">
        <f t="shared" si="374"/>
        <v>2039</v>
      </c>
      <c r="B392" s="34">
        <v>25</v>
      </c>
      <c r="C392" s="34">
        <v>25</v>
      </c>
      <c r="D392" s="34">
        <v>25</v>
      </c>
      <c r="E392" s="34">
        <v>25</v>
      </c>
      <c r="F392" s="34">
        <v>25</v>
      </c>
      <c r="G392" s="34">
        <v>25</v>
      </c>
      <c r="H392" s="34">
        <v>25</v>
      </c>
      <c r="I392" s="34">
        <v>25</v>
      </c>
      <c r="J392" s="34">
        <v>25</v>
      </c>
      <c r="K392" s="34">
        <v>25</v>
      </c>
      <c r="L392" s="34">
        <v>25</v>
      </c>
      <c r="M392" s="34">
        <v>25</v>
      </c>
      <c r="N392" s="25">
        <f t="shared" si="377"/>
        <v>25</v>
      </c>
    </row>
    <row r="393" spans="1:14">
      <c r="A393" s="2">
        <f t="shared" si="374"/>
        <v>2040</v>
      </c>
      <c r="B393" s="34">
        <v>25</v>
      </c>
      <c r="C393" s="34">
        <v>25</v>
      </c>
      <c r="D393" s="34">
        <v>25</v>
      </c>
      <c r="E393" s="34">
        <v>25</v>
      </c>
      <c r="F393" s="34">
        <v>25</v>
      </c>
      <c r="G393" s="34">
        <v>25</v>
      </c>
      <c r="H393" s="34">
        <v>25</v>
      </c>
      <c r="I393" s="34">
        <v>25</v>
      </c>
      <c r="J393" s="34">
        <v>25</v>
      </c>
      <c r="K393" s="34">
        <v>25</v>
      </c>
      <c r="L393" s="34">
        <v>25</v>
      </c>
      <c r="M393" s="34">
        <v>25</v>
      </c>
      <c r="N393" s="25">
        <f t="shared" si="377"/>
        <v>25</v>
      </c>
    </row>
    <row r="394" spans="1:14">
      <c r="A394" s="2">
        <f t="shared" si="374"/>
        <v>2041</v>
      </c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25"/>
    </row>
    <row r="395" spans="1:14">
      <c r="A395" s="2">
        <f t="shared" si="374"/>
        <v>2042</v>
      </c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25"/>
    </row>
    <row r="396" spans="1:14">
      <c r="A396" s="2">
        <f t="shared" si="374"/>
        <v>2043</v>
      </c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25"/>
    </row>
    <row r="397" spans="1:14">
      <c r="A397" s="2">
        <f t="shared" si="374"/>
        <v>2044</v>
      </c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25"/>
    </row>
    <row r="398" spans="1:14">
      <c r="A398" s="2">
        <f t="shared" si="374"/>
        <v>2045</v>
      </c>
      <c r="B398" s="1196"/>
      <c r="C398" s="1196"/>
      <c r="D398" s="1196"/>
      <c r="E398" s="1196"/>
      <c r="F398" s="1196"/>
      <c r="G398" s="1196"/>
      <c r="H398" s="1196"/>
      <c r="I398" s="1196"/>
      <c r="J398" s="1196"/>
      <c r="K398" s="1196"/>
      <c r="L398" s="1196"/>
      <c r="M398" s="1196"/>
      <c r="N398" s="25"/>
    </row>
    <row r="399" spans="1:14">
      <c r="B399" s="1196"/>
      <c r="C399" s="1196"/>
      <c r="D399" s="1196"/>
      <c r="E399" s="1196"/>
      <c r="F399" s="1196"/>
      <c r="G399" s="1196"/>
      <c r="H399" s="1196"/>
      <c r="I399" s="1196"/>
      <c r="J399" s="1196"/>
      <c r="K399" s="1196"/>
      <c r="L399" s="1196"/>
      <c r="M399" s="1196"/>
      <c r="N399" s="25"/>
    </row>
    <row r="400" spans="1:14">
      <c r="A400" s="601" t="s">
        <v>309</v>
      </c>
      <c r="B400" s="990">
        <f>[26]Charts!$L$261</f>
        <v>0.26796844113159463</v>
      </c>
      <c r="C400" s="990">
        <f>[26]Charts!$L$262</f>
        <v>0.32139335186844831</v>
      </c>
      <c r="D400" s="990">
        <f>[26]Charts!$L$263</f>
        <v>0.37522708030933305</v>
      </c>
      <c r="E400" s="990">
        <f>[26]Charts!$L$264</f>
        <v>0.37560237171621846</v>
      </c>
      <c r="F400" s="990">
        <f>[26]Charts!$L$265</f>
        <v>0.3423783324275444</v>
      </c>
      <c r="G400" s="990">
        <f>[26]Charts!$L$266</f>
        <v>0.36356977859923117</v>
      </c>
      <c r="H400" s="990">
        <f>[26]Charts!$L$267</f>
        <v>0.37689647012301597</v>
      </c>
      <c r="I400" s="990">
        <f>[26]Charts!$L$268</f>
        <v>0.3861671932509505</v>
      </c>
      <c r="J400" s="990">
        <f>[26]Charts!$L$269</f>
        <v>0.3770230242261669</v>
      </c>
      <c r="K400" s="990">
        <f>[26]Charts!$L$270</f>
        <v>0.35208048782113677</v>
      </c>
      <c r="L400" s="990">
        <f>[26]Charts!$L$271</f>
        <v>0.39208618711261317</v>
      </c>
      <c r="M400" s="990">
        <f>[26]Charts!$L$272</f>
        <v>0.34497954240922274</v>
      </c>
    </row>
    <row r="401" spans="1:15">
      <c r="A401" s="31" t="s">
        <v>308</v>
      </c>
      <c r="G401" s="193" t="s">
        <v>540</v>
      </c>
      <c r="K401" s="192"/>
    </row>
    <row r="402" spans="1:15">
      <c r="A402" s="27" t="s">
        <v>9</v>
      </c>
      <c r="B402" s="27" t="s">
        <v>28</v>
      </c>
      <c r="C402" s="27" t="s">
        <v>29</v>
      </c>
      <c r="D402" s="27" t="s">
        <v>30</v>
      </c>
      <c r="E402" s="27" t="s">
        <v>31</v>
      </c>
      <c r="F402" s="27" t="s">
        <v>32</v>
      </c>
      <c r="G402" s="27" t="s">
        <v>33</v>
      </c>
      <c r="H402" s="27" t="s">
        <v>34</v>
      </c>
      <c r="I402" s="27" t="s">
        <v>35</v>
      </c>
      <c r="J402" s="27" t="s">
        <v>36</v>
      </c>
      <c r="K402" s="27" t="s">
        <v>37</v>
      </c>
      <c r="L402" s="27" t="s">
        <v>38</v>
      </c>
      <c r="M402" s="27" t="s">
        <v>39</v>
      </c>
      <c r="N402" s="27" t="s">
        <v>53</v>
      </c>
    </row>
    <row r="403" spans="1:15">
      <c r="A403" s="2">
        <f>A323</f>
        <v>2010</v>
      </c>
      <c r="B403" s="450">
        <v>2571</v>
      </c>
      <c r="C403" s="450">
        <v>2597</v>
      </c>
      <c r="D403" s="450">
        <v>2555</v>
      </c>
      <c r="E403" s="450">
        <v>2552</v>
      </c>
      <c r="F403" s="450">
        <v>3036</v>
      </c>
      <c r="G403" s="450">
        <v>3396</v>
      </c>
      <c r="H403" s="450">
        <v>3225</v>
      </c>
      <c r="I403" s="450">
        <v>3424</v>
      </c>
      <c r="J403" s="450">
        <v>3203</v>
      </c>
      <c r="K403" s="450">
        <v>2547</v>
      </c>
      <c r="L403" s="450">
        <v>2470</v>
      </c>
      <c r="M403" s="450">
        <v>2707</v>
      </c>
      <c r="N403" s="25">
        <f t="shared" ref="N403:N413" si="378">AVERAGE(B403:M403)</f>
        <v>2856.9166666666665</v>
      </c>
    </row>
    <row r="404" spans="1:15">
      <c r="A404" s="2">
        <f>A403+1</f>
        <v>2011</v>
      </c>
      <c r="B404" s="450">
        <v>2482</v>
      </c>
      <c r="C404" s="450">
        <v>2424</v>
      </c>
      <c r="D404" s="450">
        <v>2442</v>
      </c>
      <c r="E404" s="450">
        <v>2510</v>
      </c>
      <c r="F404" s="450">
        <v>2629</v>
      </c>
      <c r="G404" s="450">
        <v>3031</v>
      </c>
      <c r="H404" s="450">
        <v>3122</v>
      </c>
      <c r="I404" s="450">
        <v>3450</v>
      </c>
      <c r="J404" s="450">
        <v>3190</v>
      </c>
      <c r="K404" s="450">
        <v>2439</v>
      </c>
      <c r="L404" s="450">
        <v>2432</v>
      </c>
      <c r="M404" s="450">
        <v>2491</v>
      </c>
      <c r="N404" s="25">
        <f t="shared" si="378"/>
        <v>2720.1666666666665</v>
      </c>
      <c r="O404" s="2" t="s">
        <v>539</v>
      </c>
    </row>
    <row r="405" spans="1:15">
      <c r="A405" s="2">
        <f t="shared" ref="A405:A438" si="379">A404+1</f>
        <v>2012</v>
      </c>
      <c r="B405" s="34">
        <f>B$400*(12+B85+B325)+((B685*0.25)+B805+(B845*0.5)+(B965*0.1)+(B1045)+(B1205)+(B1285*0.5)+(B1365)+(B1405*0.5))</f>
        <v>2428.5805982392799</v>
      </c>
      <c r="C405" s="34">
        <f>C$400*(12+C85+C325)+((C685*0.25)+C805+(C845*0.5)+(C965*0.1)+(C1045)+(C1205)+(C1285*0.5)+(C1365)+(C1405*0.5))</f>
        <v>2787.7340337553646</v>
      </c>
      <c r="D405" s="34">
        <f t="shared" ref="D405:M405" si="380">D$400*(12+D85+D325)+((D685*0.25)+D805+(D845*0.5)+(D965*0.1)+(D1045)+(D1205)+(D1285*0.5)+(D1365)+(D1405*0.5))</f>
        <v>2501.5375763771185</v>
      </c>
      <c r="E405" s="34">
        <f t="shared" si="380"/>
        <v>2781.1550422442988</v>
      </c>
      <c r="F405" s="34">
        <f t="shared" si="380"/>
        <v>2888.843334950242</v>
      </c>
      <c r="G405" s="34">
        <f t="shared" si="380"/>
        <v>3177.4352721144696</v>
      </c>
      <c r="H405" s="34">
        <f t="shared" si="380"/>
        <v>3349.294598688874</v>
      </c>
      <c r="I405" s="34">
        <f t="shared" si="380"/>
        <v>3432.1436689677753</v>
      </c>
      <c r="J405" s="34">
        <f t="shared" si="380"/>
        <v>3208.7103033503586</v>
      </c>
      <c r="K405" s="34">
        <f t="shared" si="380"/>
        <v>2835.7400025537622</v>
      </c>
      <c r="L405" s="34">
        <f t="shared" si="380"/>
        <v>2264.7008162780703</v>
      </c>
      <c r="M405" s="34">
        <f t="shared" si="380"/>
        <v>2339.4642436855379</v>
      </c>
      <c r="N405" s="25">
        <f t="shared" si="378"/>
        <v>2832.9449576004286</v>
      </c>
    </row>
    <row r="406" spans="1:15">
      <c r="A406" s="2">
        <f t="shared" si="379"/>
        <v>2013</v>
      </c>
      <c r="B406" s="34">
        <f t="shared" ref="B406:M406" si="381">B$400*(12+B86+B326)+((B686*0.25)+B806+(B846*0.5)+(B966*0.1)+(B1046)+(B1206)+(B1286*0.5)+(B1366)+(B1406*0.5))</f>
        <v>1771.4500786635524</v>
      </c>
      <c r="C406" s="34">
        <f t="shared" si="381"/>
        <v>2575.5107868273517</v>
      </c>
      <c r="D406" s="34">
        <f>D$400*(12+D86+D326)+((D686*0.25)+D806+(D846*0.5)+(D966*0.1)+(D1046)+(D1206)+(D1286*0.5)+(D1366)+(D1406*0.5))</f>
        <v>2908.1609645964086</v>
      </c>
      <c r="E406" s="34">
        <f t="shared" si="381"/>
        <v>2701.0579162124263</v>
      </c>
      <c r="F406" s="34">
        <f t="shared" si="381"/>
        <v>2766.7190292808195</v>
      </c>
      <c r="G406" s="34">
        <f t="shared" si="381"/>
        <v>3120.6696102750338</v>
      </c>
      <c r="H406" s="34">
        <f t="shared" si="381"/>
        <v>3454.7889592167789</v>
      </c>
      <c r="I406" s="34">
        <f t="shared" si="381"/>
        <v>3585.9784336415155</v>
      </c>
      <c r="J406" s="34">
        <f t="shared" si="381"/>
        <v>3253.7317385580473</v>
      </c>
      <c r="K406" s="34">
        <f t="shared" si="381"/>
        <v>2824.498890263149</v>
      </c>
      <c r="L406" s="34">
        <f t="shared" si="381"/>
        <v>2549.3438822024418</v>
      </c>
      <c r="M406" s="34">
        <f t="shared" si="381"/>
        <v>2815.4316920478982</v>
      </c>
      <c r="N406" s="25">
        <f t="shared" si="378"/>
        <v>2860.6118318154513</v>
      </c>
    </row>
    <row r="407" spans="1:15">
      <c r="A407" s="2">
        <f t="shared" si="379"/>
        <v>2014</v>
      </c>
      <c r="B407" s="34">
        <f t="shared" ref="B407:M407" si="382">B$400*(12+B87+B327)+((B687*0.25)+B807+(B847*0.5)+(B967*0.1)+(B1047)+(B1207)+(B1287*0.5)+(B1367)+(B1407*0.5))</f>
        <v>2645.4529515682007</v>
      </c>
      <c r="C407" s="34">
        <f t="shared" si="382"/>
        <v>2642.8802430927572</v>
      </c>
      <c r="D407" s="34">
        <f t="shared" si="382"/>
        <v>2699.1159405913068</v>
      </c>
      <c r="E407" s="34">
        <f t="shared" si="382"/>
        <v>2757.5545979608819</v>
      </c>
      <c r="F407" s="34">
        <f t="shared" si="382"/>
        <v>2854.7308130156698</v>
      </c>
      <c r="G407" s="34">
        <f t="shared" si="382"/>
        <v>3219.1136510761244</v>
      </c>
      <c r="H407" s="34">
        <f t="shared" si="382"/>
        <v>3444.2259987038256</v>
      </c>
      <c r="I407" s="34">
        <f t="shared" si="382"/>
        <v>3593.7872341502743</v>
      </c>
      <c r="J407" s="34">
        <f t="shared" si="382"/>
        <v>3236.9185521658774</v>
      </c>
      <c r="K407" s="34">
        <f t="shared" si="382"/>
        <v>2829.8047598282033</v>
      </c>
      <c r="L407" s="34">
        <f t="shared" si="382"/>
        <v>2539.0186393465156</v>
      </c>
      <c r="M407" s="34">
        <f t="shared" si="382"/>
        <v>2765.5845754596971</v>
      </c>
      <c r="N407" s="25">
        <f t="shared" si="378"/>
        <v>2935.6823297466112</v>
      </c>
    </row>
    <row r="408" spans="1:15">
      <c r="A408" s="2">
        <f t="shared" si="379"/>
        <v>2015</v>
      </c>
      <c r="B408" s="34">
        <f t="shared" ref="B408:M408" si="383">B$400*(12+B88+B328)+((B688*0.25)+B808+(B848*0.5)+(B968*0.1)+(B1048)+(B1208)+(B1288*0.5)+(B1368)+(B1408*0.5))</f>
        <v>2593.7006842470346</v>
      </c>
      <c r="C408" s="34">
        <f t="shared" si="383"/>
        <v>2704.1332283964502</v>
      </c>
      <c r="D408" s="34">
        <f t="shared" si="383"/>
        <v>2777.7954507569448</v>
      </c>
      <c r="E408" s="34">
        <f t="shared" si="383"/>
        <v>2849.1940646122052</v>
      </c>
      <c r="F408" s="34">
        <f t="shared" si="383"/>
        <v>2932.464644879331</v>
      </c>
      <c r="G408" s="34">
        <f t="shared" si="383"/>
        <v>3301.2478828683284</v>
      </c>
      <c r="H408" s="34">
        <f t="shared" si="383"/>
        <v>3533.0881038189027</v>
      </c>
      <c r="I408" s="34">
        <f t="shared" si="383"/>
        <v>3687.1120867127115</v>
      </c>
      <c r="J408" s="34">
        <f t="shared" si="383"/>
        <v>3314.6644699915551</v>
      </c>
      <c r="K408" s="34">
        <f t="shared" si="383"/>
        <v>2928.5633823693261</v>
      </c>
      <c r="L408" s="34">
        <f t="shared" si="383"/>
        <v>2619.6199770541184</v>
      </c>
      <c r="M408" s="34">
        <f t="shared" si="383"/>
        <v>2805.7602319591947</v>
      </c>
      <c r="N408" s="25">
        <f t="shared" si="378"/>
        <v>3003.9453506388422</v>
      </c>
    </row>
    <row r="409" spans="1:15">
      <c r="A409" s="2">
        <f t="shared" si="379"/>
        <v>2016</v>
      </c>
      <c r="B409" s="34">
        <f t="shared" ref="B409:M409" si="384">B$400*(12+B89+B329)+((B689*0.25)+B809+(B849*0.5)+(B969*0.1)+(B1049)+(B1209)+(B1289*0.5)+(B1369)+(B1409*0.5))</f>
        <v>2662.2876844692455</v>
      </c>
      <c r="C409" s="34">
        <f t="shared" si="384"/>
        <v>2772.1354740893803</v>
      </c>
      <c r="D409" s="34">
        <f t="shared" si="384"/>
        <v>2874.5196312146586</v>
      </c>
      <c r="E409" s="34">
        <f t="shared" si="384"/>
        <v>2945.3783199612944</v>
      </c>
      <c r="F409" s="34">
        <f t="shared" si="384"/>
        <v>3042.0430854420788</v>
      </c>
      <c r="G409" s="34">
        <f t="shared" si="384"/>
        <v>3282.2950410225212</v>
      </c>
      <c r="H409" s="34">
        <f t="shared" si="384"/>
        <v>3519.7265197602546</v>
      </c>
      <c r="I409" s="34">
        <f t="shared" si="384"/>
        <v>3689.7397069605645</v>
      </c>
      <c r="J409" s="34">
        <f t="shared" si="384"/>
        <v>3290.8683636481478</v>
      </c>
      <c r="K409" s="34">
        <f t="shared" si="384"/>
        <v>2925.5545608615871</v>
      </c>
      <c r="L409" s="34">
        <f t="shared" si="384"/>
        <v>2599.4606675587229</v>
      </c>
      <c r="M409" s="34">
        <f t="shared" si="384"/>
        <v>2745.2528289647225</v>
      </c>
      <c r="N409" s="25">
        <f t="shared" si="378"/>
        <v>3029.1051569960982</v>
      </c>
    </row>
    <row r="410" spans="1:15">
      <c r="A410" s="2">
        <f t="shared" si="379"/>
        <v>2017</v>
      </c>
      <c r="B410" s="34">
        <f t="shared" ref="B410:M410" si="385">B$400*(12+B90+B330)+((B690*0.25)+B810+(B850*0.5)+(B970*0.1)+(B1050)+(B1210)+(B1290*0.5)+(B1370)+(B1410*0.5))</f>
        <v>2594.9889967392905</v>
      </c>
      <c r="C410" s="34">
        <f t="shared" si="385"/>
        <v>2713.8843121081759</v>
      </c>
      <c r="D410" s="34">
        <f t="shared" si="385"/>
        <v>2754.5275681340872</v>
      </c>
      <c r="E410" s="34">
        <f t="shared" si="385"/>
        <v>2906.7811571184357</v>
      </c>
      <c r="F410" s="34">
        <f t="shared" si="385"/>
        <v>3001.2115654485028</v>
      </c>
      <c r="G410" s="34">
        <f t="shared" si="385"/>
        <v>3312.5702542781733</v>
      </c>
      <c r="H410" s="34">
        <f t="shared" si="385"/>
        <v>3555.3384090954287</v>
      </c>
      <c r="I410" s="34">
        <f t="shared" si="385"/>
        <v>3740.7621969136389</v>
      </c>
      <c r="J410" s="34">
        <f t="shared" si="385"/>
        <v>3325.0291298628158</v>
      </c>
      <c r="K410" s="34">
        <f t="shared" si="385"/>
        <v>2982.3348567195067</v>
      </c>
      <c r="L410" s="34">
        <f t="shared" si="385"/>
        <v>2649.9878693364994</v>
      </c>
      <c r="M410" s="34">
        <f t="shared" si="385"/>
        <v>2748.872187054968</v>
      </c>
      <c r="N410" s="25">
        <f t="shared" si="378"/>
        <v>3023.8573752341272</v>
      </c>
    </row>
    <row r="411" spans="1:15">
      <c r="A411" s="2">
        <f t="shared" si="379"/>
        <v>2018</v>
      </c>
      <c r="B411" s="34">
        <f t="shared" ref="B411:M411" si="386">B$400*(12+B91+B331)+((B691*0.25)+B811+(B851*0.5)+(B971*0.1)+(B1051)+(B1211)+(B1291*0.5)+(B1371)+(B1411*0.5))</f>
        <v>2667.1234214075043</v>
      </c>
      <c r="C411" s="34">
        <f t="shared" si="386"/>
        <v>2742.4883204244679</v>
      </c>
      <c r="D411" s="34">
        <f t="shared" si="386"/>
        <v>2790.6018996350263</v>
      </c>
      <c r="E411" s="34">
        <f t="shared" si="386"/>
        <v>3006.740216303273</v>
      </c>
      <c r="F411" s="34">
        <f t="shared" si="386"/>
        <v>3113.2035179855529</v>
      </c>
      <c r="G411" s="34">
        <f t="shared" si="386"/>
        <v>3396.2385674272145</v>
      </c>
      <c r="H411" s="34">
        <f t="shared" si="386"/>
        <v>3609.6491904401555</v>
      </c>
      <c r="I411" s="34">
        <f t="shared" si="386"/>
        <v>3798.316555395761</v>
      </c>
      <c r="J411" s="34">
        <f t="shared" si="386"/>
        <v>3369.906180436456</v>
      </c>
      <c r="K411" s="34">
        <f t="shared" si="386"/>
        <v>3029.8762849899954</v>
      </c>
      <c r="L411" s="34">
        <f t="shared" si="386"/>
        <v>2677.4535067437382</v>
      </c>
      <c r="M411" s="34">
        <f t="shared" si="386"/>
        <v>2772.4239404152459</v>
      </c>
      <c r="N411" s="25">
        <f t="shared" si="378"/>
        <v>3081.1684668003659</v>
      </c>
    </row>
    <row r="412" spans="1:15">
      <c r="A412" s="2">
        <f t="shared" si="379"/>
        <v>2019</v>
      </c>
      <c r="B412" s="34">
        <f t="shared" ref="B412:M412" si="387">B$400*(12+B92+B332)+((B692*0.25)+B812+(B852*0.5)+(B972*0.1)+(B1052)+(B1212)+(B1292*0.5)+(B1372)+(B1412*0.5))</f>
        <v>2683.1761865888648</v>
      </c>
      <c r="C412" s="34">
        <f t="shared" si="387"/>
        <v>2757.0614838400302</v>
      </c>
      <c r="D412" s="34">
        <f t="shared" si="387"/>
        <v>2815.5558808366081</v>
      </c>
      <c r="E412" s="34">
        <f t="shared" si="387"/>
        <v>3048.9918209590619</v>
      </c>
      <c r="F412" s="34">
        <f t="shared" si="387"/>
        <v>3211.4905317093871</v>
      </c>
      <c r="G412" s="34">
        <f t="shared" si="387"/>
        <v>3433.4271780566128</v>
      </c>
      <c r="H412" s="34">
        <f t="shared" si="387"/>
        <v>3650.6399933939942</v>
      </c>
      <c r="I412" s="34">
        <f t="shared" si="387"/>
        <v>3842.8459585405944</v>
      </c>
      <c r="J412" s="34">
        <f t="shared" si="387"/>
        <v>3402.6321756757247</v>
      </c>
      <c r="K412" s="34">
        <f t="shared" si="387"/>
        <v>3063.0153359438991</v>
      </c>
      <c r="L412" s="34">
        <f t="shared" si="387"/>
        <v>2694.0656137819997</v>
      </c>
      <c r="M412" s="34">
        <f t="shared" si="387"/>
        <v>2781.9563926104092</v>
      </c>
      <c r="N412" s="25">
        <f t="shared" si="378"/>
        <v>3115.4048793280986</v>
      </c>
    </row>
    <row r="413" spans="1:15">
      <c r="A413" s="2">
        <f t="shared" si="379"/>
        <v>2020</v>
      </c>
      <c r="B413" s="34">
        <f t="shared" ref="B413:M413" si="388">B$400*(12+B93+B333)+((B693*0.25)+B813+(B853*0.5)+(B973*0.1)+(B1053)+(B1213)+(B1293*0.5)+(B1373)+(B1413*0.5))</f>
        <v>2715.1153450873394</v>
      </c>
      <c r="C413" s="34">
        <f t="shared" si="388"/>
        <v>2786.3082788600591</v>
      </c>
      <c r="D413" s="34">
        <f t="shared" si="388"/>
        <v>2852.3431437901349</v>
      </c>
      <c r="E413" s="34">
        <f t="shared" si="388"/>
        <v>3103.848547348216</v>
      </c>
      <c r="F413" s="34">
        <f t="shared" si="388"/>
        <v>3265.9629243986096</v>
      </c>
      <c r="G413" s="34">
        <f t="shared" si="388"/>
        <v>3485.4685561653064</v>
      </c>
      <c r="H413" s="34">
        <f t="shared" si="388"/>
        <v>3706.4922813015241</v>
      </c>
      <c r="I413" s="34">
        <f t="shared" si="388"/>
        <v>3901.9836025150453</v>
      </c>
      <c r="J413" s="34">
        <f t="shared" si="388"/>
        <v>3449.7713643947227</v>
      </c>
      <c r="K413" s="34">
        <f t="shared" si="388"/>
        <v>3112.3523747022755</v>
      </c>
      <c r="L413" s="34">
        <f t="shared" si="388"/>
        <v>2725.4521130603644</v>
      </c>
      <c r="M413" s="34">
        <f t="shared" si="388"/>
        <v>2808.2403839465678</v>
      </c>
      <c r="N413" s="25">
        <f t="shared" si="378"/>
        <v>3159.4449096308476</v>
      </c>
    </row>
    <row r="414" spans="1:15">
      <c r="A414" s="2">
        <f t="shared" si="379"/>
        <v>2021</v>
      </c>
      <c r="B414" s="34">
        <f t="shared" ref="B414:M414" si="389">B$400*(12+B94+B334)+((B694*0.25)+B814+(B854*0.5)+(B974*0.1)+(B1054)+(B1214)+(B1294*0.5)+(B1374)+(B1414*0.5))</f>
        <v>2742.7428913680069</v>
      </c>
      <c r="C414" s="34">
        <f t="shared" si="389"/>
        <v>2809.4775255962554</v>
      </c>
      <c r="D414" s="34">
        <f t="shared" si="389"/>
        <v>2882.0311103842096</v>
      </c>
      <c r="E414" s="34">
        <f t="shared" si="389"/>
        <v>3149.7208650059174</v>
      </c>
      <c r="F414" s="34">
        <f t="shared" si="389"/>
        <v>3311.1911021122878</v>
      </c>
      <c r="G414" s="34">
        <f t="shared" si="389"/>
        <v>3528.3879685289462</v>
      </c>
      <c r="H414" s="34">
        <f t="shared" si="389"/>
        <v>3751.7198577162862</v>
      </c>
      <c r="I414" s="34">
        <f t="shared" si="389"/>
        <v>3951.0422827456459</v>
      </c>
      <c r="J414" s="34">
        <f t="shared" si="389"/>
        <v>3487.8582303020494</v>
      </c>
      <c r="K414" s="34">
        <f t="shared" si="389"/>
        <v>3153.20779450904</v>
      </c>
      <c r="L414" s="34">
        <f t="shared" si="389"/>
        <v>2748.6400901662041</v>
      </c>
      <c r="M414" s="34">
        <f t="shared" si="389"/>
        <v>2827.6247844345421</v>
      </c>
      <c r="N414" s="25">
        <f t="shared" ref="N414:N419" si="390">AVERAGE(B414:M414)</f>
        <v>3195.3037085724486</v>
      </c>
    </row>
    <row r="415" spans="1:15">
      <c r="A415" s="2">
        <f t="shared" si="379"/>
        <v>2022</v>
      </c>
      <c r="B415" s="34">
        <f t="shared" ref="B415:M415" si="391">B$400*(12+B95+B335)+((B695*0.25)+B815+(B855*0.5)+(B975*0.1)+(B1055)+(B1215)+(B1295*0.5)+(B1375)+(B1415*0.5))</f>
        <v>2769.0547126027182</v>
      </c>
      <c r="C415" s="34">
        <f t="shared" si="391"/>
        <v>2831.9750602270469</v>
      </c>
      <c r="D415" s="34">
        <f t="shared" si="391"/>
        <v>2910.5633775709316</v>
      </c>
      <c r="E415" s="34">
        <f t="shared" si="391"/>
        <v>3193.6851226153008</v>
      </c>
      <c r="F415" s="34">
        <f t="shared" si="391"/>
        <v>3355.0155286630134</v>
      </c>
      <c r="G415" s="34">
        <f t="shared" si="391"/>
        <v>3570.2130358590016</v>
      </c>
      <c r="H415" s="34">
        <f t="shared" si="391"/>
        <v>3796.6383790255468</v>
      </c>
      <c r="I415" s="34">
        <f t="shared" si="391"/>
        <v>3998.9810781158194</v>
      </c>
      <c r="J415" s="34">
        <f t="shared" si="391"/>
        <v>3524.4370041124726</v>
      </c>
      <c r="K415" s="34">
        <f t="shared" si="391"/>
        <v>3192.362665559629</v>
      </c>
      <c r="L415" s="34">
        <f t="shared" si="391"/>
        <v>2771.0086071409792</v>
      </c>
      <c r="M415" s="34">
        <f t="shared" si="391"/>
        <v>2846.3157760422737</v>
      </c>
      <c r="N415" s="25">
        <f t="shared" si="390"/>
        <v>3230.0208622945611</v>
      </c>
    </row>
    <row r="416" spans="1:15">
      <c r="A416" s="2">
        <f t="shared" si="379"/>
        <v>2023</v>
      </c>
      <c r="B416" s="34">
        <f t="shared" ref="B416:M416" si="392">B$400*(12+B96+B336)+((B696*0.25)+B816+(B856*0.5)+(B976*0.1)+(B1056)+(B1216)+(B1296*0.5)+(B1376)+(B1416*0.5))</f>
        <v>2794.5626285140347</v>
      </c>
      <c r="C416" s="34">
        <f t="shared" si="392"/>
        <v>2853.2159468520326</v>
      </c>
      <c r="D416" s="34">
        <f t="shared" si="392"/>
        <v>2938.7204176773439</v>
      </c>
      <c r="E416" s="34">
        <f t="shared" si="392"/>
        <v>3235.0539678361256</v>
      </c>
      <c r="F416" s="34">
        <f t="shared" si="392"/>
        <v>3395.78936427181</v>
      </c>
      <c r="G416" s="34">
        <f t="shared" si="392"/>
        <v>3609.1659019381236</v>
      </c>
      <c r="H416" s="34">
        <f t="shared" si="392"/>
        <v>3837.7540149512665</v>
      </c>
      <c r="I416" s="34">
        <f t="shared" si="392"/>
        <v>4043.4443687467333</v>
      </c>
      <c r="J416" s="34">
        <f t="shared" si="392"/>
        <v>3559.1344330320067</v>
      </c>
      <c r="K416" s="34">
        <f t="shared" si="392"/>
        <v>3229.3804080491427</v>
      </c>
      <c r="L416" s="34">
        <f t="shared" si="392"/>
        <v>2791.4833478319997</v>
      </c>
      <c r="M416" s="34">
        <f t="shared" si="392"/>
        <v>2863.9787286136257</v>
      </c>
      <c r="N416" s="25">
        <f t="shared" si="390"/>
        <v>3262.6402940261873</v>
      </c>
    </row>
    <row r="417" spans="1:14">
      <c r="A417" s="2">
        <f t="shared" si="379"/>
        <v>2024</v>
      </c>
      <c r="B417" s="34">
        <f t="shared" ref="B417:M417" si="393">B$400*(12+B97+B337)+((B697*0.25)+B817+(B857*0.5)+(B977*0.1)+(B1057)+(B1217)+(B1297*0.5)+(B1377)+(B1417*0.5))</f>
        <v>2818.4386166188597</v>
      </c>
      <c r="C417" s="34">
        <f t="shared" si="393"/>
        <v>2873.1712600695446</v>
      </c>
      <c r="D417" s="34">
        <f t="shared" si="393"/>
        <v>2964.2846386588185</v>
      </c>
      <c r="E417" s="34">
        <f t="shared" si="393"/>
        <v>3274.5109969849141</v>
      </c>
      <c r="F417" s="34">
        <f t="shared" si="393"/>
        <v>3435.5394886666477</v>
      </c>
      <c r="G417" s="34">
        <f t="shared" si="393"/>
        <v>3646.6317676227741</v>
      </c>
      <c r="H417" s="34">
        <f t="shared" si="393"/>
        <v>3877.7578062901239</v>
      </c>
      <c r="I417" s="34">
        <f t="shared" si="393"/>
        <v>4086.7452961259623</v>
      </c>
      <c r="J417" s="34">
        <f t="shared" si="393"/>
        <v>3591.5998856481215</v>
      </c>
      <c r="K417" s="34">
        <f t="shared" si="393"/>
        <v>3264.6025400507697</v>
      </c>
      <c r="L417" s="34">
        <f t="shared" si="393"/>
        <v>2810.7151753098733</v>
      </c>
      <c r="M417" s="34">
        <f t="shared" si="393"/>
        <v>2880.2272650610998</v>
      </c>
      <c r="N417" s="25">
        <f t="shared" si="390"/>
        <v>3293.6853947589589</v>
      </c>
    </row>
    <row r="418" spans="1:14">
      <c r="A418" s="2">
        <f t="shared" si="379"/>
        <v>2025</v>
      </c>
      <c r="B418" s="34">
        <f t="shared" ref="B418:M418" si="394">B$400*(12+B98+B338)+((B698*0.25)+B818+(B858*0.5)+(B978*0.1)+(B1058)+(B1218)+(B1298*0.5)+(B1378)+(B1418*0.5))</f>
        <v>2841.5321368755808</v>
      </c>
      <c r="C418" s="34">
        <f t="shared" si="394"/>
        <v>2892.5127119849876</v>
      </c>
      <c r="D418" s="34">
        <f t="shared" si="394"/>
        <v>2989.4398621227565</v>
      </c>
      <c r="E418" s="34">
        <f t="shared" si="394"/>
        <v>3312.8374629948366</v>
      </c>
      <c r="F418" s="34">
        <f t="shared" si="394"/>
        <v>3473.902980815154</v>
      </c>
      <c r="G418" s="34">
        <f t="shared" si="394"/>
        <v>3682.6724397753155</v>
      </c>
      <c r="H418" s="34">
        <f t="shared" si="394"/>
        <v>3916.6271392539102</v>
      </c>
      <c r="I418" s="34">
        <f t="shared" si="394"/>
        <v>4128.1192492108694</v>
      </c>
      <c r="J418" s="34">
        <f t="shared" si="394"/>
        <v>3624.0351764222987</v>
      </c>
      <c r="K418" s="34">
        <f t="shared" si="394"/>
        <v>3298.8001178328363</v>
      </c>
      <c r="L418" s="34">
        <f t="shared" si="394"/>
        <v>2829.9783696827162</v>
      </c>
      <c r="M418" s="34">
        <f t="shared" si="394"/>
        <v>2896.1273721707412</v>
      </c>
      <c r="N418" s="25">
        <f t="shared" si="390"/>
        <v>3323.8820849285003</v>
      </c>
    </row>
    <row r="419" spans="1:14">
      <c r="A419" s="2">
        <f t="shared" si="379"/>
        <v>2026</v>
      </c>
      <c r="B419" s="34">
        <f t="shared" ref="B419:M419" si="395">B$400*(12+B99+B339)+((B699*0.25)+B819+(B859*0.5)+(B979*0.1)+(B1059)+(B1219)+(B1299*0.5)+(B1379)+(B1419*0.5))</f>
        <v>2863.2884946110544</v>
      </c>
      <c r="C419" s="34">
        <f t="shared" si="395"/>
        <v>2910.8610584431572</v>
      </c>
      <c r="D419" s="34">
        <f t="shared" si="395"/>
        <v>3013.8784018633028</v>
      </c>
      <c r="E419" s="34">
        <f t="shared" si="395"/>
        <v>3348.9140707981796</v>
      </c>
      <c r="F419" s="34">
        <f t="shared" si="395"/>
        <v>3509.5240225209159</v>
      </c>
      <c r="G419" s="34">
        <f t="shared" si="395"/>
        <v>3716.8988987326475</v>
      </c>
      <c r="H419" s="34">
        <f t="shared" si="395"/>
        <v>3952.4813004567131</v>
      </c>
      <c r="I419" s="34">
        <f t="shared" si="395"/>
        <v>4166.7938936149512</v>
      </c>
      <c r="J419" s="34">
        <f t="shared" si="395"/>
        <v>3653.8614678688314</v>
      </c>
      <c r="K419" s="34">
        <f t="shared" si="395"/>
        <v>3331.2020851270158</v>
      </c>
      <c r="L419" s="34">
        <f t="shared" si="395"/>
        <v>2848.0339385992515</v>
      </c>
      <c r="M419" s="34">
        <f t="shared" si="395"/>
        <v>2911.340969990988</v>
      </c>
      <c r="N419" s="25">
        <f t="shared" si="390"/>
        <v>3352.2565502189173</v>
      </c>
    </row>
    <row r="420" spans="1:14">
      <c r="A420" s="2">
        <f t="shared" si="379"/>
        <v>2027</v>
      </c>
      <c r="B420" s="34">
        <f t="shared" ref="B420:M420" si="396">B$400*(12+B100+B340)+((B700*0.25)+B820+(B860*0.5)+(B980*0.1)+(B1060)+(B1220)+(B1300*0.5)+(B1380)+(B1420*0.5))</f>
        <v>2883.9729785820023</v>
      </c>
      <c r="C420" s="34">
        <f t="shared" si="396"/>
        <v>2928.5376927959219</v>
      </c>
      <c r="D420" s="34">
        <f t="shared" si="396"/>
        <v>3036.4070357650753</v>
      </c>
      <c r="E420" s="34">
        <f t="shared" si="396"/>
        <v>3384.310838308716</v>
      </c>
      <c r="F420" s="34">
        <f t="shared" si="396"/>
        <v>3544.8026858942503</v>
      </c>
      <c r="G420" s="34">
        <f t="shared" si="396"/>
        <v>3750.0346483541812</v>
      </c>
      <c r="H420" s="34">
        <f t="shared" si="396"/>
        <v>3987.9585651893922</v>
      </c>
      <c r="I420" s="34">
        <f t="shared" si="396"/>
        <v>4205.4608146751689</v>
      </c>
      <c r="J420" s="34">
        <f t="shared" si="396"/>
        <v>3683.3107362911364</v>
      </c>
      <c r="K420" s="34">
        <f t="shared" si="396"/>
        <v>3362.9034122504308</v>
      </c>
      <c r="L420" s="34">
        <f t="shared" si="396"/>
        <v>2865.7327090855151</v>
      </c>
      <c r="M420" s="34">
        <f t="shared" si="396"/>
        <v>2925.8956568852332</v>
      </c>
      <c r="N420" s="25">
        <f>AVERAGE(B420:M420)</f>
        <v>3379.9439811730849</v>
      </c>
    </row>
    <row r="421" spans="1:14">
      <c r="A421" s="2">
        <f t="shared" si="379"/>
        <v>2028</v>
      </c>
      <c r="B421" s="34">
        <f t="shared" ref="B421:M421" si="397">B$400*(12+B101+B341)+((B701*0.25)+B821+(B861*0.5)+(B981*0.1)+(B1061)+(B1221)+(B1301*0.5)+(B1381)+(B1421*0.5))</f>
        <v>2904.6574625529502</v>
      </c>
      <c r="C421" s="34">
        <f t="shared" si="397"/>
        <v>2945.6004658466177</v>
      </c>
      <c r="D421" s="34">
        <f t="shared" si="397"/>
        <v>3057.8400065923447</v>
      </c>
      <c r="E421" s="34">
        <f t="shared" si="397"/>
        <v>3417.7582295100451</v>
      </c>
      <c r="F421" s="34">
        <f t="shared" si="397"/>
        <v>3578.7118359378742</v>
      </c>
      <c r="G421" s="34">
        <f t="shared" si="397"/>
        <v>3782.0433316620579</v>
      </c>
      <c r="H421" s="34">
        <f t="shared" si="397"/>
        <v>4022.2712198293916</v>
      </c>
      <c r="I421" s="34">
        <f t="shared" si="397"/>
        <v>4242.1660063936724</v>
      </c>
      <c r="J421" s="34">
        <f t="shared" si="397"/>
        <v>3712.0097288952329</v>
      </c>
      <c r="K421" s="34">
        <f t="shared" si="397"/>
        <v>3393.5484979103826</v>
      </c>
      <c r="L421" s="34">
        <f t="shared" si="397"/>
        <v>2882.2160123917292</v>
      </c>
      <c r="M421" s="34">
        <f t="shared" si="397"/>
        <v>2940.4503437794788</v>
      </c>
      <c r="N421" s="25">
        <f>AVERAGE(B421:M421)</f>
        <v>3406.6060951084814</v>
      </c>
    </row>
    <row r="422" spans="1:14">
      <c r="A422" s="2">
        <f t="shared" si="379"/>
        <v>2029</v>
      </c>
      <c r="B422" s="34">
        <f t="shared" ref="B422:M422" si="398">B$400*(12+B102+B342)+((B702*0.25)+B822+(B862*0.5)+(B982*0.1)+(B1062)+(B1222)+(B1302*0.5)+(B1382)+(B1422*0.5))</f>
        <v>2925.0739780827662</v>
      </c>
      <c r="C422" s="34">
        <f t="shared" si="398"/>
        <v>2962.6343134956455</v>
      </c>
      <c r="D422" s="34">
        <f t="shared" si="398"/>
        <v>3080.0271838510353</v>
      </c>
      <c r="E422" s="34">
        <f t="shared" si="398"/>
        <v>3451.9530694310897</v>
      </c>
      <c r="F422" s="34">
        <f t="shared" si="398"/>
        <v>3612.3059979156651</v>
      </c>
      <c r="G422" s="34">
        <f t="shared" si="398"/>
        <v>3814.4519417263932</v>
      </c>
      <c r="H422" s="34">
        <f t="shared" si="398"/>
        <v>4056.617795151702</v>
      </c>
      <c r="I422" s="34">
        <f t="shared" si="398"/>
        <v>4279.2921203528185</v>
      </c>
      <c r="J422" s="34">
        <f t="shared" si="398"/>
        <v>3740.3279282448602</v>
      </c>
      <c r="K422" s="34">
        <f t="shared" si="398"/>
        <v>3423.5211098385957</v>
      </c>
      <c r="L422" s="34">
        <f t="shared" si="398"/>
        <v>2899.1306105037679</v>
      </c>
      <c r="M422" s="34">
        <f t="shared" si="398"/>
        <v>2954.6255531770735</v>
      </c>
      <c r="N422" s="25">
        <f t="shared" ref="N422:N424" si="399">AVERAGE(B422:M422)</f>
        <v>3433.3301334809507</v>
      </c>
    </row>
    <row r="423" spans="1:14">
      <c r="A423" s="2">
        <f t="shared" si="379"/>
        <v>2030</v>
      </c>
      <c r="B423" s="34">
        <f t="shared" ref="B423:M423" si="400">B$400*(12+B103+B343)+((B703*0.25)+B823+(B863*0.5)+(B983*0.1)+(B1063)+(B1223)+(B1303*0.5)+(B1383)+(B1423*0.5))</f>
        <v>2944.1265342472225</v>
      </c>
      <c r="C423" s="34">
        <f t="shared" si="400"/>
        <v>2978.7329064907362</v>
      </c>
      <c r="D423" s="34">
        <f t="shared" si="400"/>
        <v>3101.0549094315702</v>
      </c>
      <c r="E423" s="34">
        <f t="shared" si="400"/>
        <v>3483.5562529872923</v>
      </c>
      <c r="F423" s="34">
        <f t="shared" si="400"/>
        <v>3643.8184996322957</v>
      </c>
      <c r="G423" s="34">
        <f t="shared" si="400"/>
        <v>3843.9519935619346</v>
      </c>
      <c r="H423" s="34">
        <f t="shared" si="400"/>
        <v>4088.3260951831512</v>
      </c>
      <c r="I423" s="34">
        <f t="shared" si="400"/>
        <v>4313.3250350940243</v>
      </c>
      <c r="J423" s="34">
        <f t="shared" si="400"/>
        <v>3766.3839894491302</v>
      </c>
      <c r="K423" s="34">
        <f t="shared" si="400"/>
        <v>3451.7016320838002</v>
      </c>
      <c r="L423" s="34">
        <f t="shared" si="400"/>
        <v>2915.2218276228696</v>
      </c>
      <c r="M423" s="34">
        <f t="shared" si="400"/>
        <v>2968.1453014440904</v>
      </c>
      <c r="N423" s="25">
        <f t="shared" si="399"/>
        <v>3458.1954147690099</v>
      </c>
    </row>
    <row r="424" spans="1:14">
      <c r="A424" s="2">
        <f t="shared" si="379"/>
        <v>2031</v>
      </c>
      <c r="B424" s="34">
        <f t="shared" ref="B424:M424" si="401">B$400*(12+B104+B344)+((B704*0.25)+B824+(B864*0.5)+(B984*0.1)+(B1064)+(B1224)+(B1304*0.5)+(B1384)+(B1424*0.5))</f>
        <v>2958.6397050189098</v>
      </c>
      <c r="C424" s="34">
        <f t="shared" si="401"/>
        <v>2988.7121700662519</v>
      </c>
      <c r="D424" s="34">
        <f t="shared" si="401"/>
        <v>3114.9533204862282</v>
      </c>
      <c r="E424" s="34">
        <f t="shared" si="401"/>
        <v>3507.6135848957165</v>
      </c>
      <c r="F424" s="34">
        <f t="shared" si="401"/>
        <v>3668.4765871337277</v>
      </c>
      <c r="G424" s="34">
        <f t="shared" si="401"/>
        <v>3867.2240950900714</v>
      </c>
      <c r="H424" s="34">
        <f t="shared" si="401"/>
        <v>4112.8168278117455</v>
      </c>
      <c r="I424" s="34">
        <f t="shared" si="401"/>
        <v>4340.3528769496588</v>
      </c>
      <c r="J424" s="34">
        <f t="shared" si="401"/>
        <v>3786.0042676298604</v>
      </c>
      <c r="K424" s="34">
        <f t="shared" si="401"/>
        <v>3474.2664705482566</v>
      </c>
      <c r="L424" s="34">
        <f t="shared" si="401"/>
        <v>2923.8751697724447</v>
      </c>
      <c r="M424" s="34">
        <f t="shared" si="401"/>
        <v>2975.4347191751976</v>
      </c>
      <c r="N424" s="25">
        <f t="shared" si="399"/>
        <v>3476.530816214839</v>
      </c>
    </row>
    <row r="425" spans="1:14">
      <c r="A425" s="2">
        <f t="shared" si="379"/>
        <v>2032</v>
      </c>
      <c r="B425" s="34">
        <f t="shared" ref="B425:M425" si="402">B$400*(12+B105+B345)+((B705*0.25)+B825+(B865*0.5)+(B985*0.1)+(B1065)+(B1225)+(B1305*0.5)+(B1385)+(B1425*0.5))</f>
        <v>2972.614259223923</v>
      </c>
      <c r="C425" s="34">
        <f t="shared" si="402"/>
        <v>2999.0128269936354</v>
      </c>
      <c r="D425" s="34">
        <f t="shared" si="402"/>
        <v>3128.1162864634798</v>
      </c>
      <c r="E425" s="34">
        <f t="shared" si="402"/>
        <v>3531.2953144324238</v>
      </c>
      <c r="F425" s="34">
        <f t="shared" si="402"/>
        <v>3691.7754326554218</v>
      </c>
      <c r="G425" s="34">
        <f t="shared" si="402"/>
        <v>3889.7981426432975</v>
      </c>
      <c r="H425" s="34">
        <f t="shared" si="402"/>
        <v>4136.5952261118064</v>
      </c>
      <c r="I425" s="34">
        <f t="shared" si="402"/>
        <v>4367.0408916752322</v>
      </c>
      <c r="J425" s="34">
        <f t="shared" si="402"/>
        <v>3804.8855806831066</v>
      </c>
      <c r="K425" s="34">
        <f t="shared" si="402"/>
        <v>3495.7715467443718</v>
      </c>
      <c r="L425" s="34">
        <f t="shared" si="402"/>
        <v>2933.3166051581161</v>
      </c>
      <c r="M425" s="34">
        <f t="shared" si="402"/>
        <v>2983.7625253289561</v>
      </c>
      <c r="N425" s="25">
        <f t="shared" ref="N425:N433" si="403">AVERAGE(B425:M425)</f>
        <v>3494.4987198428139</v>
      </c>
    </row>
    <row r="426" spans="1:14">
      <c r="A426" s="2">
        <f t="shared" si="379"/>
        <v>2033</v>
      </c>
      <c r="B426" s="34">
        <f t="shared" ref="B426:M426" si="404">B$400*(12+B106+B346)+((B706*0.25)+B826+(B866*0.5)+(B986*0.1)+(B1066)+(B1226)+(B1306*0.5)+(B1386)+(B1426*0.5))</f>
        <v>2990.0750828480577</v>
      </c>
      <c r="C426" s="34">
        <f t="shared" si="404"/>
        <v>3013.4883835617898</v>
      </c>
      <c r="D426" s="34">
        <f t="shared" si="404"/>
        <v>3146.9076586453712</v>
      </c>
      <c r="E426" s="34">
        <f t="shared" si="404"/>
        <v>3560.2317211494415</v>
      </c>
      <c r="F426" s="34">
        <f t="shared" si="404"/>
        <v>3720.5557552792816</v>
      </c>
      <c r="G426" s="34">
        <f t="shared" si="404"/>
        <v>3917.0985973183142</v>
      </c>
      <c r="H426" s="34">
        <f t="shared" si="404"/>
        <v>4166.0270714637118</v>
      </c>
      <c r="I426" s="34">
        <f t="shared" si="404"/>
        <v>4398.3551893759513</v>
      </c>
      <c r="J426" s="34">
        <f t="shared" si="404"/>
        <v>3829.0452160755194</v>
      </c>
      <c r="K426" s="34">
        <f t="shared" si="404"/>
        <v>3521.8536692821613</v>
      </c>
      <c r="L426" s="34">
        <f t="shared" si="404"/>
        <v>2947.8590818381231</v>
      </c>
      <c r="M426" s="34">
        <f t="shared" si="404"/>
        <v>2995.8885562446403</v>
      </c>
      <c r="N426" s="25">
        <f t="shared" si="403"/>
        <v>3517.2821652568623</v>
      </c>
    </row>
    <row r="427" spans="1:14">
      <c r="A427" s="2">
        <f t="shared" si="379"/>
        <v>2034</v>
      </c>
      <c r="B427" s="34">
        <f t="shared" ref="B427:M427" si="405">B$400*(12+B107+B347)+((B707*0.25)+B827+(B867*0.5)+(B987*0.1)+(B1067)+(B1227)+(B1307*0.5)+(B1387)+(B1427*0.5))</f>
        <v>3007.0026492743405</v>
      </c>
      <c r="C427" s="34">
        <f t="shared" si="405"/>
        <v>3027.6457607115954</v>
      </c>
      <c r="D427" s="34">
        <f t="shared" si="405"/>
        <v>3165.3162992053467</v>
      </c>
      <c r="E427" s="34">
        <f t="shared" si="405"/>
        <v>3588.4094110755918</v>
      </c>
      <c r="F427" s="34">
        <f t="shared" si="405"/>
        <v>3748.305519122534</v>
      </c>
      <c r="G427" s="34">
        <f t="shared" si="405"/>
        <v>3943.6755481339178</v>
      </c>
      <c r="H427" s="34">
        <f t="shared" si="405"/>
        <v>4194.705123875372</v>
      </c>
      <c r="I427" s="34">
        <f t="shared" si="405"/>
        <v>4429.6733487486035</v>
      </c>
      <c r="J427" s="34">
        <f t="shared" si="405"/>
        <v>3852.827828443706</v>
      </c>
      <c r="K427" s="34">
        <f t="shared" si="405"/>
        <v>3547.2316308443092</v>
      </c>
      <c r="L427" s="34">
        <f t="shared" si="405"/>
        <v>2962.0133931928885</v>
      </c>
      <c r="M427" s="34">
        <f t="shared" si="405"/>
        <v>3008.0145871603245</v>
      </c>
      <c r="N427" s="25">
        <f t="shared" si="403"/>
        <v>3539.5684249823771</v>
      </c>
    </row>
    <row r="428" spans="1:14">
      <c r="A428" s="2">
        <f t="shared" si="379"/>
        <v>2035</v>
      </c>
      <c r="B428" s="34">
        <f t="shared" ref="B428:M428" si="406">B$400*(12+B108+B348)+((B708*0.25)+B828+(B868*0.5)+(B988*0.1)+(B1068)+(B1228)+(B1308*0.5)+(B1388)+(B1428*0.5))</f>
        <v>3023.65956757508</v>
      </c>
      <c r="C428" s="34">
        <f t="shared" si="406"/>
        <v>3041.4817445095318</v>
      </c>
      <c r="D428" s="34">
        <f t="shared" si="406"/>
        <v>3182.9819901463102</v>
      </c>
      <c r="E428" s="34">
        <f t="shared" si="406"/>
        <v>3615.8546763768959</v>
      </c>
      <c r="F428" s="34">
        <f t="shared" si="406"/>
        <v>3775.370526300931</v>
      </c>
      <c r="G428" s="34">
        <f t="shared" si="406"/>
        <v>3969.8852934731367</v>
      </c>
      <c r="H428" s="34">
        <f t="shared" si="406"/>
        <v>4222.6293833467862</v>
      </c>
      <c r="I428" s="34">
        <f t="shared" si="406"/>
        <v>4459.4468393482521</v>
      </c>
      <c r="J428" s="34">
        <f t="shared" si="406"/>
        <v>3875.8563947634402</v>
      </c>
      <c r="K428" s="34">
        <f t="shared" si="406"/>
        <v>3571.9019106259361</v>
      </c>
      <c r="L428" s="34">
        <f t="shared" si="406"/>
        <v>2975.7677766367992</v>
      </c>
      <c r="M428" s="34">
        <f t="shared" si="406"/>
        <v>3019.799088329024</v>
      </c>
      <c r="N428" s="25">
        <f t="shared" si="403"/>
        <v>3561.2195992860106</v>
      </c>
    </row>
    <row r="429" spans="1:14">
      <c r="A429" s="2">
        <f t="shared" si="379"/>
        <v>2036</v>
      </c>
      <c r="B429" s="34">
        <f t="shared" ref="B429:M429" si="407">B$400*(12+B109+B349)+((B709*0.25)+B829+(B869*0.5)+(B989*0.1)+(B1069)+(B1229)+(B1309*0.5)+(B1389)+(B1429*0.5))</f>
        <v>3040.0511971190999</v>
      </c>
      <c r="C429" s="34">
        <f t="shared" si="407"/>
        <v>3055.3145143739503</v>
      </c>
      <c r="D429" s="34">
        <f t="shared" si="407"/>
        <v>3200.2724540069639</v>
      </c>
      <c r="E429" s="34">
        <f t="shared" si="407"/>
        <v>3642.5637610296362</v>
      </c>
      <c r="F429" s="34">
        <f t="shared" si="407"/>
        <v>3801.7507768144737</v>
      </c>
      <c r="G429" s="34">
        <f t="shared" si="407"/>
        <v>3995.0079651743431</v>
      </c>
      <c r="H429" s="34">
        <f t="shared" si="407"/>
        <v>4249.4267223725328</v>
      </c>
      <c r="I429" s="34">
        <f t="shared" si="407"/>
        <v>4488.8380244265818</v>
      </c>
      <c r="J429" s="34">
        <f t="shared" si="407"/>
        <v>3898.5117082891907</v>
      </c>
      <c r="K429" s="34">
        <f t="shared" si="407"/>
        <v>3596.9313125051408</v>
      </c>
      <c r="L429" s="34">
        <f t="shared" si="407"/>
        <v>2990.3102533168058</v>
      </c>
      <c r="M429" s="34">
        <f t="shared" si="407"/>
        <v>3031.9216694492839</v>
      </c>
      <c r="N429" s="25">
        <f t="shared" si="403"/>
        <v>3582.5750299065007</v>
      </c>
    </row>
    <row r="430" spans="1:14">
      <c r="A430" s="2">
        <f t="shared" si="379"/>
        <v>2037</v>
      </c>
      <c r="B430" s="34">
        <f t="shared" ref="B430:M430" si="408">B$400*(12+B110+B350)+((B710*0.25)+B830+(B870*0.5)+(B990*0.1)+(B1070)+(B1230)+(B1310*0.5)+(B1390)+(B1430*0.5))</f>
        <v>3056.7081154198399</v>
      </c>
      <c r="C430" s="34">
        <f t="shared" si="408"/>
        <v>3069.4718915237549</v>
      </c>
      <c r="D430" s="34">
        <f t="shared" si="408"/>
        <v>3217.1876907873088</v>
      </c>
      <c r="E430" s="34">
        <f t="shared" si="408"/>
        <v>3671.1283213986553</v>
      </c>
      <c r="F430" s="34">
        <f t="shared" si="408"/>
        <v>3830.1887211059056</v>
      </c>
      <c r="G430" s="34">
        <f t="shared" si="408"/>
        <v>4022.6719896279583</v>
      </c>
      <c r="H430" s="34">
        <f t="shared" si="408"/>
        <v>4279.2354641945622</v>
      </c>
      <c r="I430" s="34">
        <f t="shared" si="408"/>
        <v>4520.9246565138028</v>
      </c>
      <c r="J430" s="34">
        <f t="shared" si="408"/>
        <v>3923.4216194998135</v>
      </c>
      <c r="K430" s="34">
        <f t="shared" si="408"/>
        <v>3623.7175960185727</v>
      </c>
      <c r="L430" s="34">
        <f t="shared" si="408"/>
        <v>3006.0250676962796</v>
      </c>
      <c r="M430" s="34">
        <f t="shared" si="408"/>
        <v>3045.4276185346048</v>
      </c>
      <c r="N430" s="25">
        <f t="shared" si="403"/>
        <v>3605.5090626934216</v>
      </c>
    </row>
    <row r="431" spans="1:14">
      <c r="A431" s="2">
        <f t="shared" si="379"/>
        <v>2038</v>
      </c>
      <c r="B431" s="34">
        <f t="shared" ref="B431:M431" si="409">B$400*(12+B111+B351)+((B711*0.25)+B831+(B871*0.5)+(B991*0.1)+(B1071)+(B1231)+(B1311*0.5)+(B1391)+(B1431*0.5))</f>
        <v>3075.2408128085008</v>
      </c>
      <c r="C431" s="34">
        <f t="shared" si="409"/>
        <v>3085.5576287847712</v>
      </c>
      <c r="D431" s="34">
        <f t="shared" si="409"/>
        <v>3235.6038358888909</v>
      </c>
      <c r="E431" s="34">
        <f t="shared" si="409"/>
        <v>3701.195291254538</v>
      </c>
      <c r="F431" s="34">
        <f t="shared" si="409"/>
        <v>3859.992754943723</v>
      </c>
      <c r="G431" s="34">
        <f t="shared" si="409"/>
        <v>4051.7939288937569</v>
      </c>
      <c r="H431" s="34">
        <f t="shared" si="409"/>
        <v>4310.1711264622591</v>
      </c>
      <c r="I431" s="34">
        <f t="shared" si="409"/>
        <v>4554.1736518527096</v>
      </c>
      <c r="J431" s="34">
        <f t="shared" si="409"/>
        <v>3949.0931172193732</v>
      </c>
      <c r="K431" s="34">
        <f t="shared" si="409"/>
        <v>3651.2080405076472</v>
      </c>
      <c r="L431" s="34">
        <f t="shared" si="409"/>
        <v>3021.7477237994949</v>
      </c>
      <c r="M431" s="34">
        <f t="shared" si="409"/>
        <v>3058.9335676199257</v>
      </c>
      <c r="N431" s="25">
        <f t="shared" si="403"/>
        <v>3629.559290002966</v>
      </c>
    </row>
    <row r="432" spans="1:14">
      <c r="A432" s="2">
        <f t="shared" si="379"/>
        <v>2039</v>
      </c>
      <c r="B432" s="34">
        <f t="shared" ref="B432:M432" si="410">B$400*(12+B112+B352)+((B712*0.25)+B832+(B872*0.5)+(B992*0.1)+(B1072)+(B1232)+(B1312*0.5)+(B1392)+(B1432*0.5))</f>
        <v>3093.5055417560302</v>
      </c>
      <c r="C432" s="34">
        <f t="shared" si="410"/>
        <v>3100.6759720566629</v>
      </c>
      <c r="D432" s="34">
        <f t="shared" si="410"/>
        <v>3255.1456622314008</v>
      </c>
      <c r="E432" s="34">
        <f t="shared" si="410"/>
        <v>3730.518568414423</v>
      </c>
      <c r="F432" s="34">
        <f t="shared" si="410"/>
        <v>3888.7696537842585</v>
      </c>
      <c r="G432" s="34">
        <f t="shared" si="410"/>
        <v>4079.0943835687735</v>
      </c>
      <c r="H432" s="34">
        <f t="shared" si="410"/>
        <v>4339.6067407788669</v>
      </c>
      <c r="I432" s="34">
        <f t="shared" si="410"/>
        <v>4586.2680072837966</v>
      </c>
      <c r="J432" s="34">
        <f t="shared" si="410"/>
        <v>3974.0067986602385</v>
      </c>
      <c r="K432" s="34">
        <f t="shared" si="410"/>
        <v>3677.6387227283794</v>
      </c>
      <c r="L432" s="34">
        <f t="shared" si="410"/>
        <v>3037.4625381789688</v>
      </c>
      <c r="M432" s="34">
        <f t="shared" si="410"/>
        <v>3072.4360669098232</v>
      </c>
      <c r="N432" s="25">
        <f t="shared" si="403"/>
        <v>3652.9273880293017</v>
      </c>
    </row>
    <row r="433" spans="1:53">
      <c r="A433" s="2">
        <f t="shared" si="379"/>
        <v>2040</v>
      </c>
      <c r="B433" s="34">
        <f t="shared" ref="B433:M433" si="411">B$400*(12+B113+B353)+((B713*0.25)+B833+(B873*0.5)+(B993*0.1)+(B1073)+(B1233)+(B1313*0.5)+(B1393)+(B1433*0.5))</f>
        <v>3111.7702707035596</v>
      </c>
      <c r="C433" s="34">
        <f t="shared" si="411"/>
        <v>3116.7617093176787</v>
      </c>
      <c r="D433" s="34">
        <f t="shared" si="411"/>
        <v>3273.9370344132922</v>
      </c>
      <c r="E433" s="34">
        <f t="shared" si="411"/>
        <v>3760.2174479460245</v>
      </c>
      <c r="F433" s="34">
        <f t="shared" si="411"/>
        <v>3918.2347330729726</v>
      </c>
      <c r="G433" s="34">
        <f t="shared" si="411"/>
        <v>4107.849117358186</v>
      </c>
      <c r="H433" s="34">
        <f t="shared" si="411"/>
        <v>4370.1692755411423</v>
      </c>
      <c r="I433" s="34">
        <f t="shared" si="411"/>
        <v>4617.9684721777676</v>
      </c>
      <c r="J433" s="34">
        <f t="shared" si="411"/>
        <v>3998.9167098708608</v>
      </c>
      <c r="K433" s="34">
        <f t="shared" si="411"/>
        <v>3704.0729257539906</v>
      </c>
      <c r="L433" s="34">
        <f t="shared" si="411"/>
        <v>3053.1812734203131</v>
      </c>
      <c r="M433" s="34">
        <f t="shared" si="411"/>
        <v>3085.9420159951442</v>
      </c>
      <c r="N433" s="25">
        <f t="shared" si="403"/>
        <v>3676.5850821309118</v>
      </c>
    </row>
    <row r="434" spans="1:53">
      <c r="A434" s="2">
        <f t="shared" si="379"/>
        <v>2041</v>
      </c>
      <c r="B434" s="880"/>
      <c r="C434" s="880"/>
      <c r="D434" s="880"/>
      <c r="E434" s="880"/>
      <c r="F434" s="880"/>
      <c r="G434" s="880"/>
      <c r="H434" s="880"/>
      <c r="I434" s="880"/>
      <c r="J434" s="880"/>
      <c r="K434" s="880"/>
      <c r="L434" s="880"/>
      <c r="M434" s="880"/>
      <c r="N434" s="25"/>
    </row>
    <row r="435" spans="1:53">
      <c r="A435" s="2">
        <f t="shared" si="379"/>
        <v>2042</v>
      </c>
      <c r="B435" s="880"/>
      <c r="C435" s="880"/>
      <c r="D435" s="880"/>
      <c r="E435" s="880"/>
      <c r="F435" s="880"/>
      <c r="G435" s="880"/>
      <c r="H435" s="880"/>
      <c r="I435" s="880"/>
      <c r="J435" s="880"/>
      <c r="K435" s="880"/>
      <c r="L435" s="880"/>
      <c r="M435" s="880"/>
      <c r="N435" s="25"/>
    </row>
    <row r="436" spans="1:53">
      <c r="A436" s="2">
        <f t="shared" si="379"/>
        <v>2043</v>
      </c>
      <c r="B436" s="880"/>
      <c r="C436" s="880"/>
      <c r="D436" s="880"/>
      <c r="E436" s="880"/>
      <c r="F436" s="880"/>
      <c r="G436" s="880"/>
      <c r="H436" s="880"/>
      <c r="I436" s="880"/>
      <c r="J436" s="880"/>
      <c r="K436" s="880"/>
      <c r="L436" s="880"/>
      <c r="M436" s="880"/>
      <c r="N436" s="25"/>
    </row>
    <row r="437" spans="1:53">
      <c r="A437" s="2">
        <f t="shared" si="379"/>
        <v>2044</v>
      </c>
      <c r="B437" s="880"/>
      <c r="C437" s="880"/>
      <c r="D437" s="880"/>
      <c r="E437" s="880"/>
      <c r="F437" s="880"/>
      <c r="G437" s="880"/>
      <c r="H437" s="880"/>
      <c r="I437" s="880"/>
      <c r="J437" s="880"/>
      <c r="K437" s="880"/>
      <c r="L437" s="880"/>
      <c r="M437" s="880"/>
      <c r="N437" s="25"/>
    </row>
    <row r="438" spans="1:53">
      <c r="A438" s="2">
        <f t="shared" si="379"/>
        <v>2045</v>
      </c>
      <c r="B438" s="880"/>
      <c r="C438" s="880"/>
      <c r="D438" s="880"/>
      <c r="E438" s="880"/>
      <c r="F438" s="880"/>
      <c r="G438" s="880"/>
      <c r="H438" s="880"/>
      <c r="I438" s="880"/>
      <c r="J438" s="880"/>
      <c r="K438" s="880"/>
      <c r="L438" s="880"/>
      <c r="M438" s="880"/>
      <c r="N438" s="25"/>
    </row>
    <row r="440" spans="1:53">
      <c r="A440" s="1117" t="s">
        <v>525</v>
      </c>
      <c r="B440" s="1117" t="s">
        <v>525</v>
      </c>
      <c r="C440" s="1117" t="s">
        <v>525</v>
      </c>
      <c r="D440" s="1117" t="s">
        <v>525</v>
      </c>
      <c r="E440" s="1117" t="s">
        <v>525</v>
      </c>
      <c r="F440" s="1117" t="s">
        <v>525</v>
      </c>
      <c r="G440" s="1117" t="s">
        <v>525</v>
      </c>
      <c r="H440" s="1117" t="s">
        <v>525</v>
      </c>
      <c r="I440" s="1117" t="s">
        <v>525</v>
      </c>
      <c r="J440" s="1117" t="s">
        <v>525</v>
      </c>
      <c r="K440" s="1117" t="s">
        <v>525</v>
      </c>
      <c r="L440" s="1117" t="s">
        <v>525</v>
      </c>
      <c r="M440" s="1117" t="s">
        <v>525</v>
      </c>
      <c r="N440" s="1117" t="s">
        <v>526</v>
      </c>
    </row>
    <row r="441" spans="1:53">
      <c r="A441" s="1335" t="s">
        <v>585</v>
      </c>
      <c r="B441" s="1195"/>
      <c r="C441" s="1195"/>
      <c r="D441" s="1195"/>
      <c r="E441" s="1353"/>
      <c r="F441" s="1195"/>
      <c r="G441" s="1195"/>
      <c r="H441" s="31" t="s">
        <v>566</v>
      </c>
      <c r="P441" s="174"/>
    </row>
    <row r="442" spans="1:53" s="27" customFormat="1">
      <c r="A442" s="27" t="s">
        <v>9</v>
      </c>
      <c r="B442" s="1188" t="s">
        <v>321</v>
      </c>
      <c r="C442" s="27" t="s">
        <v>29</v>
      </c>
      <c r="D442" s="27" t="s">
        <v>30</v>
      </c>
      <c r="E442" s="27" t="s">
        <v>31</v>
      </c>
      <c r="F442" s="27" t="s">
        <v>32</v>
      </c>
      <c r="G442" s="27" t="s">
        <v>33</v>
      </c>
      <c r="H442" s="27" t="s">
        <v>34</v>
      </c>
      <c r="I442" s="1187" t="s">
        <v>320</v>
      </c>
      <c r="J442" s="27" t="s">
        <v>36</v>
      </c>
      <c r="K442" s="27" t="s">
        <v>37</v>
      </c>
      <c r="L442" s="27" t="s">
        <v>38</v>
      </c>
      <c r="M442" s="27" t="s">
        <v>39</v>
      </c>
      <c r="N442" s="27" t="s">
        <v>53</v>
      </c>
    </row>
    <row r="443" spans="1:53">
      <c r="A443" s="426">
        <v>2010</v>
      </c>
      <c r="B443" s="35">
        <f>ROUND(Winter!AH43,0)</f>
        <v>10330</v>
      </c>
      <c r="C443" s="335">
        <f>ROUND(Feb!AC43,0)</f>
        <v>7505</v>
      </c>
      <c r="D443" s="335">
        <f>Mar!O43</f>
        <v>6904</v>
      </c>
      <c r="E443" s="533">
        <f>Apr!O43</f>
        <v>5352</v>
      </c>
      <c r="F443" s="335">
        <f>May!AE43</f>
        <v>7109</v>
      </c>
      <c r="G443" s="335">
        <f>Jun!AE43</f>
        <v>7991</v>
      </c>
      <c r="H443" s="335">
        <f>Jul!AE43</f>
        <v>7964</v>
      </c>
      <c r="I443" s="35">
        <f>Summer!AJ43</f>
        <v>7966.2191682844586</v>
      </c>
      <c r="J443" s="335">
        <f>Sep!AE43</f>
        <v>7546</v>
      </c>
      <c r="K443" s="335">
        <f>Oct!AE43</f>
        <v>6647</v>
      </c>
      <c r="L443" s="533">
        <f>Nov!O43</f>
        <v>5455</v>
      </c>
      <c r="M443" s="533">
        <f>Dec!O43</f>
        <v>8555</v>
      </c>
      <c r="N443" s="511">
        <f t="shared" ref="N443:N463" si="412">AVERAGE(B443:M443)</f>
        <v>7443.6849306903714</v>
      </c>
    </row>
    <row r="444" spans="1:53">
      <c r="A444" s="426">
        <f t="shared" ref="A444:A464" si="413">A443+1</f>
        <v>2011</v>
      </c>
      <c r="B444" s="35">
        <f>ROUND(Winter!AH44,0)</f>
        <v>8602</v>
      </c>
      <c r="C444" s="335">
        <f>ROUND(Feb!AC44,0)</f>
        <v>6327</v>
      </c>
      <c r="D444" s="335">
        <f>Mar!O44</f>
        <v>5073</v>
      </c>
      <c r="E444" s="533">
        <f>Apr!O44</f>
        <v>7001</v>
      </c>
      <c r="F444" s="335">
        <f>May!AE44</f>
        <v>7167</v>
      </c>
      <c r="G444" s="335">
        <f>Jun!AE44</f>
        <v>8006</v>
      </c>
      <c r="H444" s="335">
        <f>Jul!AE44</f>
        <v>7689</v>
      </c>
      <c r="I444" s="35">
        <f>Summer!AJ44</f>
        <v>8007.9410745233972</v>
      </c>
      <c r="J444" s="335">
        <f>Sep!AE44</f>
        <v>7083</v>
      </c>
      <c r="K444" s="335">
        <f>Oct!AE44</f>
        <v>6075</v>
      </c>
      <c r="L444" s="533">
        <f>Nov!O44</f>
        <v>5137</v>
      </c>
      <c r="M444" s="533">
        <f>Dec!O44</f>
        <v>4585</v>
      </c>
      <c r="N444" s="511">
        <f t="shared" si="412"/>
        <v>6729.4117562102838</v>
      </c>
    </row>
    <row r="445" spans="1:53">
      <c r="A445" s="426">
        <f t="shared" si="413"/>
        <v>2012</v>
      </c>
      <c r="B445" s="35">
        <f>ROUND(Winter!AH45,0)</f>
        <v>7523</v>
      </c>
      <c r="C445" s="335">
        <f>ROUND(Feb!AC45,0)</f>
        <v>7280</v>
      </c>
      <c r="D445" s="335">
        <f>Mar!O45</f>
        <v>5480</v>
      </c>
      <c r="E445" s="533">
        <f>Apr!O45</f>
        <v>6233</v>
      </c>
      <c r="F445" s="335">
        <f>May!AE45</f>
        <v>7131</v>
      </c>
      <c r="G445" s="335">
        <f>Jun!AE45</f>
        <v>7410</v>
      </c>
      <c r="H445" s="335">
        <f>Jul!AE45</f>
        <v>7571</v>
      </c>
      <c r="I445" s="35">
        <f>Summer!AJ45</f>
        <v>7634.8294321188687</v>
      </c>
      <c r="J445" s="335">
        <f>Sep!AE45</f>
        <v>7254</v>
      </c>
      <c r="K445" s="335">
        <f>Oct!AE45</f>
        <v>6798</v>
      </c>
      <c r="L445" s="533">
        <f>Nov!O45</f>
        <v>4606</v>
      </c>
      <c r="M445" s="533">
        <f>Dec!O45</f>
        <v>5576</v>
      </c>
      <c r="N445" s="511">
        <f t="shared" si="412"/>
        <v>6708.0691193432385</v>
      </c>
    </row>
    <row r="446" spans="1:53">
      <c r="A446" s="426">
        <f t="shared" si="413"/>
        <v>2013</v>
      </c>
      <c r="B446" s="35">
        <f>[6]Hist!$H$401-[6]Hist!$AA$401</f>
        <v>5248</v>
      </c>
      <c r="C446" s="335">
        <f>ROUND(Feb!AC46,0)</f>
        <v>6846</v>
      </c>
      <c r="D446" s="335">
        <f>Mar!O46</f>
        <v>6658</v>
      </c>
      <c r="E446" s="533">
        <f>Apr!O46</f>
        <v>6146</v>
      </c>
      <c r="F446" s="335">
        <f>May!AE46</f>
        <v>6864</v>
      </c>
      <c r="G446" s="335">
        <f>Jun!AE46</f>
        <v>7423</v>
      </c>
      <c r="H446" s="812">
        <f>Jul!AM46</f>
        <v>8054</v>
      </c>
      <c r="I446" s="812">
        <f>Summer!AR46</f>
        <v>8211</v>
      </c>
      <c r="J446" s="812">
        <f>Sep!AM46</f>
        <v>7546</v>
      </c>
      <c r="K446" s="812">
        <f>Oct!AM46</f>
        <v>6910</v>
      </c>
      <c r="L446" s="941">
        <f>Nov!AM35</f>
        <v>5503</v>
      </c>
      <c r="M446" s="941">
        <f>Dec!AN103</f>
        <v>7061</v>
      </c>
      <c r="N446" s="511">
        <f t="shared" si="412"/>
        <v>6872.5</v>
      </c>
    </row>
    <row r="447" spans="1:53">
      <c r="A447" s="426">
        <f t="shared" si="413"/>
        <v>2014</v>
      </c>
      <c r="B447" s="812">
        <f>Winter!AR47</f>
        <v>8887</v>
      </c>
      <c r="C447" s="812">
        <f>Feb!AM47</f>
        <v>7370</v>
      </c>
      <c r="D447" s="941">
        <f>Mar!AM91</f>
        <v>6366</v>
      </c>
      <c r="E447" s="941">
        <f>Apr!AM102</f>
        <v>6502</v>
      </c>
      <c r="F447" s="812">
        <f>May!AM47</f>
        <v>7406</v>
      </c>
      <c r="G447" s="812">
        <f>Jun!AM47</f>
        <v>7982</v>
      </c>
      <c r="H447" s="812">
        <f>Jul!AM47</f>
        <v>8281</v>
      </c>
      <c r="I447" s="812">
        <f>Summer!AR47</f>
        <v>8476</v>
      </c>
      <c r="J447" s="812">
        <f>Sep!AM47</f>
        <v>7751</v>
      </c>
      <c r="K447" s="812">
        <f>Oct!AM47</f>
        <v>7185</v>
      </c>
      <c r="L447" s="941">
        <f>Nov!AM36</f>
        <v>5730</v>
      </c>
      <c r="M447" s="941">
        <f>Dec!AN104</f>
        <v>7207</v>
      </c>
      <c r="N447" s="511">
        <f t="shared" si="412"/>
        <v>7428.583333333333</v>
      </c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P447" s="25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</row>
    <row r="448" spans="1:53">
      <c r="A448" s="426">
        <f t="shared" si="413"/>
        <v>2015</v>
      </c>
      <c r="B448" s="812">
        <f>Winter!AR48</f>
        <v>8754</v>
      </c>
      <c r="C448" s="812">
        <f>Feb!AM48</f>
        <v>7619</v>
      </c>
      <c r="D448" s="941">
        <f>Mar!AM92</f>
        <v>6625</v>
      </c>
      <c r="E448" s="941">
        <f>Apr!AM103</f>
        <v>6779</v>
      </c>
      <c r="F448" s="812">
        <f>May!AM48</f>
        <v>7665</v>
      </c>
      <c r="G448" s="812">
        <f>Jun!AM48</f>
        <v>8233</v>
      </c>
      <c r="H448" s="812">
        <f>Jul!AM48</f>
        <v>8543</v>
      </c>
      <c r="I448" s="812">
        <f>Summer!AR48</f>
        <v>8744</v>
      </c>
      <c r="J448" s="812">
        <f>Sep!AM48</f>
        <v>7985</v>
      </c>
      <c r="K448" s="812">
        <f>Oct!AM48</f>
        <v>7489</v>
      </c>
      <c r="L448" s="941">
        <f>Nov!AM37</f>
        <v>5971</v>
      </c>
      <c r="M448" s="941">
        <f>Dec!AN105</f>
        <v>7366</v>
      </c>
      <c r="N448" s="511">
        <f t="shared" si="412"/>
        <v>7647.75</v>
      </c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P448" s="25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</row>
    <row r="449" spans="1:53">
      <c r="A449" s="426">
        <f t="shared" si="413"/>
        <v>2016</v>
      </c>
      <c r="B449" s="812">
        <f>Winter!AR49</f>
        <v>9055</v>
      </c>
      <c r="C449" s="812">
        <f>Feb!AM49</f>
        <v>7877</v>
      </c>
      <c r="D449" s="941">
        <f>Mar!AM93</f>
        <v>6922</v>
      </c>
      <c r="E449" s="941">
        <f>Apr!AM104</f>
        <v>7059</v>
      </c>
      <c r="F449" s="812">
        <f>May!AM49</f>
        <v>8009</v>
      </c>
      <c r="G449" s="812">
        <f>Jun!AM49</f>
        <v>8481</v>
      </c>
      <c r="H449" s="812">
        <f>Jul!AM49</f>
        <v>8798</v>
      </c>
      <c r="I449" s="812">
        <f>Summer!AR49</f>
        <v>9036</v>
      </c>
      <c r="J449" s="812">
        <f>Sep!AM49</f>
        <v>8215</v>
      </c>
      <c r="K449" s="812">
        <f>Oct!AM49</f>
        <v>7788</v>
      </c>
      <c r="L449" s="941">
        <f>Nov!AM38</f>
        <v>6211</v>
      </c>
      <c r="M449" s="941">
        <f>Dec!AN106</f>
        <v>7522</v>
      </c>
      <c r="N449" s="511">
        <f t="shared" si="412"/>
        <v>7914.416666666667</v>
      </c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P449" s="25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</row>
    <row r="450" spans="1:53">
      <c r="A450" s="426">
        <f t="shared" si="413"/>
        <v>2017</v>
      </c>
      <c r="B450" s="812">
        <f>Winter!AR50</f>
        <v>9355</v>
      </c>
      <c r="C450" s="812">
        <f>Feb!AM50</f>
        <v>8134</v>
      </c>
      <c r="D450" s="941">
        <f>Mar!AM94</f>
        <v>7041</v>
      </c>
      <c r="E450" s="941">
        <f>Apr!AM105</f>
        <v>7340</v>
      </c>
      <c r="F450" s="812">
        <f>May!AM50</f>
        <v>8356</v>
      </c>
      <c r="G450" s="812">
        <f>Jun!AM50</f>
        <v>8732</v>
      </c>
      <c r="H450" s="812">
        <f>Jul!AM50</f>
        <v>9057</v>
      </c>
      <c r="I450" s="812">
        <f>Summer!AR50</f>
        <v>9330</v>
      </c>
      <c r="J450" s="812">
        <f>Sep!AM50</f>
        <v>8447</v>
      </c>
      <c r="K450" s="812">
        <f>Oct!AM50</f>
        <v>8088</v>
      </c>
      <c r="L450" s="941">
        <f>Nov!AM39</f>
        <v>6450</v>
      </c>
      <c r="M450" s="941">
        <f>Dec!AN107</f>
        <v>7678</v>
      </c>
      <c r="N450" s="511">
        <f t="shared" si="412"/>
        <v>8167.333333333333</v>
      </c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P450" s="25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</row>
    <row r="451" spans="1:53">
      <c r="A451" s="426">
        <f t="shared" si="413"/>
        <v>2018</v>
      </c>
      <c r="B451" s="812">
        <f>Winter!AR51</f>
        <v>9653</v>
      </c>
      <c r="C451" s="812">
        <f>Feb!AM51</f>
        <v>8250</v>
      </c>
      <c r="D451" s="941">
        <f>Mar!AM95</f>
        <v>7160</v>
      </c>
      <c r="E451" s="941">
        <f>Apr!AM106</f>
        <v>7616</v>
      </c>
      <c r="F451" s="812">
        <f>May!AM51</f>
        <v>8695</v>
      </c>
      <c r="G451" s="812">
        <f>Jun!AM51</f>
        <v>8975</v>
      </c>
      <c r="H451" s="812">
        <f>Jul!AM51</f>
        <v>9214</v>
      </c>
      <c r="I451" s="812">
        <f>Summer!AR51</f>
        <v>9494</v>
      </c>
      <c r="J451" s="812">
        <f>Sep!AM51</f>
        <v>8580</v>
      </c>
      <c r="K451" s="812">
        <f>Oct!AM51</f>
        <v>8235</v>
      </c>
      <c r="L451" s="941">
        <f>Nov!AM40</f>
        <v>6541</v>
      </c>
      <c r="M451" s="941">
        <f>Dec!AN108</f>
        <v>7773</v>
      </c>
      <c r="N451" s="511">
        <f t="shared" si="412"/>
        <v>8348.8333333333339</v>
      </c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P451" s="25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</row>
    <row r="452" spans="1:53">
      <c r="A452" s="426">
        <f t="shared" si="413"/>
        <v>2019</v>
      </c>
      <c r="B452" s="812">
        <f>Winter!AR52</f>
        <v>9797</v>
      </c>
      <c r="C452" s="812">
        <f>Feb!AM52</f>
        <v>8360</v>
      </c>
      <c r="D452" s="941">
        <f>Mar!AM96</f>
        <v>7275</v>
      </c>
      <c r="E452" s="941">
        <f>Apr!AM107</f>
        <v>7761</v>
      </c>
      <c r="F452" s="812">
        <f>May!AM52</f>
        <v>9024</v>
      </c>
      <c r="G452" s="812">
        <f>Jun!AM52</f>
        <v>9119</v>
      </c>
      <c r="H452" s="812">
        <f>Jul!AM52</f>
        <v>9360</v>
      </c>
      <c r="I452" s="812">
        <f>Summer!AR52</f>
        <v>9648</v>
      </c>
      <c r="J452" s="812">
        <f>Sep!AM52</f>
        <v>8705</v>
      </c>
      <c r="K452" s="812">
        <f>Oct!AM52</f>
        <v>8373</v>
      </c>
      <c r="L452" s="941">
        <f>Nov!AM41</f>
        <v>6628</v>
      </c>
      <c r="M452" s="941">
        <f>Dec!AN109</f>
        <v>7863</v>
      </c>
      <c r="N452" s="511">
        <f t="shared" si="412"/>
        <v>8492.75</v>
      </c>
      <c r="O452" s="25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P452" s="25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</row>
    <row r="453" spans="1:53">
      <c r="A453" s="426">
        <f t="shared" si="413"/>
        <v>2020</v>
      </c>
      <c r="B453" s="812">
        <f>Winter!AR53</f>
        <v>9935</v>
      </c>
      <c r="C453" s="812">
        <f>Feb!AM53</f>
        <v>8466</v>
      </c>
      <c r="D453" s="941">
        <f>Mar!AM97</f>
        <v>7384</v>
      </c>
      <c r="E453" s="941">
        <f>Apr!AM108</f>
        <v>7901</v>
      </c>
      <c r="F453" s="812">
        <f>May!AM53</f>
        <v>9179</v>
      </c>
      <c r="G453" s="812">
        <f>Jun!AM53</f>
        <v>9260</v>
      </c>
      <c r="H453" s="812">
        <f>Jul!AM53</f>
        <v>9506</v>
      </c>
      <c r="I453" s="812">
        <f>Summer!AR53</f>
        <v>9800</v>
      </c>
      <c r="J453" s="812">
        <f>Sep!AM53</f>
        <v>8829</v>
      </c>
      <c r="K453" s="812">
        <f>Oct!AM53</f>
        <v>8510</v>
      </c>
      <c r="L453" s="941">
        <f>Nov!AM42</f>
        <v>6713</v>
      </c>
      <c r="M453" s="941">
        <f>Dec!AN110</f>
        <v>7951</v>
      </c>
      <c r="N453" s="511">
        <f t="shared" si="412"/>
        <v>8619.5</v>
      </c>
      <c r="O453" s="25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P453" s="25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</row>
    <row r="454" spans="1:53">
      <c r="A454" s="426">
        <f t="shared" si="413"/>
        <v>2021</v>
      </c>
      <c r="B454" s="812">
        <f>Winter!AR54</f>
        <v>10071</v>
      </c>
      <c r="C454" s="812">
        <f>Feb!AM54</f>
        <v>8569</v>
      </c>
      <c r="D454" s="941">
        <f>Mar!AM98</f>
        <v>7490</v>
      </c>
      <c r="E454" s="941">
        <f>Apr!AM109</f>
        <v>8038</v>
      </c>
      <c r="F454" s="812">
        <f>May!AM54</f>
        <v>9328</v>
      </c>
      <c r="G454" s="812">
        <f>Jun!AM54</f>
        <v>9396</v>
      </c>
      <c r="H454" s="812">
        <f>Jul!AM54</f>
        <v>9645</v>
      </c>
      <c r="I454" s="812">
        <f>Summer!AR54</f>
        <v>9946</v>
      </c>
      <c r="J454" s="812">
        <f>Sep!AM54</f>
        <v>8948</v>
      </c>
      <c r="K454" s="812">
        <f>Oct!AM54</f>
        <v>8642</v>
      </c>
      <c r="L454" s="941">
        <f>Nov!AM43</f>
        <v>6795</v>
      </c>
      <c r="M454" s="941">
        <f>Dec!AN111</f>
        <v>8036</v>
      </c>
      <c r="N454" s="511">
        <f t="shared" si="412"/>
        <v>8742</v>
      </c>
      <c r="O454" s="25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P454" s="25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</row>
    <row r="455" spans="1:53">
      <c r="A455" s="426">
        <f t="shared" si="413"/>
        <v>2022</v>
      </c>
      <c r="B455" s="812">
        <f>Winter!AR55</f>
        <v>10202</v>
      </c>
      <c r="C455" s="812">
        <f>Feb!AM55</f>
        <v>8670</v>
      </c>
      <c r="D455" s="941">
        <f>Mar!AM99</f>
        <v>7592</v>
      </c>
      <c r="E455" s="941">
        <f>Apr!AM110</f>
        <v>8171</v>
      </c>
      <c r="F455" s="812">
        <f>May!AM55</f>
        <v>9474</v>
      </c>
      <c r="G455" s="812">
        <f>Jun!AM55</f>
        <v>9530</v>
      </c>
      <c r="H455" s="812">
        <f>Jul!AM55</f>
        <v>9782</v>
      </c>
      <c r="I455" s="812">
        <f>Summer!AR55</f>
        <v>10089</v>
      </c>
      <c r="J455" s="812">
        <f>Sep!AM55</f>
        <v>9063</v>
      </c>
      <c r="K455" s="812">
        <f>Oct!AM55</f>
        <v>8769</v>
      </c>
      <c r="L455" s="941">
        <f>Nov!AM44</f>
        <v>6875</v>
      </c>
      <c r="M455" s="941">
        <f>Dec!AN112</f>
        <v>8118</v>
      </c>
      <c r="N455" s="511">
        <f t="shared" si="412"/>
        <v>8861.25</v>
      </c>
      <c r="O455" s="25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P455" s="25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</row>
    <row r="456" spans="1:53">
      <c r="A456" s="426">
        <f t="shared" si="413"/>
        <v>2023</v>
      </c>
      <c r="B456" s="812">
        <f>Winter!AR56</f>
        <v>10327</v>
      </c>
      <c r="C456" s="812">
        <f>Feb!AM56</f>
        <v>8765</v>
      </c>
      <c r="D456" s="941">
        <f>Mar!AM100</f>
        <v>7692</v>
      </c>
      <c r="E456" s="941">
        <f>Apr!AM111</f>
        <v>8296</v>
      </c>
      <c r="F456" s="812">
        <f>May!AM56</f>
        <v>9610</v>
      </c>
      <c r="G456" s="812">
        <f>Jun!AM56</f>
        <v>9654</v>
      </c>
      <c r="H456" s="812">
        <f>Jul!AM56</f>
        <v>9909</v>
      </c>
      <c r="I456" s="812">
        <f>Summer!AR56</f>
        <v>10222</v>
      </c>
      <c r="J456" s="812">
        <f>Sep!AM56</f>
        <v>9172</v>
      </c>
      <c r="K456" s="812">
        <f>Oct!AM56</f>
        <v>8889</v>
      </c>
      <c r="L456" s="941">
        <f>Nov!AM45</f>
        <v>6950</v>
      </c>
      <c r="M456" s="941">
        <f>Dec!AN113</f>
        <v>8196</v>
      </c>
      <c r="N456" s="511">
        <f t="shared" si="412"/>
        <v>8973.5</v>
      </c>
      <c r="O456" s="25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P456" s="25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</row>
    <row r="457" spans="1:53">
      <c r="A457" s="426">
        <f t="shared" si="413"/>
        <v>2024</v>
      </c>
      <c r="B457" s="812">
        <f>Winter!AR57</f>
        <v>10447</v>
      </c>
      <c r="C457" s="812">
        <f>Feb!AM57</f>
        <v>8856</v>
      </c>
      <c r="D457" s="941">
        <f>Mar!AM101</f>
        <v>7786</v>
      </c>
      <c r="E457" s="941">
        <f>Apr!AM112</f>
        <v>8417</v>
      </c>
      <c r="F457" s="812">
        <f>May!AM57</f>
        <v>9743</v>
      </c>
      <c r="G457" s="812">
        <f>Jun!AM57</f>
        <v>9775</v>
      </c>
      <c r="H457" s="812">
        <f>Jul!AM57</f>
        <v>10033</v>
      </c>
      <c r="I457" s="812">
        <f>Summer!AR57</f>
        <v>10353</v>
      </c>
      <c r="J457" s="812">
        <f>Sep!AM57</f>
        <v>9277</v>
      </c>
      <c r="K457" s="812">
        <f>Oct!AM57</f>
        <v>9006</v>
      </c>
      <c r="L457" s="941">
        <f>Nov!AM46</f>
        <v>7022</v>
      </c>
      <c r="M457" s="941">
        <f>Dec!AN114</f>
        <v>8271</v>
      </c>
      <c r="N457" s="511">
        <f t="shared" si="412"/>
        <v>9082.1666666666661</v>
      </c>
      <c r="O457" s="25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P457" s="25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</row>
    <row r="458" spans="1:53">
      <c r="A458" s="426">
        <f t="shared" si="413"/>
        <v>2025</v>
      </c>
      <c r="B458" s="812">
        <f>Winter!AR58</f>
        <v>10562</v>
      </c>
      <c r="C458" s="812">
        <f>Feb!AM58</f>
        <v>8944</v>
      </c>
      <c r="D458" s="941">
        <f>Mar!AM102</f>
        <v>7877</v>
      </c>
      <c r="E458" s="941">
        <f>Apr!AM113</f>
        <v>8533</v>
      </c>
      <c r="F458" s="812">
        <f>May!AM58</f>
        <v>9870</v>
      </c>
      <c r="G458" s="812">
        <f>Jun!AM58</f>
        <v>9891</v>
      </c>
      <c r="H458" s="812">
        <f>Jul!AM58</f>
        <v>10152</v>
      </c>
      <c r="I458" s="812">
        <f>Summer!AR58</f>
        <v>10477</v>
      </c>
      <c r="J458" s="812">
        <f>Sep!AM58</f>
        <v>9378</v>
      </c>
      <c r="K458" s="812">
        <f>Oct!AM58</f>
        <v>9117</v>
      </c>
      <c r="L458" s="941">
        <f>Nov!AM47</f>
        <v>7091</v>
      </c>
      <c r="M458" s="941">
        <f>Dec!AN115</f>
        <v>8342</v>
      </c>
      <c r="N458" s="511">
        <f t="shared" si="412"/>
        <v>9186.1666666666661</v>
      </c>
      <c r="O458" s="25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P458" s="25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</row>
    <row r="459" spans="1:53">
      <c r="A459" s="426">
        <f t="shared" si="413"/>
        <v>2026</v>
      </c>
      <c r="B459" s="812">
        <f>Winter!AR59</f>
        <v>10672</v>
      </c>
      <c r="C459" s="812">
        <f>Feb!AM59</f>
        <v>9028</v>
      </c>
      <c r="D459" s="941">
        <f>Mar!AM103</f>
        <v>7965</v>
      </c>
      <c r="E459" s="941">
        <f>Apr!AM114</f>
        <v>8643</v>
      </c>
      <c r="F459" s="812">
        <f>May!AM59</f>
        <v>9990</v>
      </c>
      <c r="G459" s="812">
        <f>Jun!AM59</f>
        <v>10001</v>
      </c>
      <c r="H459" s="812">
        <f>Jul!AM59</f>
        <v>10264</v>
      </c>
      <c r="I459" s="812">
        <f>Summer!AR59</f>
        <v>10594</v>
      </c>
      <c r="J459" s="812">
        <f>Sep!AM59</f>
        <v>9474</v>
      </c>
      <c r="K459" s="812">
        <f>Oct!AM59</f>
        <v>9223</v>
      </c>
      <c r="L459" s="941">
        <f>Nov!AM48</f>
        <v>7158</v>
      </c>
      <c r="M459" s="941">
        <f>Dec!AN116</f>
        <v>8411</v>
      </c>
      <c r="N459" s="511">
        <f t="shared" si="412"/>
        <v>9285.25</v>
      </c>
      <c r="O459" s="25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P459" s="25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</row>
    <row r="460" spans="1:53">
      <c r="A460" s="426">
        <f t="shared" si="413"/>
        <v>2027</v>
      </c>
      <c r="B460" s="812">
        <f>Winter!AR60</f>
        <v>10777</v>
      </c>
      <c r="C460" s="812">
        <f>Feb!AM60</f>
        <v>9109</v>
      </c>
      <c r="D460" s="941">
        <f>Mar!AM104</f>
        <v>8048</v>
      </c>
      <c r="E460" s="941">
        <f>Apr!AM115</f>
        <v>8751</v>
      </c>
      <c r="F460" s="812">
        <f>May!AM60</f>
        <v>10108</v>
      </c>
      <c r="G460" s="812">
        <f>Jun!AM60</f>
        <v>10108</v>
      </c>
      <c r="H460" s="812">
        <f>Jul!AM60</f>
        <v>10374</v>
      </c>
      <c r="I460" s="812">
        <f>Summer!AR60</f>
        <v>10710</v>
      </c>
      <c r="J460" s="812">
        <f>Sep!AM60</f>
        <v>9568</v>
      </c>
      <c r="K460" s="812">
        <f>Oct!AM60</f>
        <v>9327</v>
      </c>
      <c r="L460" s="941">
        <f>Nov!AM49</f>
        <v>7223</v>
      </c>
      <c r="M460" s="941">
        <f>Dec!AN117</f>
        <v>8478</v>
      </c>
      <c r="N460" s="511">
        <f t="shared" si="412"/>
        <v>9381.75</v>
      </c>
      <c r="O460" s="25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P460" s="25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</row>
    <row r="461" spans="1:53">
      <c r="A461" s="426">
        <f t="shared" si="413"/>
        <v>2028</v>
      </c>
      <c r="B461" s="812">
        <f>Winter!AR61</f>
        <v>10881</v>
      </c>
      <c r="C461" s="812">
        <f>Feb!AM61</f>
        <v>9188</v>
      </c>
      <c r="D461" s="941">
        <f>Mar!AM105</f>
        <v>8128</v>
      </c>
      <c r="E461" s="941">
        <f>Apr!AM116</f>
        <v>8855</v>
      </c>
      <c r="F461" s="812">
        <f>May!AM61</f>
        <v>10223</v>
      </c>
      <c r="G461" s="812">
        <f>Jun!AM61</f>
        <v>10213</v>
      </c>
      <c r="H461" s="812">
        <f>Jul!AM61</f>
        <v>10482</v>
      </c>
      <c r="I461" s="812">
        <f>Summer!AR61</f>
        <v>10823</v>
      </c>
      <c r="J461" s="812">
        <f>Sep!AM61</f>
        <v>9660</v>
      </c>
      <c r="K461" s="812">
        <f>Oct!AM61</f>
        <v>9429</v>
      </c>
      <c r="L461" s="941">
        <f>Nov!AM50</f>
        <v>7286</v>
      </c>
      <c r="M461" s="941">
        <f>Dec!AN118</f>
        <v>8544</v>
      </c>
      <c r="N461" s="511">
        <f t="shared" si="412"/>
        <v>9476</v>
      </c>
      <c r="O461" s="25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P461" s="25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</row>
    <row r="462" spans="1:53">
      <c r="A462" s="426">
        <f t="shared" si="413"/>
        <v>2029</v>
      </c>
      <c r="B462" s="812">
        <f>Winter!AR62</f>
        <v>10982</v>
      </c>
      <c r="C462" s="812">
        <f>Feb!AM62</f>
        <v>9265</v>
      </c>
      <c r="D462" s="941">
        <f>Mar!AM106</f>
        <v>8207</v>
      </c>
      <c r="E462" s="941">
        <f>Apr!AM117</f>
        <v>8958</v>
      </c>
      <c r="F462" s="812">
        <f>May!AM62</f>
        <v>10335</v>
      </c>
      <c r="G462" s="812">
        <f>Jun!AM62</f>
        <v>10316</v>
      </c>
      <c r="H462" s="812">
        <f>Jul!AM62</f>
        <v>10587</v>
      </c>
      <c r="I462" s="812">
        <f>Summer!AR62</f>
        <v>10933</v>
      </c>
      <c r="J462" s="812">
        <f>Sep!AM62</f>
        <v>9749</v>
      </c>
      <c r="K462" s="812">
        <f>Oct!AM62</f>
        <v>9527</v>
      </c>
      <c r="L462" s="941">
        <f>Nov!AM51</f>
        <v>7347</v>
      </c>
      <c r="M462" s="941">
        <f>Dec!AN119</f>
        <v>8607</v>
      </c>
      <c r="N462" s="511">
        <f t="shared" si="412"/>
        <v>9567.75</v>
      </c>
      <c r="O462" s="25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P462" s="25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</row>
    <row r="463" spans="1:53">
      <c r="A463" s="426">
        <f t="shared" si="413"/>
        <v>2030</v>
      </c>
      <c r="B463" s="812">
        <f>Winter!AR63</f>
        <v>11079</v>
      </c>
      <c r="C463" s="812">
        <f>Feb!AM63</f>
        <v>9339</v>
      </c>
      <c r="D463" s="941">
        <f>Mar!AM107</f>
        <v>8284</v>
      </c>
      <c r="E463" s="941">
        <f>Apr!AM118</f>
        <v>9055</v>
      </c>
      <c r="F463" s="812">
        <f>May!AM63</f>
        <v>10441</v>
      </c>
      <c r="G463" s="812">
        <f>Jun!AM63</f>
        <v>10412</v>
      </c>
      <c r="H463" s="812">
        <f>Jul!AM63</f>
        <v>10686</v>
      </c>
      <c r="I463" s="812">
        <f>Summer!AR63</f>
        <v>11037</v>
      </c>
      <c r="J463" s="812">
        <f>Sep!AM63</f>
        <v>9833</v>
      </c>
      <c r="K463" s="812">
        <f>Oct!AM63</f>
        <v>9620</v>
      </c>
      <c r="L463" s="941">
        <f>Nov!AM52</f>
        <v>7406</v>
      </c>
      <c r="M463" s="941">
        <f>Dec!AN120</f>
        <v>8668</v>
      </c>
      <c r="N463" s="511">
        <f t="shared" si="412"/>
        <v>9655</v>
      </c>
      <c r="O463" s="25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P463" s="25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</row>
    <row r="464" spans="1:53">
      <c r="A464" s="426">
        <f t="shared" si="413"/>
        <v>2031</v>
      </c>
      <c r="B464" s="812">
        <f>Winter!AR64</f>
        <v>11172</v>
      </c>
      <c r="C464" s="812">
        <f>Feb!AM64</f>
        <v>9410</v>
      </c>
      <c r="D464" s="941">
        <f>Mar!AM108</f>
        <v>8357</v>
      </c>
      <c r="E464" s="941">
        <f>Apr!AM119</f>
        <v>9149</v>
      </c>
      <c r="F464" s="812">
        <f>May!AM64</f>
        <v>10543</v>
      </c>
      <c r="G464" s="812">
        <f>Jun!AM64</f>
        <v>10506</v>
      </c>
      <c r="H464" s="812">
        <f>Jul!AM64</f>
        <v>10783</v>
      </c>
      <c r="I464" s="812">
        <f>Summer!AR64</f>
        <v>11138</v>
      </c>
      <c r="J464" s="812">
        <f>Sep!AM64</f>
        <v>9915</v>
      </c>
      <c r="K464" s="812">
        <f>Oct!AM64</f>
        <v>9711</v>
      </c>
      <c r="L464" s="941">
        <f>Nov!AM53</f>
        <v>7462</v>
      </c>
      <c r="M464" s="941">
        <f>Dec!AN121</f>
        <v>8726</v>
      </c>
      <c r="N464" s="511">
        <f t="shared" ref="N464:N473" si="414">AVERAGE(B464:M464)</f>
        <v>9739.3333333333339</v>
      </c>
      <c r="O464" s="25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P464" s="25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</row>
    <row r="465" spans="1:53">
      <c r="A465" s="426">
        <f t="shared" ref="A465:A477" si="415">A464+1</f>
        <v>2032</v>
      </c>
      <c r="B465" s="812">
        <f>Winter!AR65</f>
        <v>11262</v>
      </c>
      <c r="C465" s="812">
        <f>Feb!AM65</f>
        <v>9479</v>
      </c>
      <c r="D465" s="941">
        <f>Mar!AM109</f>
        <v>8427</v>
      </c>
      <c r="E465" s="941">
        <f>Apr!AM120</f>
        <v>9241</v>
      </c>
      <c r="F465" s="812">
        <f>May!AM65</f>
        <v>10642</v>
      </c>
      <c r="G465" s="812">
        <f>Jun!AM65</f>
        <v>10598</v>
      </c>
      <c r="H465" s="812">
        <f>Jul!AM65</f>
        <v>10876</v>
      </c>
      <c r="I465" s="812">
        <f>Summer!AR65</f>
        <v>11236</v>
      </c>
      <c r="J465" s="812">
        <f>Sep!AM65</f>
        <v>9995</v>
      </c>
      <c r="K465" s="812">
        <f>Oct!AM65</f>
        <v>9800</v>
      </c>
      <c r="L465" s="941">
        <f>Nov!AM54</f>
        <v>7518</v>
      </c>
      <c r="M465" s="941">
        <f>Dec!AN122</f>
        <v>8784</v>
      </c>
      <c r="N465" s="511">
        <f t="shared" si="414"/>
        <v>9821.5</v>
      </c>
      <c r="O465" s="25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P465" s="25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</row>
    <row r="466" spans="1:53">
      <c r="A466" s="426">
        <f t="shared" si="415"/>
        <v>2033</v>
      </c>
      <c r="B466" s="812">
        <f>Winter!AR66</f>
        <v>11350</v>
      </c>
      <c r="C466" s="812">
        <f>Feb!AM66</f>
        <v>9546</v>
      </c>
      <c r="D466" s="941">
        <f>Mar!AM110</f>
        <v>8496</v>
      </c>
      <c r="E466" s="941">
        <f>Apr!AM121</f>
        <v>9330</v>
      </c>
      <c r="F466" s="812">
        <f>May!AM66</f>
        <v>10739</v>
      </c>
      <c r="G466" s="812">
        <f>Jun!AM66</f>
        <v>10687</v>
      </c>
      <c r="H466" s="812">
        <f>Jul!AM66</f>
        <v>10968</v>
      </c>
      <c r="I466" s="812">
        <f>Summer!AR66</f>
        <v>11332</v>
      </c>
      <c r="J466" s="812">
        <f>Sep!AM66</f>
        <v>10073</v>
      </c>
      <c r="K466" s="812">
        <f>Oct!AM66</f>
        <v>9886</v>
      </c>
      <c r="L466" s="941">
        <f>Nov!AM55</f>
        <v>7572</v>
      </c>
      <c r="M466" s="941">
        <f>Dec!AN123</f>
        <v>8839</v>
      </c>
      <c r="N466" s="511">
        <f t="shared" si="414"/>
        <v>9901.5</v>
      </c>
      <c r="O466" s="25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P466" s="25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</row>
    <row r="467" spans="1:53">
      <c r="A467" s="426">
        <f t="shared" si="415"/>
        <v>2034</v>
      </c>
      <c r="B467" s="812">
        <f>Winter!AR67</f>
        <v>11436</v>
      </c>
      <c r="C467" s="812">
        <f>Feb!AM67</f>
        <v>9612</v>
      </c>
      <c r="D467" s="941">
        <f>Mar!AM111</f>
        <v>8563</v>
      </c>
      <c r="E467" s="941">
        <f>Apr!AM122</f>
        <v>9417</v>
      </c>
      <c r="F467" s="812">
        <f>May!AM67</f>
        <v>10833</v>
      </c>
      <c r="G467" s="812">
        <f>Jun!AM67</f>
        <v>10774</v>
      </c>
      <c r="H467" s="812">
        <f>Jul!AM67</f>
        <v>11057</v>
      </c>
      <c r="I467" s="812">
        <f>Summer!AR67</f>
        <v>11426</v>
      </c>
      <c r="J467" s="812">
        <f>Sep!AM67</f>
        <v>10149</v>
      </c>
      <c r="K467" s="812">
        <f>Oct!AM67</f>
        <v>9970</v>
      </c>
      <c r="L467" s="941">
        <f>Nov!AM56</f>
        <v>7624</v>
      </c>
      <c r="M467" s="941">
        <f>Dec!AN124</f>
        <v>8894</v>
      </c>
      <c r="N467" s="511">
        <f t="shared" si="414"/>
        <v>9979.5833333333339</v>
      </c>
      <c r="O467" s="25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P467" s="25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</row>
    <row r="468" spans="1:53">
      <c r="A468" s="426">
        <f t="shared" si="415"/>
        <v>2035</v>
      </c>
      <c r="B468" s="812">
        <f>Winter!AR68</f>
        <v>11519</v>
      </c>
      <c r="C468" s="812">
        <f>Feb!AM68</f>
        <v>9675</v>
      </c>
      <c r="D468" s="941">
        <f>Mar!AM112</f>
        <v>8628</v>
      </c>
      <c r="E468" s="941">
        <f>Apr!AM123</f>
        <v>9501</v>
      </c>
      <c r="F468" s="812">
        <f>May!AM68</f>
        <v>10924</v>
      </c>
      <c r="G468" s="812">
        <f>Jun!AM68</f>
        <v>10859</v>
      </c>
      <c r="H468" s="812">
        <f>Jul!AM68</f>
        <v>11144</v>
      </c>
      <c r="I468" s="812">
        <f>Summer!AR68</f>
        <v>11517</v>
      </c>
      <c r="J468" s="812">
        <f>Sep!AM68</f>
        <v>10223</v>
      </c>
      <c r="K468" s="812">
        <f>Oct!AM68</f>
        <v>10052</v>
      </c>
      <c r="L468" s="941">
        <f>Nov!AM57</f>
        <v>7675</v>
      </c>
      <c r="M468" s="941">
        <f>Dec!AN125</f>
        <v>8947</v>
      </c>
      <c r="N468" s="511">
        <f t="shared" si="414"/>
        <v>10055.333333333334</v>
      </c>
      <c r="O468" s="25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P468" s="25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</row>
    <row r="469" spans="1:53">
      <c r="A469" s="426">
        <f t="shared" si="415"/>
        <v>2036</v>
      </c>
      <c r="B469" s="812">
        <f>Winter!AR69</f>
        <v>11601</v>
      </c>
      <c r="C469" s="812">
        <f>Feb!AM69</f>
        <v>9738</v>
      </c>
      <c r="D469" s="941">
        <f>Mar!AM113</f>
        <v>8691</v>
      </c>
      <c r="E469" s="941">
        <f>Apr!AM124</f>
        <v>9583</v>
      </c>
      <c r="F469" s="812">
        <f>May!AM69</f>
        <v>11014</v>
      </c>
      <c r="G469" s="812">
        <f>Jun!AM69</f>
        <v>10941</v>
      </c>
      <c r="H469" s="812">
        <f>Jul!AM69</f>
        <v>11228</v>
      </c>
      <c r="I469" s="812">
        <f>Summer!AR69</f>
        <v>11606</v>
      </c>
      <c r="J469" s="812">
        <f>Sep!AM69</f>
        <v>10296</v>
      </c>
      <c r="K469" s="812">
        <f>Oct!AM69</f>
        <v>10134</v>
      </c>
      <c r="L469" s="941">
        <f>Nov!AM58</f>
        <v>7727</v>
      </c>
      <c r="M469" s="941">
        <f>Dec!AN126</f>
        <v>9001</v>
      </c>
      <c r="N469" s="511">
        <f t="shared" si="414"/>
        <v>10130</v>
      </c>
      <c r="O469" s="25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P469" s="25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</row>
    <row r="470" spans="1:53">
      <c r="A470" s="426">
        <f t="shared" si="415"/>
        <v>2037</v>
      </c>
      <c r="B470" s="812">
        <f>Winter!AR70</f>
        <v>11684</v>
      </c>
      <c r="C470" s="812">
        <f>Feb!AM70</f>
        <v>9802</v>
      </c>
      <c r="D470" s="941">
        <f>Mar!AM114</f>
        <v>8753</v>
      </c>
      <c r="E470" s="941">
        <f>Apr!AM125</f>
        <v>9670</v>
      </c>
      <c r="F470" s="812">
        <f>May!AM70</f>
        <v>11108</v>
      </c>
      <c r="G470" s="812">
        <f>Jun!AM70</f>
        <v>11029</v>
      </c>
      <c r="H470" s="812">
        <f>Jul!AM70</f>
        <v>11320</v>
      </c>
      <c r="I470" s="812">
        <f>Summer!AR70</f>
        <v>11702</v>
      </c>
      <c r="J470" s="812">
        <f>Sep!AM70</f>
        <v>10375</v>
      </c>
      <c r="K470" s="812">
        <f>Oct!AM70</f>
        <v>10221</v>
      </c>
      <c r="L470" s="941">
        <f>Nov!AM59</f>
        <v>7782</v>
      </c>
      <c r="M470" s="941">
        <f>Dec!AN127</f>
        <v>9058</v>
      </c>
      <c r="N470" s="511">
        <f t="shared" si="414"/>
        <v>10208.666666666666</v>
      </c>
      <c r="O470" s="25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P470" s="25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</row>
    <row r="471" spans="1:53">
      <c r="A471" s="426">
        <f t="shared" si="415"/>
        <v>2038</v>
      </c>
      <c r="B471" s="812">
        <f>Winter!AR71</f>
        <v>11773</v>
      </c>
      <c r="C471" s="812">
        <f>Feb!AM71</f>
        <v>9870</v>
      </c>
      <c r="D471" s="941">
        <f>Mar!AM115</f>
        <v>8818</v>
      </c>
      <c r="E471" s="941">
        <f>Apr!AM126</f>
        <v>9761</v>
      </c>
      <c r="F471" s="812">
        <f>May!AM71</f>
        <v>11207</v>
      </c>
      <c r="G471" s="812">
        <f>Jun!AM71</f>
        <v>11121</v>
      </c>
      <c r="H471" s="812">
        <f>Jul!AM71</f>
        <v>11414</v>
      </c>
      <c r="I471" s="812">
        <f>Summer!AR71</f>
        <v>11801</v>
      </c>
      <c r="J471" s="812">
        <f>Sep!AM71</f>
        <v>10455</v>
      </c>
      <c r="K471" s="812">
        <f>Oct!AM71</f>
        <v>10310</v>
      </c>
      <c r="L471" s="941">
        <f>Nov!AM60</f>
        <v>7837</v>
      </c>
      <c r="M471" s="941">
        <f>Dec!AN128</f>
        <v>9115</v>
      </c>
      <c r="N471" s="511">
        <f t="shared" si="414"/>
        <v>10290.166666666666</v>
      </c>
      <c r="O471" s="25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P471" s="25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</row>
    <row r="472" spans="1:53">
      <c r="A472" s="426">
        <f t="shared" si="415"/>
        <v>2039</v>
      </c>
      <c r="B472" s="812">
        <f>Winter!AR72</f>
        <v>11860</v>
      </c>
      <c r="C472" s="812">
        <f>Feb!AM72</f>
        <v>9936</v>
      </c>
      <c r="D472" s="941">
        <f>Mar!AM116</f>
        <v>8886</v>
      </c>
      <c r="E472" s="941">
        <f>Apr!AM127</f>
        <v>9849</v>
      </c>
      <c r="F472" s="812">
        <f>May!AM72</f>
        <v>11302</v>
      </c>
      <c r="G472" s="812">
        <f>Jun!AM72</f>
        <v>11208</v>
      </c>
      <c r="H472" s="812">
        <f>Jul!AM72</f>
        <v>11504</v>
      </c>
      <c r="I472" s="812">
        <f>Summer!AR72</f>
        <v>11896</v>
      </c>
      <c r="J472" s="812">
        <f>Sep!AM72</f>
        <v>10533</v>
      </c>
      <c r="K472" s="812">
        <f>Oct!AM72</f>
        <v>10395</v>
      </c>
      <c r="L472" s="941">
        <f>Nov!AM61</f>
        <v>7891</v>
      </c>
      <c r="M472" s="941">
        <f>Dec!AN129</f>
        <v>9171</v>
      </c>
      <c r="N472" s="511">
        <f t="shared" si="414"/>
        <v>10369.25</v>
      </c>
      <c r="O472" s="25"/>
      <c r="P472" s="191"/>
      <c r="Q472" s="191"/>
      <c r="R472" s="191"/>
      <c r="S472" s="191"/>
      <c r="T472" s="191"/>
      <c r="U472" s="191"/>
      <c r="V472" s="191"/>
      <c r="W472" s="191"/>
      <c r="X472" s="191"/>
      <c r="Y472" s="191"/>
      <c r="Z472" s="191"/>
      <c r="AA472" s="191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P472" s="25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</row>
    <row r="473" spans="1:53">
      <c r="A473" s="426">
        <f t="shared" si="415"/>
        <v>2040</v>
      </c>
      <c r="B473" s="812">
        <f>Winter!AR73</f>
        <v>11947</v>
      </c>
      <c r="C473" s="812">
        <f>Feb!AM73</f>
        <v>10003</v>
      </c>
      <c r="D473" s="941">
        <f>Mar!AM117</f>
        <v>8952</v>
      </c>
      <c r="E473" s="941">
        <f>Apr!AM128</f>
        <v>9938</v>
      </c>
      <c r="F473" s="812">
        <f>May!AM73</f>
        <v>11400</v>
      </c>
      <c r="G473" s="812">
        <f>Jun!AM73</f>
        <v>11299</v>
      </c>
      <c r="H473" s="812">
        <f>Jul!AM73</f>
        <v>11597</v>
      </c>
      <c r="I473" s="812">
        <f>Summer!AR73</f>
        <v>11990</v>
      </c>
      <c r="J473" s="812">
        <f>Sep!AM73</f>
        <v>10610</v>
      </c>
      <c r="K473" s="812">
        <f>Oct!AM73</f>
        <v>10481</v>
      </c>
      <c r="L473" s="941">
        <f>Nov!AM62</f>
        <v>7944</v>
      </c>
      <c r="M473" s="941">
        <f>Dec!AN130</f>
        <v>9227</v>
      </c>
      <c r="N473" s="511">
        <f t="shared" si="414"/>
        <v>10449</v>
      </c>
      <c r="O473" s="25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P473" s="25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</row>
    <row r="474" spans="1:53">
      <c r="A474" s="426">
        <f t="shared" si="415"/>
        <v>2041</v>
      </c>
      <c r="O474" s="25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P474" s="25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</row>
    <row r="475" spans="1:53">
      <c r="A475" s="426">
        <f>A474+1</f>
        <v>2042</v>
      </c>
      <c r="O475" s="25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P475" s="25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</row>
    <row r="476" spans="1:53">
      <c r="A476" s="426">
        <f t="shared" si="415"/>
        <v>2043</v>
      </c>
      <c r="O476" s="25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P476" s="25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</row>
    <row r="477" spans="1:53">
      <c r="A477" s="426">
        <f t="shared" si="415"/>
        <v>2044</v>
      </c>
      <c r="O477" s="25"/>
      <c r="P477" s="191"/>
      <c r="Q477" s="191"/>
      <c r="R477" s="191"/>
      <c r="S477" s="191"/>
      <c r="T477" s="191"/>
      <c r="U477" s="191"/>
      <c r="V477" s="191"/>
      <c r="W477" s="191"/>
      <c r="X477" s="191"/>
      <c r="Y477" s="191"/>
      <c r="Z477" s="191"/>
      <c r="AA477" s="191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P477" s="25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</row>
    <row r="478" spans="1:53">
      <c r="A478" s="426">
        <f>A477+1</f>
        <v>2045</v>
      </c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P478" s="25"/>
      <c r="AQ478" s="36"/>
    </row>
    <row r="479" spans="1:53">
      <c r="B479" s="437"/>
      <c r="C479" s="37"/>
      <c r="D479" s="37"/>
      <c r="E479" s="37"/>
      <c r="F479" s="37"/>
      <c r="G479" s="37"/>
      <c r="H479" s="37"/>
      <c r="I479" s="437"/>
      <c r="J479" s="37"/>
      <c r="K479" s="37"/>
      <c r="L479" s="37"/>
      <c r="M479" s="37"/>
      <c r="N479" s="25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P479" s="25"/>
      <c r="AQ479" s="36"/>
      <c r="BA479" s="188"/>
    </row>
    <row r="480" spans="1:53">
      <c r="B480" s="437"/>
      <c r="C480" s="37"/>
      <c r="D480" s="37"/>
      <c r="E480" s="37"/>
      <c r="F480" s="37"/>
      <c r="G480" s="37"/>
      <c r="H480" s="37"/>
      <c r="I480" s="437"/>
      <c r="J480" s="37"/>
      <c r="K480" s="37"/>
      <c r="L480" s="37"/>
      <c r="M480" s="37"/>
      <c r="N480" s="25"/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91"/>
      <c r="AA480" s="191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P480" s="25"/>
      <c r="AQ480" s="36"/>
      <c r="AR480" s="194"/>
      <c r="AW480" s="193"/>
    </row>
    <row r="481" spans="1:56">
      <c r="A481" s="174" t="s">
        <v>127</v>
      </c>
      <c r="B481" s="437"/>
      <c r="C481" s="37" t="s">
        <v>254</v>
      </c>
      <c r="D481" s="37"/>
      <c r="E481" s="1074" t="s">
        <v>461</v>
      </c>
      <c r="F481" s="37"/>
      <c r="G481" s="37"/>
      <c r="H481" s="37"/>
      <c r="I481" s="193" t="s">
        <v>348</v>
      </c>
      <c r="J481" s="37"/>
      <c r="K481" s="37"/>
      <c r="L481" s="37"/>
      <c r="M481" s="37"/>
      <c r="N481" s="25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P481" s="25"/>
      <c r="AQ481" s="36"/>
    </row>
    <row r="482" spans="1:56">
      <c r="A482" s="27" t="s">
        <v>9</v>
      </c>
      <c r="B482" s="27" t="s">
        <v>28</v>
      </c>
      <c r="C482" s="27" t="s">
        <v>29</v>
      </c>
      <c r="D482" s="27" t="s">
        <v>30</v>
      </c>
      <c r="E482" s="27" t="s">
        <v>31</v>
      </c>
      <c r="F482" s="27" t="s">
        <v>32</v>
      </c>
      <c r="G482" s="27" t="s">
        <v>33</v>
      </c>
      <c r="H482" s="27" t="s">
        <v>34</v>
      </c>
      <c r="I482" s="27" t="s">
        <v>35</v>
      </c>
      <c r="J482" s="27" t="s">
        <v>36</v>
      </c>
      <c r="K482" s="27" t="s">
        <v>37</v>
      </c>
      <c r="L482" s="27" t="s">
        <v>38</v>
      </c>
      <c r="M482" s="27" t="s">
        <v>39</v>
      </c>
      <c r="N482" s="27" t="s">
        <v>53</v>
      </c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P482" s="25"/>
      <c r="AQ482" s="36"/>
    </row>
    <row r="483" spans="1:56">
      <c r="A483" s="2">
        <f t="shared" ref="A483:A498" si="416">A443</f>
        <v>2010</v>
      </c>
      <c r="B483" s="1189">
        <f>'Interruptible Forecast'!AH21</f>
        <v>237</v>
      </c>
      <c r="C483" s="35">
        <f>'Interruptible Forecast'!AI21</f>
        <v>253</v>
      </c>
      <c r="D483" s="35">
        <f>'Interruptible Forecast'!AJ21</f>
        <v>223</v>
      </c>
      <c r="E483" s="35">
        <f>'Interruptible Forecast'!AK21</f>
        <v>299</v>
      </c>
      <c r="F483" s="35">
        <f>'Interruptible Forecast'!AL21</f>
        <v>323</v>
      </c>
      <c r="G483" s="35">
        <f>'Interruptible Forecast'!AM21</f>
        <v>272</v>
      </c>
      <c r="H483" s="35">
        <f>'Interruptible Forecast'!AN21</f>
        <v>254</v>
      </c>
      <c r="I483" s="35">
        <f>'Interruptible Forecast'!AO21</f>
        <v>224</v>
      </c>
      <c r="J483" s="35">
        <f>'Interruptible Forecast'!AP21</f>
        <v>222</v>
      </c>
      <c r="K483" s="35">
        <f>'Interruptible Forecast'!AQ21</f>
        <v>232</v>
      </c>
      <c r="L483" s="35">
        <f>'Interruptible Forecast'!AR21</f>
        <v>182</v>
      </c>
      <c r="M483" s="1189">
        <f>'Interruptible Forecast'!AS21</f>
        <v>244</v>
      </c>
      <c r="N483" s="34">
        <f>SUM(B483:M483)</f>
        <v>2965</v>
      </c>
      <c r="O483" s="25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P483" s="25"/>
      <c r="AQ483" s="36"/>
    </row>
    <row r="484" spans="1:56">
      <c r="A484" s="2">
        <f t="shared" si="416"/>
        <v>2011</v>
      </c>
      <c r="B484" s="35">
        <f>'Interruptible Forecast'!AH22</f>
        <v>257</v>
      </c>
      <c r="C484" s="35">
        <f>'Interruptible Forecast'!AI22</f>
        <v>257</v>
      </c>
      <c r="D484" s="35">
        <f>'Interruptible Forecast'!AJ22</f>
        <v>291</v>
      </c>
      <c r="E484" s="35">
        <f>'Interruptible Forecast'!AK22</f>
        <v>245</v>
      </c>
      <c r="F484" s="35">
        <f>'Interruptible Forecast'!AL22</f>
        <v>278</v>
      </c>
      <c r="G484" s="35">
        <f>'Interruptible Forecast'!AM22</f>
        <v>227</v>
      </c>
      <c r="H484" s="35">
        <f>'Interruptible Forecast'!AN22</f>
        <v>239</v>
      </c>
      <c r="I484" s="35">
        <f>'Interruptible Forecast'!AO22</f>
        <v>231</v>
      </c>
      <c r="J484" s="35">
        <f>'Interruptible Forecast'!AP22</f>
        <v>259</v>
      </c>
      <c r="K484" s="35">
        <f>'Interruptible Forecast'!AQ22</f>
        <v>263</v>
      </c>
      <c r="L484" s="35">
        <f>'Interruptible Forecast'!AR22</f>
        <v>253</v>
      </c>
      <c r="M484" s="35">
        <f>'Interruptible Forecast'!AS22</f>
        <v>198</v>
      </c>
      <c r="N484" s="34">
        <f t="shared" ref="N484:N513" si="417">SUM(B484:M484)</f>
        <v>2998</v>
      </c>
      <c r="O484" s="25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1"/>
      <c r="AA484" s="191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P484" s="25"/>
      <c r="AQ484" s="36"/>
    </row>
    <row r="485" spans="1:56">
      <c r="A485" s="2">
        <f t="shared" si="416"/>
        <v>2012</v>
      </c>
      <c r="B485" s="1189">
        <f>'Interruptible Forecast'!AH23</f>
        <v>183</v>
      </c>
      <c r="C485" s="35">
        <f>'Interruptible Forecast'!AI23</f>
        <v>240</v>
      </c>
      <c r="D485" s="35">
        <f>'Interruptible Forecast'!AJ23</f>
        <v>230</v>
      </c>
      <c r="E485" s="35">
        <f>'Interruptible Forecast'!AK23</f>
        <v>242</v>
      </c>
      <c r="F485" s="35">
        <f>'Interruptible Forecast'!AL23</f>
        <v>233</v>
      </c>
      <c r="G485" s="35">
        <f>'Interruptible Forecast'!AM23</f>
        <v>249</v>
      </c>
      <c r="H485" s="35">
        <f>'Interruptible Forecast'!AN23</f>
        <v>251</v>
      </c>
      <c r="I485" s="35">
        <f>'Interruptible Forecast'!AO23</f>
        <v>229</v>
      </c>
      <c r="J485" s="35">
        <f>'Interruptible Forecast'!AP23</f>
        <v>220</v>
      </c>
      <c r="K485" s="35">
        <f>'Interruptible Forecast'!AQ23</f>
        <v>208</v>
      </c>
      <c r="L485" s="35">
        <f>'Interruptible Forecast'!AR23</f>
        <v>282</v>
      </c>
      <c r="M485" s="35">
        <f>'Interruptible Forecast'!AS23</f>
        <v>182</v>
      </c>
      <c r="N485" s="34">
        <f t="shared" si="417"/>
        <v>2749</v>
      </c>
      <c r="O485" s="25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P485" s="25"/>
      <c r="AQ485" s="36"/>
    </row>
    <row r="486" spans="1:56">
      <c r="A486" s="2">
        <f t="shared" si="416"/>
        <v>2013</v>
      </c>
      <c r="B486" s="35">
        <f>'Interruptible Forecast'!AH24</f>
        <v>232</v>
      </c>
      <c r="C486" s="35">
        <f>'Interruptible Forecast'!AI24</f>
        <v>229</v>
      </c>
      <c r="D486" s="35">
        <f>'Interruptible Forecast'!AJ24</f>
        <v>237</v>
      </c>
      <c r="E486" s="35">
        <f>'Interruptible Forecast'!AK24</f>
        <v>226</v>
      </c>
      <c r="F486" s="35">
        <f>'Interruptible Forecast'!AL24</f>
        <v>282</v>
      </c>
      <c r="G486" s="35">
        <f>'Interruptible Forecast'!AM24</f>
        <v>270</v>
      </c>
      <c r="H486" s="35">
        <f>'Interruptible Forecast'!AN24</f>
        <v>252</v>
      </c>
      <c r="I486" s="35">
        <f>'Interruptible Forecast'!AO24</f>
        <v>234</v>
      </c>
      <c r="J486" s="35">
        <f>'Interruptible Forecast'!AP24</f>
        <v>238</v>
      </c>
      <c r="K486" s="35">
        <f>'Interruptible Forecast'!AQ24</f>
        <v>224</v>
      </c>
      <c r="L486" s="35">
        <f>'Interruptible Forecast'!AR24</f>
        <v>227</v>
      </c>
      <c r="M486" s="35">
        <f>'Interruptible Forecast'!AS24</f>
        <v>211</v>
      </c>
      <c r="N486" s="34">
        <f t="shared" si="417"/>
        <v>2862</v>
      </c>
      <c r="O486" s="25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1"/>
      <c r="AA486" s="191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P486" s="25"/>
      <c r="AQ486" s="36"/>
    </row>
    <row r="487" spans="1:56">
      <c r="A487" s="2">
        <f t="shared" si="416"/>
        <v>2014</v>
      </c>
      <c r="B487" s="35">
        <f>'Interruptible Forecast'!AH25</f>
        <v>232</v>
      </c>
      <c r="C487" s="35">
        <f>'Interruptible Forecast'!AI25</f>
        <v>249</v>
      </c>
      <c r="D487" s="35">
        <f>'Interruptible Forecast'!AJ25</f>
        <v>247</v>
      </c>
      <c r="E487" s="35">
        <f>'Interruptible Forecast'!AK25</f>
        <v>272</v>
      </c>
      <c r="F487" s="35">
        <f>'Interruptible Forecast'!AL25</f>
        <v>270</v>
      </c>
      <c r="G487" s="35">
        <f>'Interruptible Forecast'!AM25</f>
        <v>255</v>
      </c>
      <c r="H487" s="35">
        <f>'Interruptible Forecast'!AN25</f>
        <v>261</v>
      </c>
      <c r="I487" s="35">
        <f>'Interruptible Forecast'!AO25</f>
        <v>249</v>
      </c>
      <c r="J487" s="35">
        <f>'Interruptible Forecast'!AP25</f>
        <v>254</v>
      </c>
      <c r="K487" s="35">
        <f>'Interruptible Forecast'!AQ25</f>
        <v>239</v>
      </c>
      <c r="L487" s="35">
        <f>'Interruptible Forecast'!AR25</f>
        <v>242</v>
      </c>
      <c r="M487" s="35">
        <f>'Interruptible Forecast'!AS25</f>
        <v>225</v>
      </c>
      <c r="N487" s="34">
        <f t="shared" si="417"/>
        <v>2995</v>
      </c>
      <c r="O487" s="25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1"/>
      <c r="AA487" s="191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P487" s="25"/>
      <c r="AQ487" s="36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</row>
    <row r="488" spans="1:56">
      <c r="A488" s="2">
        <f t="shared" si="416"/>
        <v>2015</v>
      </c>
      <c r="B488" s="35">
        <f>'Interruptible Forecast'!AH26</f>
        <v>233</v>
      </c>
      <c r="C488" s="35">
        <f>'Interruptible Forecast'!AI26</f>
        <v>251</v>
      </c>
      <c r="D488" s="35">
        <f>'Interruptible Forecast'!AJ26</f>
        <v>249</v>
      </c>
      <c r="E488" s="35">
        <f>'Interruptible Forecast'!AK26</f>
        <v>274</v>
      </c>
      <c r="F488" s="35">
        <f>'Interruptible Forecast'!AL26</f>
        <v>272</v>
      </c>
      <c r="G488" s="35">
        <f>'Interruptible Forecast'!AM26</f>
        <v>257</v>
      </c>
      <c r="H488" s="35">
        <f>'Interruptible Forecast'!AN26</f>
        <v>263</v>
      </c>
      <c r="I488" s="35">
        <f>'Interruptible Forecast'!AO26</f>
        <v>251</v>
      </c>
      <c r="J488" s="35">
        <f>'Interruptible Forecast'!AP26</f>
        <v>256</v>
      </c>
      <c r="K488" s="35">
        <f>'Interruptible Forecast'!AQ26</f>
        <v>240</v>
      </c>
      <c r="L488" s="35">
        <f>'Interruptible Forecast'!AR26</f>
        <v>244</v>
      </c>
      <c r="M488" s="35">
        <f>'Interruptible Forecast'!AS26</f>
        <v>226</v>
      </c>
      <c r="N488" s="34">
        <f t="shared" si="417"/>
        <v>3016</v>
      </c>
      <c r="O488" s="25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P488" s="25"/>
      <c r="AQ488" s="36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</row>
    <row r="489" spans="1:56">
      <c r="A489" s="2">
        <f t="shared" si="416"/>
        <v>2016</v>
      </c>
      <c r="B489" s="35">
        <f>'Interruptible Forecast'!AH27</f>
        <v>233</v>
      </c>
      <c r="C489" s="35">
        <f>'Interruptible Forecast'!AI27</f>
        <v>250</v>
      </c>
      <c r="D489" s="35">
        <f>'Interruptible Forecast'!AJ27</f>
        <v>248</v>
      </c>
      <c r="E489" s="35">
        <f>'Interruptible Forecast'!AK27</f>
        <v>273</v>
      </c>
      <c r="F489" s="35">
        <f>'Interruptible Forecast'!AL27</f>
        <v>271</v>
      </c>
      <c r="G489" s="35">
        <f>'Interruptible Forecast'!AM27</f>
        <v>256</v>
      </c>
      <c r="H489" s="35">
        <f>'Interruptible Forecast'!AN27</f>
        <v>262</v>
      </c>
      <c r="I489" s="35">
        <f>'Interruptible Forecast'!AO27</f>
        <v>250</v>
      </c>
      <c r="J489" s="35">
        <f>'Interruptible Forecast'!AP27</f>
        <v>255</v>
      </c>
      <c r="K489" s="35">
        <f>'Interruptible Forecast'!AQ27</f>
        <v>239</v>
      </c>
      <c r="L489" s="35">
        <f>'Interruptible Forecast'!AR27</f>
        <v>243</v>
      </c>
      <c r="M489" s="35">
        <f>'Interruptible Forecast'!AS27</f>
        <v>226</v>
      </c>
      <c r="N489" s="34">
        <f t="shared" si="417"/>
        <v>3006</v>
      </c>
      <c r="O489" s="25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P489" s="25"/>
      <c r="AQ489" s="36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</row>
    <row r="490" spans="1:56">
      <c r="A490" s="2">
        <f t="shared" si="416"/>
        <v>2017</v>
      </c>
      <c r="B490" s="35">
        <f>'Interruptible Forecast'!AH28</f>
        <v>233</v>
      </c>
      <c r="C490" s="35">
        <f>'Interruptible Forecast'!AI28</f>
        <v>251</v>
      </c>
      <c r="D490" s="35">
        <f>'Interruptible Forecast'!AJ28</f>
        <v>249</v>
      </c>
      <c r="E490" s="35">
        <f>'Interruptible Forecast'!AK28</f>
        <v>274</v>
      </c>
      <c r="F490" s="35">
        <f>'Interruptible Forecast'!AL28</f>
        <v>272</v>
      </c>
      <c r="G490" s="35">
        <f>'Interruptible Forecast'!AM28</f>
        <v>257</v>
      </c>
      <c r="H490" s="35">
        <f>'Interruptible Forecast'!AN28</f>
        <v>263</v>
      </c>
      <c r="I490" s="35">
        <f>'Interruptible Forecast'!AO28</f>
        <v>251</v>
      </c>
      <c r="J490" s="35">
        <f>'Interruptible Forecast'!AP28</f>
        <v>256</v>
      </c>
      <c r="K490" s="35">
        <f>'Interruptible Forecast'!AQ28</f>
        <v>240</v>
      </c>
      <c r="L490" s="35">
        <f>'Interruptible Forecast'!AR28</f>
        <v>244</v>
      </c>
      <c r="M490" s="35">
        <f>'Interruptible Forecast'!AS28</f>
        <v>226</v>
      </c>
      <c r="N490" s="34">
        <f t="shared" si="417"/>
        <v>3016</v>
      </c>
      <c r="O490" s="25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P490" s="25"/>
      <c r="AQ490" s="3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</row>
    <row r="491" spans="1:56">
      <c r="A491" s="2">
        <f t="shared" si="416"/>
        <v>2018</v>
      </c>
      <c r="B491" s="35">
        <f>'Interruptible Forecast'!AH29</f>
        <v>240</v>
      </c>
      <c r="C491" s="35">
        <f>'Interruptible Forecast'!AI29</f>
        <v>258</v>
      </c>
      <c r="D491" s="35">
        <f>'Interruptible Forecast'!AJ29</f>
        <v>256</v>
      </c>
      <c r="E491" s="35">
        <f>'Interruptible Forecast'!AK29</f>
        <v>282</v>
      </c>
      <c r="F491" s="35">
        <f>'Interruptible Forecast'!AL29</f>
        <v>280</v>
      </c>
      <c r="G491" s="35">
        <f>'Interruptible Forecast'!AM29</f>
        <v>265</v>
      </c>
      <c r="H491" s="35">
        <f>'Interruptible Forecast'!AN29</f>
        <v>271</v>
      </c>
      <c r="I491" s="35">
        <f>'Interruptible Forecast'!AO29</f>
        <v>258</v>
      </c>
      <c r="J491" s="35">
        <f>'Interruptible Forecast'!AP29</f>
        <v>263</v>
      </c>
      <c r="K491" s="35">
        <f>'Interruptible Forecast'!AQ29</f>
        <v>247</v>
      </c>
      <c r="L491" s="35">
        <f>'Interruptible Forecast'!AR29</f>
        <v>251</v>
      </c>
      <c r="M491" s="35">
        <f>'Interruptible Forecast'!AS29</f>
        <v>233</v>
      </c>
      <c r="N491" s="34">
        <f t="shared" si="417"/>
        <v>3104</v>
      </c>
      <c r="O491" s="25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1"/>
      <c r="AA491" s="191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P491" s="25"/>
      <c r="AQ491" s="3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</row>
    <row r="492" spans="1:56">
      <c r="A492" s="2">
        <f t="shared" si="416"/>
        <v>2019</v>
      </c>
      <c r="B492" s="35">
        <f>'Interruptible Forecast'!AH30</f>
        <v>283</v>
      </c>
      <c r="C492" s="35">
        <f>'Interruptible Forecast'!AI30</f>
        <v>304</v>
      </c>
      <c r="D492" s="35">
        <f>'Interruptible Forecast'!AJ30</f>
        <v>302</v>
      </c>
      <c r="E492" s="35">
        <f>'Interruptible Forecast'!AK30</f>
        <v>333</v>
      </c>
      <c r="F492" s="35">
        <f>'Interruptible Forecast'!AL30</f>
        <v>330</v>
      </c>
      <c r="G492" s="35">
        <f>'Interruptible Forecast'!AM30</f>
        <v>312</v>
      </c>
      <c r="H492" s="35">
        <f>'Interruptible Forecast'!AN30</f>
        <v>320</v>
      </c>
      <c r="I492" s="35">
        <f>'Interruptible Forecast'!AO30</f>
        <v>305</v>
      </c>
      <c r="J492" s="35">
        <f>'Interruptible Forecast'!AP30</f>
        <v>311</v>
      </c>
      <c r="K492" s="35">
        <f>'Interruptible Forecast'!AQ30</f>
        <v>292</v>
      </c>
      <c r="L492" s="35">
        <f>'Interruptible Forecast'!AR30</f>
        <v>296</v>
      </c>
      <c r="M492" s="35">
        <f>'Interruptible Forecast'!AS30</f>
        <v>275</v>
      </c>
      <c r="N492" s="34">
        <f t="shared" si="417"/>
        <v>3663</v>
      </c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P492" s="25"/>
      <c r="AQ492" s="3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</row>
    <row r="493" spans="1:56">
      <c r="A493" s="2">
        <f t="shared" si="416"/>
        <v>2020</v>
      </c>
      <c r="B493" s="35">
        <f>'Interruptible Forecast'!AH31</f>
        <v>304</v>
      </c>
      <c r="C493" s="35">
        <f>'Interruptible Forecast'!AI31</f>
        <v>327</v>
      </c>
      <c r="D493" s="35">
        <f>'Interruptible Forecast'!AJ31</f>
        <v>324</v>
      </c>
      <c r="E493" s="35">
        <f>'Interruptible Forecast'!AK31</f>
        <v>358</v>
      </c>
      <c r="F493" s="35">
        <f>'Interruptible Forecast'!AL31</f>
        <v>354</v>
      </c>
      <c r="G493" s="35">
        <f>'Interruptible Forecast'!AM31</f>
        <v>335</v>
      </c>
      <c r="H493" s="35">
        <f>'Interruptible Forecast'!AN31</f>
        <v>343</v>
      </c>
      <c r="I493" s="35">
        <f>'Interruptible Forecast'!AO31</f>
        <v>327</v>
      </c>
      <c r="J493" s="35">
        <f>'Interruptible Forecast'!AP31</f>
        <v>333</v>
      </c>
      <c r="K493" s="35">
        <f>'Interruptible Forecast'!AQ31</f>
        <v>313</v>
      </c>
      <c r="L493" s="35">
        <f>'Interruptible Forecast'!AR31</f>
        <v>318</v>
      </c>
      <c r="M493" s="35">
        <f>'Interruptible Forecast'!AS31</f>
        <v>295</v>
      </c>
      <c r="N493" s="34">
        <f t="shared" si="417"/>
        <v>3931</v>
      </c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P493" s="25"/>
      <c r="AQ493" s="3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</row>
    <row r="494" spans="1:56">
      <c r="A494" s="2">
        <f t="shared" si="416"/>
        <v>2021</v>
      </c>
      <c r="B494" s="35">
        <f>'Interruptible Forecast'!AH32</f>
        <v>305</v>
      </c>
      <c r="C494" s="35">
        <f>'Interruptible Forecast'!AI32</f>
        <v>328</v>
      </c>
      <c r="D494" s="35">
        <f>'Interruptible Forecast'!AJ32</f>
        <v>325</v>
      </c>
      <c r="E494" s="35">
        <f>'Interruptible Forecast'!AK32</f>
        <v>359</v>
      </c>
      <c r="F494" s="35">
        <f>'Interruptible Forecast'!AL32</f>
        <v>355</v>
      </c>
      <c r="G494" s="35">
        <f>'Interruptible Forecast'!AM32</f>
        <v>336</v>
      </c>
      <c r="H494" s="35">
        <f>'Interruptible Forecast'!AN32</f>
        <v>344</v>
      </c>
      <c r="I494" s="35">
        <f>'Interruptible Forecast'!AO32</f>
        <v>328</v>
      </c>
      <c r="J494" s="35">
        <f>'Interruptible Forecast'!AP32</f>
        <v>334</v>
      </c>
      <c r="K494" s="35">
        <f>'Interruptible Forecast'!AQ32</f>
        <v>314</v>
      </c>
      <c r="L494" s="35">
        <f>'Interruptible Forecast'!AR32</f>
        <v>319</v>
      </c>
      <c r="M494" s="35">
        <f>'Interruptible Forecast'!AS32</f>
        <v>296</v>
      </c>
      <c r="N494" s="34">
        <f t="shared" si="417"/>
        <v>3943</v>
      </c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P494" s="25"/>
      <c r="AQ494" s="3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</row>
    <row r="495" spans="1:56">
      <c r="A495" s="2">
        <f t="shared" si="416"/>
        <v>2022</v>
      </c>
      <c r="B495" s="35">
        <f>'Interruptible Forecast'!AH33</f>
        <v>305</v>
      </c>
      <c r="C495" s="35">
        <f>'Interruptible Forecast'!AI33</f>
        <v>328</v>
      </c>
      <c r="D495" s="35">
        <f>'Interruptible Forecast'!AJ33</f>
        <v>325</v>
      </c>
      <c r="E495" s="35">
        <f>'Interruptible Forecast'!AK33</f>
        <v>359</v>
      </c>
      <c r="F495" s="35">
        <f>'Interruptible Forecast'!AL33</f>
        <v>355</v>
      </c>
      <c r="G495" s="35">
        <f>'Interruptible Forecast'!AM33</f>
        <v>336</v>
      </c>
      <c r="H495" s="35">
        <f>'Interruptible Forecast'!AN33</f>
        <v>344</v>
      </c>
      <c r="I495" s="35">
        <f>'Interruptible Forecast'!AO33</f>
        <v>328</v>
      </c>
      <c r="J495" s="35">
        <f>'Interruptible Forecast'!AP33</f>
        <v>334</v>
      </c>
      <c r="K495" s="35">
        <f>'Interruptible Forecast'!AQ33</f>
        <v>314</v>
      </c>
      <c r="L495" s="35">
        <f>'Interruptible Forecast'!AR33</f>
        <v>319</v>
      </c>
      <c r="M495" s="35">
        <f>'Interruptible Forecast'!AS33</f>
        <v>296</v>
      </c>
      <c r="N495" s="34">
        <f t="shared" si="417"/>
        <v>3943</v>
      </c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P495" s="25"/>
      <c r="AQ495" s="3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</row>
    <row r="496" spans="1:56">
      <c r="A496" s="2">
        <f t="shared" si="416"/>
        <v>2023</v>
      </c>
      <c r="B496" s="35">
        <f>'Interruptible Forecast'!AH34</f>
        <v>305</v>
      </c>
      <c r="C496" s="35">
        <f>'Interruptible Forecast'!AI34</f>
        <v>328</v>
      </c>
      <c r="D496" s="35">
        <f>'Interruptible Forecast'!AJ34</f>
        <v>325</v>
      </c>
      <c r="E496" s="35">
        <f>'Interruptible Forecast'!AK34</f>
        <v>359</v>
      </c>
      <c r="F496" s="35">
        <f>'Interruptible Forecast'!AL34</f>
        <v>355</v>
      </c>
      <c r="G496" s="35">
        <f>'Interruptible Forecast'!AM34</f>
        <v>336</v>
      </c>
      <c r="H496" s="35">
        <f>'Interruptible Forecast'!AN34</f>
        <v>344</v>
      </c>
      <c r="I496" s="35">
        <f>'Interruptible Forecast'!AO34</f>
        <v>328</v>
      </c>
      <c r="J496" s="35">
        <f>'Interruptible Forecast'!AP34</f>
        <v>334</v>
      </c>
      <c r="K496" s="35">
        <f>'Interruptible Forecast'!AQ34</f>
        <v>314</v>
      </c>
      <c r="L496" s="35">
        <f>'Interruptible Forecast'!AR34</f>
        <v>319</v>
      </c>
      <c r="M496" s="35">
        <f>'Interruptible Forecast'!AS34</f>
        <v>296</v>
      </c>
      <c r="N496" s="34">
        <f t="shared" si="417"/>
        <v>3943</v>
      </c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P496" s="25"/>
      <c r="AQ496" s="3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</row>
    <row r="497" spans="1:56">
      <c r="A497" s="2">
        <f t="shared" si="416"/>
        <v>2024</v>
      </c>
      <c r="B497" s="35">
        <f>'Interruptible Forecast'!AH35</f>
        <v>304</v>
      </c>
      <c r="C497" s="35">
        <f>'Interruptible Forecast'!AI35</f>
        <v>327</v>
      </c>
      <c r="D497" s="35">
        <f>'Interruptible Forecast'!AJ35</f>
        <v>324</v>
      </c>
      <c r="E497" s="35">
        <f>'Interruptible Forecast'!AK35</f>
        <v>358</v>
      </c>
      <c r="F497" s="35">
        <f>'Interruptible Forecast'!AL35</f>
        <v>354</v>
      </c>
      <c r="G497" s="35">
        <f>'Interruptible Forecast'!AM35</f>
        <v>335</v>
      </c>
      <c r="H497" s="35">
        <f>'Interruptible Forecast'!AN35</f>
        <v>343</v>
      </c>
      <c r="I497" s="35">
        <f>'Interruptible Forecast'!AO35</f>
        <v>327</v>
      </c>
      <c r="J497" s="35">
        <f>'Interruptible Forecast'!AP35</f>
        <v>333</v>
      </c>
      <c r="K497" s="35">
        <f>'Interruptible Forecast'!AQ35</f>
        <v>313</v>
      </c>
      <c r="L497" s="35">
        <f>'Interruptible Forecast'!AR35</f>
        <v>318</v>
      </c>
      <c r="M497" s="35">
        <f>'Interruptible Forecast'!AS35</f>
        <v>295</v>
      </c>
      <c r="N497" s="34">
        <f t="shared" si="417"/>
        <v>3931</v>
      </c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1"/>
      <c r="AA497" s="191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P497" s="25"/>
      <c r="AQ497" s="3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</row>
    <row r="498" spans="1:56">
      <c r="A498" s="2">
        <f t="shared" si="416"/>
        <v>2025</v>
      </c>
      <c r="B498" s="35">
        <f>'Interruptible Forecast'!AH36</f>
        <v>305</v>
      </c>
      <c r="C498" s="35">
        <f>'Interruptible Forecast'!AI36</f>
        <v>328</v>
      </c>
      <c r="D498" s="35">
        <f>'Interruptible Forecast'!AJ36</f>
        <v>325</v>
      </c>
      <c r="E498" s="35">
        <f>'Interruptible Forecast'!AK36</f>
        <v>359</v>
      </c>
      <c r="F498" s="35">
        <f>'Interruptible Forecast'!AL36</f>
        <v>355</v>
      </c>
      <c r="G498" s="35">
        <f>'Interruptible Forecast'!AM36</f>
        <v>336</v>
      </c>
      <c r="H498" s="35">
        <f>'Interruptible Forecast'!AN36</f>
        <v>344</v>
      </c>
      <c r="I498" s="35">
        <f>'Interruptible Forecast'!AO36</f>
        <v>328</v>
      </c>
      <c r="J498" s="35">
        <f>'Interruptible Forecast'!AP36</f>
        <v>334</v>
      </c>
      <c r="K498" s="35">
        <f>'Interruptible Forecast'!AQ36</f>
        <v>314</v>
      </c>
      <c r="L498" s="35">
        <f>'Interruptible Forecast'!AR36</f>
        <v>319</v>
      </c>
      <c r="M498" s="35">
        <f>'Interruptible Forecast'!AS36</f>
        <v>296</v>
      </c>
      <c r="N498" s="34">
        <f t="shared" si="417"/>
        <v>3943</v>
      </c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1"/>
      <c r="AA498" s="191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P498" s="25"/>
      <c r="AQ498" s="3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</row>
    <row r="499" spans="1:56">
      <c r="A499" s="426">
        <f t="shared" ref="A499:A518" si="418">A498+1</f>
        <v>2026</v>
      </c>
      <c r="B499" s="35">
        <f>'Interruptible Forecast'!AH37</f>
        <v>305</v>
      </c>
      <c r="C499" s="35">
        <f>'Interruptible Forecast'!AI37</f>
        <v>328</v>
      </c>
      <c r="D499" s="35">
        <f>'Interruptible Forecast'!AJ37</f>
        <v>325</v>
      </c>
      <c r="E499" s="35">
        <f>'Interruptible Forecast'!AK37</f>
        <v>359</v>
      </c>
      <c r="F499" s="35">
        <f>'Interruptible Forecast'!AL37</f>
        <v>355</v>
      </c>
      <c r="G499" s="35">
        <f>'Interruptible Forecast'!AM37</f>
        <v>336</v>
      </c>
      <c r="H499" s="35">
        <f>'Interruptible Forecast'!AN37</f>
        <v>344</v>
      </c>
      <c r="I499" s="35">
        <f>'Interruptible Forecast'!AO37</f>
        <v>328</v>
      </c>
      <c r="J499" s="35">
        <f>'Interruptible Forecast'!AP37</f>
        <v>334</v>
      </c>
      <c r="K499" s="35">
        <f>'Interruptible Forecast'!AQ37</f>
        <v>314</v>
      </c>
      <c r="L499" s="35">
        <f>'Interruptible Forecast'!AR37</f>
        <v>319</v>
      </c>
      <c r="M499" s="35">
        <f>'Interruptible Forecast'!AS37</f>
        <v>296</v>
      </c>
      <c r="N499" s="34">
        <f t="shared" si="417"/>
        <v>3943</v>
      </c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1"/>
      <c r="AA499" s="191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P499" s="25"/>
      <c r="AQ499" s="3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</row>
    <row r="500" spans="1:56">
      <c r="A500" s="426">
        <f t="shared" si="418"/>
        <v>2027</v>
      </c>
      <c r="B500" s="35">
        <f>'Interruptible Forecast'!AH38</f>
        <v>305</v>
      </c>
      <c r="C500" s="35">
        <f>'Interruptible Forecast'!AI38</f>
        <v>328</v>
      </c>
      <c r="D500" s="35">
        <f>'Interruptible Forecast'!AJ38</f>
        <v>325</v>
      </c>
      <c r="E500" s="35">
        <f>'Interruptible Forecast'!AK38</f>
        <v>359</v>
      </c>
      <c r="F500" s="35">
        <f>'Interruptible Forecast'!AL38</f>
        <v>355</v>
      </c>
      <c r="G500" s="35">
        <f>'Interruptible Forecast'!AM38</f>
        <v>336</v>
      </c>
      <c r="H500" s="35">
        <f>'Interruptible Forecast'!AN38</f>
        <v>344</v>
      </c>
      <c r="I500" s="35">
        <f>'Interruptible Forecast'!AO38</f>
        <v>328</v>
      </c>
      <c r="J500" s="35">
        <f>'Interruptible Forecast'!AP38</f>
        <v>334</v>
      </c>
      <c r="K500" s="35">
        <f>'Interruptible Forecast'!AQ38</f>
        <v>314</v>
      </c>
      <c r="L500" s="35">
        <f>'Interruptible Forecast'!AR38</f>
        <v>319</v>
      </c>
      <c r="M500" s="35">
        <f>'Interruptible Forecast'!AS38</f>
        <v>296</v>
      </c>
      <c r="N500" s="34">
        <f t="shared" si="417"/>
        <v>3943</v>
      </c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P500" s="25"/>
      <c r="AQ500" s="3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</row>
    <row r="501" spans="1:56">
      <c r="A501" s="426">
        <f t="shared" si="418"/>
        <v>2028</v>
      </c>
      <c r="B501" s="35">
        <f>'Interruptible Forecast'!AH39</f>
        <v>304</v>
      </c>
      <c r="C501" s="35">
        <f>'Interruptible Forecast'!AI39</f>
        <v>327</v>
      </c>
      <c r="D501" s="35">
        <f>'Interruptible Forecast'!AJ39</f>
        <v>324</v>
      </c>
      <c r="E501" s="35">
        <f>'Interruptible Forecast'!AK39</f>
        <v>358</v>
      </c>
      <c r="F501" s="35">
        <f>'Interruptible Forecast'!AL39</f>
        <v>354</v>
      </c>
      <c r="G501" s="35">
        <f>'Interruptible Forecast'!AM39</f>
        <v>335</v>
      </c>
      <c r="H501" s="35">
        <f>'Interruptible Forecast'!AN39</f>
        <v>343</v>
      </c>
      <c r="I501" s="35">
        <f>'Interruptible Forecast'!AO39</f>
        <v>327</v>
      </c>
      <c r="J501" s="35">
        <f>'Interruptible Forecast'!AP39</f>
        <v>333</v>
      </c>
      <c r="K501" s="35">
        <f>'Interruptible Forecast'!AQ39</f>
        <v>313</v>
      </c>
      <c r="L501" s="35">
        <f>'Interruptible Forecast'!AR39</f>
        <v>318</v>
      </c>
      <c r="M501" s="35">
        <f>'Interruptible Forecast'!AS39</f>
        <v>295</v>
      </c>
      <c r="N501" s="34">
        <f t="shared" si="417"/>
        <v>3931</v>
      </c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P501" s="25"/>
      <c r="AQ501" s="3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</row>
    <row r="502" spans="1:56">
      <c r="A502" s="426">
        <f t="shared" si="418"/>
        <v>2029</v>
      </c>
      <c r="B502" s="35">
        <f>'Interruptible Forecast'!AH40</f>
        <v>305</v>
      </c>
      <c r="C502" s="35">
        <f>'Interruptible Forecast'!AI40</f>
        <v>328</v>
      </c>
      <c r="D502" s="35">
        <f>'Interruptible Forecast'!AJ40</f>
        <v>325</v>
      </c>
      <c r="E502" s="35">
        <f>'Interruptible Forecast'!AK40</f>
        <v>359</v>
      </c>
      <c r="F502" s="35">
        <f>'Interruptible Forecast'!AL40</f>
        <v>355</v>
      </c>
      <c r="G502" s="35">
        <f>'Interruptible Forecast'!AM40</f>
        <v>336</v>
      </c>
      <c r="H502" s="35">
        <f>'Interruptible Forecast'!AN40</f>
        <v>344</v>
      </c>
      <c r="I502" s="35">
        <f>'Interruptible Forecast'!AO40</f>
        <v>328</v>
      </c>
      <c r="J502" s="35">
        <f>'Interruptible Forecast'!AP40</f>
        <v>334</v>
      </c>
      <c r="K502" s="35">
        <f>'Interruptible Forecast'!AQ40</f>
        <v>314</v>
      </c>
      <c r="L502" s="35">
        <f>'Interruptible Forecast'!AR40</f>
        <v>319</v>
      </c>
      <c r="M502" s="35">
        <f>'Interruptible Forecast'!AS40</f>
        <v>296</v>
      </c>
      <c r="N502" s="34">
        <f t="shared" si="417"/>
        <v>3943</v>
      </c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1"/>
      <c r="AA502" s="191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P502" s="25"/>
      <c r="AQ502" s="3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</row>
    <row r="503" spans="1:56">
      <c r="A503" s="426">
        <f t="shared" si="418"/>
        <v>2030</v>
      </c>
      <c r="B503" s="35">
        <f>'Interruptible Forecast'!AH41</f>
        <v>305</v>
      </c>
      <c r="C503" s="35">
        <f>'Interruptible Forecast'!AI41</f>
        <v>328</v>
      </c>
      <c r="D503" s="35">
        <f>'Interruptible Forecast'!AJ41</f>
        <v>325</v>
      </c>
      <c r="E503" s="35">
        <f>'Interruptible Forecast'!AK41</f>
        <v>359</v>
      </c>
      <c r="F503" s="35">
        <f>'Interruptible Forecast'!AL41</f>
        <v>355</v>
      </c>
      <c r="G503" s="35">
        <f>'Interruptible Forecast'!AM41</f>
        <v>336</v>
      </c>
      <c r="H503" s="35">
        <f>'Interruptible Forecast'!AN41</f>
        <v>344</v>
      </c>
      <c r="I503" s="35">
        <f>'Interruptible Forecast'!AO41</f>
        <v>328</v>
      </c>
      <c r="J503" s="35">
        <f>'Interruptible Forecast'!AP41</f>
        <v>334</v>
      </c>
      <c r="K503" s="35">
        <f>'Interruptible Forecast'!AQ41</f>
        <v>314</v>
      </c>
      <c r="L503" s="35">
        <f>'Interruptible Forecast'!AR41</f>
        <v>319</v>
      </c>
      <c r="M503" s="35">
        <f>'Interruptible Forecast'!AS41</f>
        <v>296</v>
      </c>
      <c r="N503" s="34">
        <f t="shared" si="417"/>
        <v>3943</v>
      </c>
      <c r="P503" s="191"/>
      <c r="Q503" s="191"/>
      <c r="R503" s="191"/>
      <c r="S503" s="191"/>
      <c r="T503" s="191"/>
      <c r="U503" s="191"/>
      <c r="V503" s="191"/>
      <c r="W503" s="191"/>
      <c r="X503" s="191"/>
      <c r="Y503" s="191"/>
      <c r="Z503" s="191"/>
      <c r="AA503" s="191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P503" s="25"/>
      <c r="AQ503" s="3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</row>
    <row r="504" spans="1:56">
      <c r="A504" s="426">
        <f t="shared" si="418"/>
        <v>2031</v>
      </c>
      <c r="B504" s="35">
        <f>'Interruptible Forecast'!AH42</f>
        <v>290</v>
      </c>
      <c r="C504" s="35">
        <f>'Interruptible Forecast'!AI42</f>
        <v>311</v>
      </c>
      <c r="D504" s="35">
        <f>'Interruptible Forecast'!AJ42</f>
        <v>309</v>
      </c>
      <c r="E504" s="35">
        <f>'Interruptible Forecast'!AK42</f>
        <v>341</v>
      </c>
      <c r="F504" s="35">
        <f>'Interruptible Forecast'!AL42</f>
        <v>338</v>
      </c>
      <c r="G504" s="35">
        <f>'Interruptible Forecast'!AM42</f>
        <v>320</v>
      </c>
      <c r="H504" s="35">
        <f>'Interruptible Forecast'!AN42</f>
        <v>327</v>
      </c>
      <c r="I504" s="35">
        <f>'Interruptible Forecast'!AO42</f>
        <v>312</v>
      </c>
      <c r="J504" s="35">
        <f>'Interruptible Forecast'!AP42</f>
        <v>318</v>
      </c>
      <c r="K504" s="35">
        <f>'Interruptible Forecast'!AQ42</f>
        <v>299</v>
      </c>
      <c r="L504" s="35">
        <f>'Interruptible Forecast'!AR42</f>
        <v>303</v>
      </c>
      <c r="M504" s="35">
        <f>'Interruptible Forecast'!AS42</f>
        <v>281</v>
      </c>
      <c r="N504" s="34">
        <f t="shared" si="417"/>
        <v>3749</v>
      </c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1"/>
      <c r="AA504" s="191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P504" s="25"/>
      <c r="AQ504" s="3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</row>
    <row r="505" spans="1:56">
      <c r="A505" s="426">
        <f t="shared" si="418"/>
        <v>2032</v>
      </c>
      <c r="B505" s="35">
        <f>'Interruptible Forecast'!AH43</f>
        <v>276</v>
      </c>
      <c r="C505" s="35">
        <f>'Interruptible Forecast'!AI43</f>
        <v>296</v>
      </c>
      <c r="D505" s="35">
        <f>'Interruptible Forecast'!AJ43</f>
        <v>294</v>
      </c>
      <c r="E505" s="35">
        <f>'Interruptible Forecast'!AK43</f>
        <v>324</v>
      </c>
      <c r="F505" s="35">
        <f>'Interruptible Forecast'!AL43</f>
        <v>321</v>
      </c>
      <c r="G505" s="35">
        <f>'Interruptible Forecast'!AM43</f>
        <v>304</v>
      </c>
      <c r="H505" s="35">
        <f>'Interruptible Forecast'!AN43</f>
        <v>311</v>
      </c>
      <c r="I505" s="35">
        <f>'Interruptible Forecast'!AO43</f>
        <v>297</v>
      </c>
      <c r="J505" s="35">
        <f>'Interruptible Forecast'!AP43</f>
        <v>302</v>
      </c>
      <c r="K505" s="35">
        <f>'Interruptible Forecast'!AQ43</f>
        <v>284</v>
      </c>
      <c r="L505" s="35">
        <f>'Interruptible Forecast'!AR43</f>
        <v>288</v>
      </c>
      <c r="M505" s="35">
        <f>'Interruptible Forecast'!AS43</f>
        <v>268</v>
      </c>
      <c r="N505" s="34">
        <f t="shared" si="417"/>
        <v>3565</v>
      </c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1"/>
      <c r="AA505" s="191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P505" s="25"/>
      <c r="AQ505" s="3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</row>
    <row r="506" spans="1:56">
      <c r="A506" s="426">
        <f t="shared" si="418"/>
        <v>2033</v>
      </c>
      <c r="B506" s="35">
        <f>'Interruptible Forecast'!AH44</f>
        <v>276</v>
      </c>
      <c r="C506" s="35">
        <f>'Interruptible Forecast'!AI44</f>
        <v>296</v>
      </c>
      <c r="D506" s="35">
        <f>'Interruptible Forecast'!AJ44</f>
        <v>294</v>
      </c>
      <c r="E506" s="35">
        <f>'Interruptible Forecast'!AK44</f>
        <v>324</v>
      </c>
      <c r="F506" s="35">
        <f>'Interruptible Forecast'!AL44</f>
        <v>321</v>
      </c>
      <c r="G506" s="35">
        <f>'Interruptible Forecast'!AM44</f>
        <v>304</v>
      </c>
      <c r="H506" s="35">
        <f>'Interruptible Forecast'!AN44</f>
        <v>311</v>
      </c>
      <c r="I506" s="35">
        <f>'Interruptible Forecast'!AO44</f>
        <v>297</v>
      </c>
      <c r="J506" s="35">
        <f>'Interruptible Forecast'!AP44</f>
        <v>302</v>
      </c>
      <c r="K506" s="35">
        <f>'Interruptible Forecast'!AQ44</f>
        <v>284</v>
      </c>
      <c r="L506" s="35">
        <f>'Interruptible Forecast'!AR44</f>
        <v>288</v>
      </c>
      <c r="M506" s="35">
        <f>'Interruptible Forecast'!AS44</f>
        <v>268</v>
      </c>
      <c r="N506" s="34">
        <f t="shared" si="417"/>
        <v>3565</v>
      </c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P506" s="25"/>
      <c r="AQ506" s="3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</row>
    <row r="507" spans="1:56">
      <c r="A507" s="426">
        <f t="shared" si="418"/>
        <v>2034</v>
      </c>
      <c r="B507" s="35">
        <f>'Interruptible Forecast'!AH45</f>
        <v>276</v>
      </c>
      <c r="C507" s="35">
        <f>'Interruptible Forecast'!AI45</f>
        <v>296</v>
      </c>
      <c r="D507" s="35">
        <f>'Interruptible Forecast'!AJ45</f>
        <v>294</v>
      </c>
      <c r="E507" s="35">
        <f>'Interruptible Forecast'!AK45</f>
        <v>324</v>
      </c>
      <c r="F507" s="35">
        <f>'Interruptible Forecast'!AL45</f>
        <v>321</v>
      </c>
      <c r="G507" s="35">
        <f>'Interruptible Forecast'!AM45</f>
        <v>304</v>
      </c>
      <c r="H507" s="35">
        <f>'Interruptible Forecast'!AN45</f>
        <v>311</v>
      </c>
      <c r="I507" s="35">
        <f>'Interruptible Forecast'!AO45</f>
        <v>297</v>
      </c>
      <c r="J507" s="35">
        <f>'Interruptible Forecast'!AP45</f>
        <v>302</v>
      </c>
      <c r="K507" s="35">
        <f>'Interruptible Forecast'!AQ45</f>
        <v>284</v>
      </c>
      <c r="L507" s="35">
        <f>'Interruptible Forecast'!AR45</f>
        <v>288</v>
      </c>
      <c r="M507" s="35">
        <f>'Interruptible Forecast'!AS45</f>
        <v>268</v>
      </c>
      <c r="N507" s="34">
        <f t="shared" si="417"/>
        <v>3565</v>
      </c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P507" s="25"/>
      <c r="AQ507" s="3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</row>
    <row r="508" spans="1:56">
      <c r="A508" s="426">
        <f t="shared" si="418"/>
        <v>2035</v>
      </c>
      <c r="B508" s="35">
        <f>'Interruptible Forecast'!AH46</f>
        <v>276</v>
      </c>
      <c r="C508" s="35">
        <f>'Interruptible Forecast'!AI46</f>
        <v>296</v>
      </c>
      <c r="D508" s="35">
        <f>'Interruptible Forecast'!AJ46</f>
        <v>294</v>
      </c>
      <c r="E508" s="35">
        <f>'Interruptible Forecast'!AK46</f>
        <v>324</v>
      </c>
      <c r="F508" s="35">
        <f>'Interruptible Forecast'!AL46</f>
        <v>321</v>
      </c>
      <c r="G508" s="35">
        <f>'Interruptible Forecast'!AM46</f>
        <v>304</v>
      </c>
      <c r="H508" s="35">
        <f>'Interruptible Forecast'!AN46</f>
        <v>311</v>
      </c>
      <c r="I508" s="35">
        <f>'Interruptible Forecast'!AO46</f>
        <v>297</v>
      </c>
      <c r="J508" s="35">
        <f>'Interruptible Forecast'!AP46</f>
        <v>302</v>
      </c>
      <c r="K508" s="35">
        <f>'Interruptible Forecast'!AQ46</f>
        <v>284</v>
      </c>
      <c r="L508" s="35">
        <f>'Interruptible Forecast'!AR46</f>
        <v>288</v>
      </c>
      <c r="M508" s="35">
        <f>'Interruptible Forecast'!AS46</f>
        <v>268</v>
      </c>
      <c r="N508" s="34">
        <f t="shared" si="417"/>
        <v>3565</v>
      </c>
      <c r="P508" s="191"/>
      <c r="Q508" s="191"/>
      <c r="R508" s="191"/>
      <c r="S508" s="191"/>
      <c r="T508" s="191"/>
      <c r="U508" s="191"/>
      <c r="V508" s="191"/>
      <c r="W508" s="191"/>
      <c r="X508" s="191"/>
      <c r="Y508" s="191"/>
      <c r="Z508" s="191"/>
      <c r="AA508" s="191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P508" s="25"/>
      <c r="AQ508" s="36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</row>
    <row r="509" spans="1:56">
      <c r="A509" s="426">
        <f t="shared" si="418"/>
        <v>2036</v>
      </c>
      <c r="B509" s="35">
        <f>'Interruptible Forecast'!AH47</f>
        <v>276</v>
      </c>
      <c r="C509" s="35">
        <f>'Interruptible Forecast'!AI47</f>
        <v>296</v>
      </c>
      <c r="D509" s="35">
        <f>'Interruptible Forecast'!AJ47</f>
        <v>294</v>
      </c>
      <c r="E509" s="35">
        <f>'Interruptible Forecast'!AK47</f>
        <v>324</v>
      </c>
      <c r="F509" s="35">
        <f>'Interruptible Forecast'!AL47</f>
        <v>321</v>
      </c>
      <c r="G509" s="35">
        <f>'Interruptible Forecast'!AM47</f>
        <v>304</v>
      </c>
      <c r="H509" s="35">
        <f>'Interruptible Forecast'!AN47</f>
        <v>311</v>
      </c>
      <c r="I509" s="35">
        <f>'Interruptible Forecast'!AO47</f>
        <v>297</v>
      </c>
      <c r="J509" s="35">
        <f>'Interruptible Forecast'!AP47</f>
        <v>302</v>
      </c>
      <c r="K509" s="35">
        <f>'Interruptible Forecast'!AQ47</f>
        <v>284</v>
      </c>
      <c r="L509" s="35">
        <f>'Interruptible Forecast'!AR47</f>
        <v>288</v>
      </c>
      <c r="M509" s="35">
        <f>'Interruptible Forecast'!AS47</f>
        <v>268</v>
      </c>
      <c r="N509" s="34">
        <f t="shared" si="417"/>
        <v>3565</v>
      </c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P509" s="25"/>
      <c r="AQ509" s="36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</row>
    <row r="510" spans="1:56">
      <c r="A510" s="426">
        <f t="shared" si="418"/>
        <v>2037</v>
      </c>
      <c r="B510" s="35">
        <f>'Interruptible Forecast'!AH48</f>
        <v>276</v>
      </c>
      <c r="C510" s="35">
        <f>'Interruptible Forecast'!AI48</f>
        <v>296</v>
      </c>
      <c r="D510" s="35">
        <f>'Interruptible Forecast'!AJ48</f>
        <v>294</v>
      </c>
      <c r="E510" s="35">
        <f>'Interruptible Forecast'!AK48</f>
        <v>324</v>
      </c>
      <c r="F510" s="35">
        <f>'Interruptible Forecast'!AL48</f>
        <v>321</v>
      </c>
      <c r="G510" s="35">
        <f>'Interruptible Forecast'!AM48</f>
        <v>304</v>
      </c>
      <c r="H510" s="35">
        <f>'Interruptible Forecast'!AN48</f>
        <v>311</v>
      </c>
      <c r="I510" s="35">
        <f>'Interruptible Forecast'!AO48</f>
        <v>297</v>
      </c>
      <c r="J510" s="35">
        <f>'Interruptible Forecast'!AP48</f>
        <v>302</v>
      </c>
      <c r="K510" s="35">
        <f>'Interruptible Forecast'!AQ48</f>
        <v>284</v>
      </c>
      <c r="L510" s="35">
        <f>'Interruptible Forecast'!AR48</f>
        <v>288</v>
      </c>
      <c r="M510" s="35">
        <f>'Interruptible Forecast'!AS48</f>
        <v>268</v>
      </c>
      <c r="N510" s="34">
        <f t="shared" si="417"/>
        <v>3565</v>
      </c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1"/>
      <c r="AA510" s="191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P510" s="25"/>
      <c r="AQ510" s="36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</row>
    <row r="511" spans="1:56">
      <c r="A511" s="426">
        <f t="shared" si="418"/>
        <v>2038</v>
      </c>
      <c r="B511" s="35">
        <f>'Interruptible Forecast'!AH49</f>
        <v>276</v>
      </c>
      <c r="C511" s="35">
        <f>'Interruptible Forecast'!AI49</f>
        <v>296</v>
      </c>
      <c r="D511" s="35">
        <f>'Interruptible Forecast'!AJ49</f>
        <v>294</v>
      </c>
      <c r="E511" s="35">
        <f>'Interruptible Forecast'!AK49</f>
        <v>324</v>
      </c>
      <c r="F511" s="35">
        <f>'Interruptible Forecast'!AL49</f>
        <v>321</v>
      </c>
      <c r="G511" s="35">
        <f>'Interruptible Forecast'!AM49</f>
        <v>304</v>
      </c>
      <c r="H511" s="35">
        <f>'Interruptible Forecast'!AN49</f>
        <v>311</v>
      </c>
      <c r="I511" s="35">
        <f>'Interruptible Forecast'!AO49</f>
        <v>297</v>
      </c>
      <c r="J511" s="35">
        <f>'Interruptible Forecast'!AP49</f>
        <v>302</v>
      </c>
      <c r="K511" s="35">
        <f>'Interruptible Forecast'!AQ49</f>
        <v>284</v>
      </c>
      <c r="L511" s="35">
        <f>'Interruptible Forecast'!AR49</f>
        <v>288</v>
      </c>
      <c r="M511" s="35">
        <f>'Interruptible Forecast'!AS49</f>
        <v>268</v>
      </c>
      <c r="N511" s="34">
        <f t="shared" si="417"/>
        <v>3565</v>
      </c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1"/>
      <c r="AA511" s="191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P511" s="25"/>
      <c r="AQ511" s="36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</row>
    <row r="512" spans="1:56">
      <c r="A512" s="426">
        <f t="shared" si="418"/>
        <v>2039</v>
      </c>
      <c r="B512" s="35">
        <f>'Interruptible Forecast'!AH50</f>
        <v>276</v>
      </c>
      <c r="C512" s="35">
        <f>'Interruptible Forecast'!AI50</f>
        <v>296</v>
      </c>
      <c r="D512" s="35">
        <f>'Interruptible Forecast'!AJ50</f>
        <v>294</v>
      </c>
      <c r="E512" s="35">
        <f>'Interruptible Forecast'!AK50</f>
        <v>324</v>
      </c>
      <c r="F512" s="35">
        <f>'Interruptible Forecast'!AL50</f>
        <v>321</v>
      </c>
      <c r="G512" s="35">
        <f>'Interruptible Forecast'!AM50</f>
        <v>304</v>
      </c>
      <c r="H512" s="35">
        <f>'Interruptible Forecast'!AN50</f>
        <v>311</v>
      </c>
      <c r="I512" s="35">
        <f>'Interruptible Forecast'!AO50</f>
        <v>297</v>
      </c>
      <c r="J512" s="35">
        <f>'Interruptible Forecast'!AP50</f>
        <v>302</v>
      </c>
      <c r="K512" s="35">
        <f>'Interruptible Forecast'!AQ50</f>
        <v>284</v>
      </c>
      <c r="L512" s="35">
        <f>'Interruptible Forecast'!AR50</f>
        <v>288</v>
      </c>
      <c r="M512" s="35">
        <f>'Interruptible Forecast'!AS50</f>
        <v>268</v>
      </c>
      <c r="N512" s="34">
        <f t="shared" si="417"/>
        <v>3565</v>
      </c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1"/>
      <c r="AA512" s="191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P512" s="25"/>
      <c r="AQ512" s="36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</row>
    <row r="513" spans="1:56">
      <c r="A513" s="426">
        <f t="shared" si="418"/>
        <v>2040</v>
      </c>
      <c r="B513" s="35">
        <f>'Interruptible Forecast'!AH51</f>
        <v>276</v>
      </c>
      <c r="C513" s="35">
        <f>'Interruptible Forecast'!AI51</f>
        <v>296</v>
      </c>
      <c r="D513" s="35">
        <f>'Interruptible Forecast'!AJ51</f>
        <v>294</v>
      </c>
      <c r="E513" s="35">
        <f>'Interruptible Forecast'!AK51</f>
        <v>324</v>
      </c>
      <c r="F513" s="35">
        <f>'Interruptible Forecast'!AL51</f>
        <v>321</v>
      </c>
      <c r="G513" s="35">
        <f>'Interruptible Forecast'!AM51</f>
        <v>304</v>
      </c>
      <c r="H513" s="35">
        <f>'Interruptible Forecast'!AN51</f>
        <v>311</v>
      </c>
      <c r="I513" s="35">
        <f>'Interruptible Forecast'!AO51</f>
        <v>297</v>
      </c>
      <c r="J513" s="35">
        <f>'Interruptible Forecast'!AP51</f>
        <v>302</v>
      </c>
      <c r="K513" s="35">
        <f>'Interruptible Forecast'!AQ51</f>
        <v>284</v>
      </c>
      <c r="L513" s="35">
        <f>'Interruptible Forecast'!AR51</f>
        <v>288</v>
      </c>
      <c r="M513" s="35">
        <f>'Interruptible Forecast'!AS51</f>
        <v>268</v>
      </c>
      <c r="N513" s="34">
        <f t="shared" si="417"/>
        <v>3565</v>
      </c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1"/>
      <c r="AA513" s="191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P513" s="25"/>
      <c r="AQ513" s="3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</row>
    <row r="514" spans="1:56">
      <c r="A514" s="426">
        <f t="shared" si="418"/>
        <v>2041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4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P514" s="25"/>
      <c r="AQ514" s="3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</row>
    <row r="515" spans="1:56">
      <c r="A515" s="426">
        <f t="shared" si="418"/>
        <v>2042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4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P515" s="25"/>
      <c r="AQ515" s="3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</row>
    <row r="516" spans="1:56">
      <c r="A516" s="426">
        <f t="shared" si="418"/>
        <v>2043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4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P516" s="25"/>
      <c r="AQ516" s="3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</row>
    <row r="517" spans="1:56">
      <c r="A517" s="426">
        <f t="shared" si="418"/>
        <v>2044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4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1"/>
      <c r="AA517" s="191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P517" s="25"/>
      <c r="AQ517" s="3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</row>
    <row r="518" spans="1:56">
      <c r="A518" s="426">
        <f t="shared" si="418"/>
        <v>2045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4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P518" s="25"/>
      <c r="AQ518" s="36"/>
    </row>
    <row r="519" spans="1:56">
      <c r="B519" s="437"/>
      <c r="C519" s="437"/>
      <c r="D519" s="437"/>
      <c r="E519" s="437"/>
      <c r="F519" s="437"/>
      <c r="G519" s="437"/>
      <c r="H519" s="437"/>
      <c r="I519" s="437"/>
      <c r="J519" s="437"/>
      <c r="K519" s="437"/>
      <c r="L519" s="437"/>
      <c r="M519" s="437"/>
      <c r="N519" s="25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P519" s="25"/>
      <c r="AQ519" s="36"/>
    </row>
    <row r="520" spans="1:56">
      <c r="B520" s="437"/>
      <c r="C520" s="437"/>
      <c r="D520" s="437"/>
      <c r="E520" s="437"/>
      <c r="F520" s="437"/>
      <c r="G520" s="437"/>
      <c r="H520" s="437"/>
      <c r="I520" s="437"/>
      <c r="J520" s="437"/>
      <c r="K520" s="437"/>
      <c r="L520" s="437"/>
      <c r="M520" s="437"/>
      <c r="N520" s="25"/>
    </row>
    <row r="521" spans="1:56">
      <c r="A521" s="886" t="s">
        <v>626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25"/>
      <c r="P521" s="31" t="s">
        <v>606</v>
      </c>
      <c r="Q521" s="30"/>
      <c r="R521" s="30"/>
      <c r="S521" s="30"/>
      <c r="T521" s="30"/>
      <c r="U521" s="30"/>
      <c r="V521" s="30"/>
      <c r="W521" s="30"/>
      <c r="X521" s="30"/>
      <c r="Y521" s="30"/>
      <c r="Z521" s="535" t="s">
        <v>580</v>
      </c>
      <c r="AA521" s="30"/>
      <c r="AB521" s="30"/>
    </row>
    <row r="522" spans="1:56">
      <c r="A522" s="27" t="s">
        <v>9</v>
      </c>
      <c r="B522" s="27" t="s">
        <v>28</v>
      </c>
      <c r="C522" s="27" t="s">
        <v>29</v>
      </c>
      <c r="D522" s="27" t="s">
        <v>30</v>
      </c>
      <c r="E522" s="27" t="s">
        <v>31</v>
      </c>
      <c r="F522" s="27" t="s">
        <v>32</v>
      </c>
      <c r="G522" s="27" t="s">
        <v>33</v>
      </c>
      <c r="H522" s="27" t="s">
        <v>34</v>
      </c>
      <c r="I522" s="27" t="s">
        <v>35</v>
      </c>
      <c r="J522" s="27" t="s">
        <v>36</v>
      </c>
      <c r="K522" s="27" t="s">
        <v>37</v>
      </c>
      <c r="L522" s="27" t="s">
        <v>38</v>
      </c>
      <c r="M522" s="27" t="s">
        <v>39</v>
      </c>
      <c r="N522" s="27" t="s">
        <v>53</v>
      </c>
      <c r="P522" s="27" t="s">
        <v>9</v>
      </c>
      <c r="Q522" s="27" t="s">
        <v>28</v>
      </c>
      <c r="R522" s="27" t="s">
        <v>29</v>
      </c>
      <c r="S522" s="27" t="s">
        <v>30</v>
      </c>
      <c r="T522" s="27" t="s">
        <v>31</v>
      </c>
      <c r="U522" s="27" t="s">
        <v>32</v>
      </c>
      <c r="V522" s="27" t="s">
        <v>33</v>
      </c>
      <c r="W522" s="27" t="s">
        <v>34</v>
      </c>
      <c r="X522" s="27" t="s">
        <v>35</v>
      </c>
      <c r="Y522" s="27" t="s">
        <v>36</v>
      </c>
      <c r="Z522" s="27" t="s">
        <v>37</v>
      </c>
      <c r="AA522" s="27" t="s">
        <v>38</v>
      </c>
      <c r="AB522" s="27" t="s">
        <v>39</v>
      </c>
    </row>
    <row r="523" spans="1:56">
      <c r="A523" s="2">
        <f t="shared" ref="A523:A544" si="419">A483</f>
        <v>2010</v>
      </c>
      <c r="B523" s="1350">
        <f>B443+B483</f>
        <v>10567</v>
      </c>
      <c r="C523" s="1350">
        <f t="shared" ref="C523:M523" si="420">C443+C483</f>
        <v>7758</v>
      </c>
      <c r="D523" s="1350">
        <f t="shared" si="420"/>
        <v>7127</v>
      </c>
      <c r="E523" s="1350">
        <f t="shared" si="420"/>
        <v>5651</v>
      </c>
      <c r="F523" s="1350">
        <f t="shared" si="420"/>
        <v>7432</v>
      </c>
      <c r="G523" s="1350">
        <f t="shared" si="420"/>
        <v>8263</v>
      </c>
      <c r="H523" s="1350">
        <f t="shared" si="420"/>
        <v>8218</v>
      </c>
      <c r="I523" s="1350">
        <f t="shared" si="420"/>
        <v>8190.2191682844586</v>
      </c>
      <c r="J523" s="1350">
        <f t="shared" si="420"/>
        <v>7768</v>
      </c>
      <c r="K523" s="1350">
        <f t="shared" si="420"/>
        <v>6879</v>
      </c>
      <c r="L523" s="1350">
        <f t="shared" si="420"/>
        <v>5637</v>
      </c>
      <c r="M523" s="1350">
        <f t="shared" si="420"/>
        <v>8799</v>
      </c>
      <c r="N523" s="25">
        <f t="shared" ref="N523:N533" si="421">AVERAGE(B523:M523)</f>
        <v>7690.7682640237044</v>
      </c>
      <c r="P523" s="2">
        <f t="shared" ref="P523:P538" si="422">A523</f>
        <v>2010</v>
      </c>
      <c r="Q523" s="25">
        <f>Q563-'[27]Monthly Peaks'!Q563</f>
        <v>2.9374214399999801</v>
      </c>
      <c r="R523" s="25">
        <f>R563-'[27]Monthly Peaks'!R563</f>
        <v>2.3801390953698274</v>
      </c>
      <c r="S523" s="25">
        <f>S563-'[27]Monthly Peaks'!S563</f>
        <v>2.2683538095851645</v>
      </c>
      <c r="T523" s="25">
        <f>T563-'[27]Monthly Peaks'!T563</f>
        <v>1.6902433265157697</v>
      </c>
      <c r="U523" s="25">
        <f>U563-'[27]Monthly Peaks'!U563</f>
        <v>1.5815408364874202</v>
      </c>
      <c r="V523" s="25">
        <f>V563-'[27]Monthly Peaks'!V563</f>
        <v>2.2268597353170207</v>
      </c>
      <c r="W523" s="25">
        <f>W563-'[27]Monthly Peaks'!W563</f>
        <v>1.6960761940104021</v>
      </c>
      <c r="X523" s="25">
        <f>X563-'[27]Monthly Peaks'!X563</f>
        <v>2.2695796566890749</v>
      </c>
      <c r="Y523" s="25">
        <f>Y563-'[27]Monthly Peaks'!Y563</f>
        <v>1.8414067393116511</v>
      </c>
      <c r="Z523" s="25">
        <f>Z563-'[27]Monthly Peaks'!Z563</f>
        <v>1.8423048939475279</v>
      </c>
      <c r="AA523" s="25">
        <f>AA563-'[27]Monthly Peaks'!AA563</f>
        <v>2.4064654731678274</v>
      </c>
      <c r="AB523" s="25">
        <f>AB563-'[27]Monthly Peaks'!AB563</f>
        <v>3.1101710310135786</v>
      </c>
    </row>
    <row r="524" spans="1:56">
      <c r="A524" s="2">
        <f t="shared" si="419"/>
        <v>2011</v>
      </c>
      <c r="B524" s="1350">
        <f t="shared" ref="B524:M524" si="423">B444+B484</f>
        <v>8859</v>
      </c>
      <c r="C524" s="1350">
        <f t="shared" si="423"/>
        <v>6584</v>
      </c>
      <c r="D524" s="1350">
        <f t="shared" si="423"/>
        <v>5364</v>
      </c>
      <c r="E524" s="1350">
        <f t="shared" si="423"/>
        <v>7246</v>
      </c>
      <c r="F524" s="1350">
        <f t="shared" si="423"/>
        <v>7445</v>
      </c>
      <c r="G524" s="1350">
        <f t="shared" si="423"/>
        <v>8233</v>
      </c>
      <c r="H524" s="1350">
        <f t="shared" si="423"/>
        <v>7928</v>
      </c>
      <c r="I524" s="1350">
        <f t="shared" si="423"/>
        <v>8238.9410745233981</v>
      </c>
      <c r="J524" s="1350">
        <f t="shared" si="423"/>
        <v>7342</v>
      </c>
      <c r="K524" s="1350">
        <f t="shared" si="423"/>
        <v>6338</v>
      </c>
      <c r="L524" s="1350">
        <f t="shared" si="423"/>
        <v>5390</v>
      </c>
      <c r="M524" s="1350">
        <f t="shared" si="423"/>
        <v>4783</v>
      </c>
      <c r="N524" s="25">
        <f t="shared" si="421"/>
        <v>6979.2450895436168</v>
      </c>
      <c r="P524" s="2">
        <f t="shared" si="422"/>
        <v>2011</v>
      </c>
      <c r="Q524" s="25">
        <f>Q564-'[27]Monthly Peaks'!Q564</f>
        <v>3.5900144395100142</v>
      </c>
      <c r="R524" s="25">
        <f>R564-'[27]Monthly Peaks'!R564</f>
        <v>3.0584901784345675</v>
      </c>
      <c r="S524" s="25">
        <f>S564-'[27]Monthly Peaks'!S564</f>
        <v>2.892714062360028</v>
      </c>
      <c r="T524" s="25">
        <f>T564-'[27]Monthly Peaks'!T564</f>
        <v>1.4000355686406465</v>
      </c>
      <c r="U524" s="25">
        <f>U564-'[27]Monthly Peaks'!U564</f>
        <v>1.8963428737024515</v>
      </c>
      <c r="V524" s="25">
        <f>V564-'[27]Monthly Peaks'!V564</f>
        <v>2.1724860690806054</v>
      </c>
      <c r="W524" s="25">
        <f>W564-'[27]Monthly Peaks'!W564</f>
        <v>2.1195588912937637</v>
      </c>
      <c r="X524" s="25">
        <f>X564-'[27]Monthly Peaks'!X564</f>
        <v>2.2870031619764859</v>
      </c>
      <c r="Y524" s="25">
        <f>Y564-'[27]Monthly Peaks'!Y564</f>
        <v>1.8468504838604076</v>
      </c>
      <c r="Z524" s="25">
        <f>Z564-'[27]Monthly Peaks'!Z564</f>
        <v>2.4217336840507642</v>
      </c>
      <c r="AA524" s="25">
        <f>AA564-'[27]Monthly Peaks'!AA564</f>
        <v>3.0357496782678481</v>
      </c>
      <c r="AB524" s="25">
        <f>AB564-'[27]Monthly Peaks'!AB564</f>
        <v>2.8616809490755486</v>
      </c>
    </row>
    <row r="525" spans="1:56">
      <c r="A525" s="2">
        <f t="shared" si="419"/>
        <v>2012</v>
      </c>
      <c r="B525" s="1350">
        <f t="shared" ref="B525:M525" si="424">B445+B485</f>
        <v>7706</v>
      </c>
      <c r="C525" s="1350">
        <f t="shared" si="424"/>
        <v>7520</v>
      </c>
      <c r="D525" s="1350">
        <f t="shared" si="424"/>
        <v>5710</v>
      </c>
      <c r="E525" s="1350">
        <f t="shared" si="424"/>
        <v>6475</v>
      </c>
      <c r="F525" s="1350">
        <f t="shared" si="424"/>
        <v>7364</v>
      </c>
      <c r="G525" s="1350">
        <f t="shared" si="424"/>
        <v>7659</v>
      </c>
      <c r="H525" s="1350">
        <f t="shared" si="424"/>
        <v>7822</v>
      </c>
      <c r="I525" s="1350">
        <f t="shared" si="424"/>
        <v>7863.8294321188687</v>
      </c>
      <c r="J525" s="1350">
        <f t="shared" si="424"/>
        <v>7474</v>
      </c>
      <c r="K525" s="1350">
        <f t="shared" si="424"/>
        <v>7006</v>
      </c>
      <c r="L525" s="1350">
        <f t="shared" si="424"/>
        <v>4888</v>
      </c>
      <c r="M525" s="1350">
        <f t="shared" si="424"/>
        <v>5758</v>
      </c>
      <c r="N525" s="25">
        <f t="shared" si="421"/>
        <v>6937.1524526765716</v>
      </c>
      <c r="P525" s="2">
        <f t="shared" si="422"/>
        <v>2012</v>
      </c>
      <c r="Q525" s="25">
        <f>Q565-'[27]Monthly Peaks'!Q565</f>
        <v>3.1383451195099497</v>
      </c>
      <c r="R525" s="25">
        <f>R565-'[27]Monthly Peaks'!R565</f>
        <v>3.6350675864250661</v>
      </c>
      <c r="S525" s="25">
        <f>S565-'[27]Monthly Peaks'!S565</f>
        <v>4.5974304563941359</v>
      </c>
      <c r="T525" s="25">
        <f>T565-'[27]Monthly Peaks'!T565</f>
        <v>4.0141057772324302</v>
      </c>
      <c r="U525" s="25">
        <f>U565-'[27]Monthly Peaks'!U565</f>
        <v>5.1012568207818276</v>
      </c>
      <c r="V525" s="25">
        <f>V565-'[27]Monthly Peaks'!V565</f>
        <v>6.0551405928141548</v>
      </c>
      <c r="W525" s="25">
        <f>W565-'[27]Monthly Peaks'!W565</f>
        <v>6.5790320037472156</v>
      </c>
      <c r="X525" s="25">
        <f>X565-'[27]Monthly Peaks'!X565</f>
        <v>7.4234420227211331</v>
      </c>
      <c r="Y525" s="25">
        <f>Y565-'[27]Monthly Peaks'!Y565</f>
        <v>8.1139419943381199</v>
      </c>
      <c r="Z525" s="25">
        <f>Z565-'[27]Monthly Peaks'!Z565</f>
        <v>8.4394608938363262</v>
      </c>
      <c r="AA525" s="25">
        <f>AA565-'[27]Monthly Peaks'!AA565</f>
        <v>8.2313687565754208</v>
      </c>
      <c r="AB525" s="25">
        <f>AB565-'[27]Monthly Peaks'!AB565</f>
        <v>10.537576978923767</v>
      </c>
    </row>
    <row r="526" spans="1:56">
      <c r="A526" s="2">
        <f t="shared" si="419"/>
        <v>2013</v>
      </c>
      <c r="B526" s="1350">
        <f t="shared" ref="B526:M526" si="425">B446+B486</f>
        <v>5480</v>
      </c>
      <c r="C526" s="1350">
        <f t="shared" si="425"/>
        <v>7075</v>
      </c>
      <c r="D526" s="1350">
        <f t="shared" si="425"/>
        <v>6895</v>
      </c>
      <c r="E526" s="1350">
        <f t="shared" si="425"/>
        <v>6372</v>
      </c>
      <c r="F526" s="1350">
        <f t="shared" si="425"/>
        <v>7146</v>
      </c>
      <c r="G526" s="1350">
        <f t="shared" si="425"/>
        <v>7693</v>
      </c>
      <c r="H526" s="35">
        <f t="shared" si="425"/>
        <v>8306</v>
      </c>
      <c r="I526" s="35">
        <f t="shared" si="425"/>
        <v>8445</v>
      </c>
      <c r="J526" s="35">
        <f t="shared" si="425"/>
        <v>7784</v>
      </c>
      <c r="K526" s="35">
        <f t="shared" si="425"/>
        <v>7134</v>
      </c>
      <c r="L526" s="35">
        <f t="shared" si="425"/>
        <v>5730</v>
      </c>
      <c r="M526" s="35">
        <f t="shared" si="425"/>
        <v>7272</v>
      </c>
      <c r="N526" s="25">
        <f t="shared" si="421"/>
        <v>7111</v>
      </c>
      <c r="P526" s="2">
        <f t="shared" si="422"/>
        <v>2013</v>
      </c>
      <c r="Q526" s="25">
        <f>Q566-'[27]Monthly Peaks'!Q566</f>
        <v>12.394498752030017</v>
      </c>
      <c r="R526" s="25">
        <f>R566-'[27]Monthly Peaks'!R566</f>
        <v>11.40426979554627</v>
      </c>
      <c r="S526" s="25">
        <f>S566-'[27]Monthly Peaks'!S566</f>
        <v>10.39136308551565</v>
      </c>
      <c r="T526" s="25">
        <f>T566-'[27]Monthly Peaks'!T566</f>
        <v>9.2112652436137523</v>
      </c>
      <c r="U526" s="25">
        <f>U566-'[27]Monthly Peaks'!U566</f>
        <v>10.826119159071595</v>
      </c>
      <c r="V526" s="25">
        <f>V566-'[27]Monthly Peaks'!V566</f>
        <v>11.411209968726894</v>
      </c>
      <c r="W526" s="25">
        <f>W566-'[27]Monthly Peaks'!W566</f>
        <v>11.599801081617443</v>
      </c>
      <c r="X526" s="25">
        <f>X566-'[27]Monthly Peaks'!X566</f>
        <v>12.051216852594166</v>
      </c>
      <c r="Y526" s="25">
        <f>Y566-'[27]Monthly Peaks'!Y566</f>
        <v>11.247577501889737</v>
      </c>
      <c r="Z526" s="25">
        <f>Z566-'[27]Monthly Peaks'!Z566</f>
        <v>10.299386737414579</v>
      </c>
      <c r="AA526" s="25">
        <f>AA566-'[27]Monthly Peaks'!AA566</f>
        <v>9.3395214547076648</v>
      </c>
      <c r="AB526" s="25">
        <f>AB566-'[27]Monthly Peaks'!AB566</f>
        <v>11.636268524583556</v>
      </c>
    </row>
    <row r="527" spans="1:56">
      <c r="A527" s="2">
        <f t="shared" si="419"/>
        <v>2014</v>
      </c>
      <c r="B527" s="35">
        <f t="shared" ref="B527:M527" si="426">B447+B487</f>
        <v>9119</v>
      </c>
      <c r="C527" s="35">
        <f t="shared" si="426"/>
        <v>7619</v>
      </c>
      <c r="D527" s="35">
        <f t="shared" si="426"/>
        <v>6613</v>
      </c>
      <c r="E527" s="35">
        <f t="shared" si="426"/>
        <v>6774</v>
      </c>
      <c r="F527" s="35">
        <f t="shared" si="426"/>
        <v>7676</v>
      </c>
      <c r="G527" s="35">
        <f t="shared" si="426"/>
        <v>8237</v>
      </c>
      <c r="H527" s="35">
        <f t="shared" si="426"/>
        <v>8542</v>
      </c>
      <c r="I527" s="35">
        <f t="shared" si="426"/>
        <v>8725</v>
      </c>
      <c r="J527" s="35">
        <f t="shared" si="426"/>
        <v>8005</v>
      </c>
      <c r="K527" s="35">
        <f t="shared" si="426"/>
        <v>7424</v>
      </c>
      <c r="L527" s="35">
        <f t="shared" si="426"/>
        <v>5972</v>
      </c>
      <c r="M527" s="35">
        <f t="shared" si="426"/>
        <v>7432</v>
      </c>
      <c r="N527" s="25">
        <f t="shared" si="421"/>
        <v>7678.166666666667</v>
      </c>
      <c r="P527" s="2">
        <f t="shared" si="422"/>
        <v>2014</v>
      </c>
      <c r="Q527" s="1376">
        <f>Q567-'[27]Monthly Peaks'!Q567</f>
        <v>11.970084777030024</v>
      </c>
      <c r="R527" s="25">
        <f>R567-'[27]Monthly Peaks'!R567</f>
        <v>11.319607908915941</v>
      </c>
      <c r="S527" s="25">
        <f>S567-'[27]Monthly Peaks'!S567</f>
        <v>9.9505764178161371</v>
      </c>
      <c r="T527" s="25">
        <f>T567-'[27]Monthly Peaks'!T567</f>
        <v>9.322933477302513</v>
      </c>
      <c r="U527" s="25">
        <f>U567-'[27]Monthly Peaks'!U567</f>
        <v>10.900408157369611</v>
      </c>
      <c r="V527" s="25">
        <f>V567-'[27]Monthly Peaks'!V567</f>
        <v>10.949637876710199</v>
      </c>
      <c r="W527" s="25">
        <f>W567-'[27]Monthly Peaks'!W567</f>
        <v>11.028668792392182</v>
      </c>
      <c r="X527" s="1376">
        <f>X567-'[27]Monthly Peaks'!X567</f>
        <v>11.140469896889726</v>
      </c>
      <c r="Y527" s="25">
        <f>Y567-'[27]Monthly Peaks'!Y567</f>
        <v>11.475926158477932</v>
      </c>
      <c r="Z527" s="25">
        <f>Z567-'[27]Monthly Peaks'!Z567</f>
        <v>10.372784160557103</v>
      </c>
      <c r="AA527" s="25">
        <f>AA567-'[27]Monthly Peaks'!AA567</f>
        <v>9.6409225058143875</v>
      </c>
      <c r="AB527" s="25">
        <f>AB567-'[27]Monthly Peaks'!AB567</f>
        <v>11.690908623168525</v>
      </c>
    </row>
    <row r="528" spans="1:56">
      <c r="A528" s="2">
        <f t="shared" si="419"/>
        <v>2015</v>
      </c>
      <c r="B528" s="35">
        <f t="shared" ref="B528:M528" si="427">B448+B488</f>
        <v>8987</v>
      </c>
      <c r="C528" s="35">
        <f t="shared" si="427"/>
        <v>7870</v>
      </c>
      <c r="D528" s="35">
        <f t="shared" si="427"/>
        <v>6874</v>
      </c>
      <c r="E528" s="35">
        <f t="shared" si="427"/>
        <v>7053</v>
      </c>
      <c r="F528" s="35">
        <f t="shared" si="427"/>
        <v>7937</v>
      </c>
      <c r="G528" s="35">
        <f t="shared" si="427"/>
        <v>8490</v>
      </c>
      <c r="H528" s="35">
        <f t="shared" si="427"/>
        <v>8806</v>
      </c>
      <c r="I528" s="35">
        <f t="shared" si="427"/>
        <v>8995</v>
      </c>
      <c r="J528" s="35">
        <f t="shared" si="427"/>
        <v>8241</v>
      </c>
      <c r="K528" s="35">
        <f t="shared" si="427"/>
        <v>7729</v>
      </c>
      <c r="L528" s="35">
        <f t="shared" si="427"/>
        <v>6215</v>
      </c>
      <c r="M528" s="35">
        <f t="shared" si="427"/>
        <v>7592</v>
      </c>
      <c r="N528" s="25">
        <f t="shared" si="421"/>
        <v>7899.083333333333</v>
      </c>
      <c r="P528" s="2">
        <f t="shared" si="422"/>
        <v>2015</v>
      </c>
      <c r="Q528" s="1376">
        <f>Q568-'[27]Monthly Peaks'!Q568</f>
        <v>12.496760737579962</v>
      </c>
      <c r="R528" s="25">
        <f>R568-'[27]Monthly Peaks'!R568</f>
        <v>11.546506587793601</v>
      </c>
      <c r="S528" s="25">
        <f>S568-'[27]Monthly Peaks'!S568</f>
        <v>9.7805685781650027</v>
      </c>
      <c r="T528" s="25">
        <f>T568-'[27]Monthly Peaks'!T568</f>
        <v>9.1843819015241479</v>
      </c>
      <c r="U528" s="25">
        <f>U568-'[27]Monthly Peaks'!U568</f>
        <v>10.272539095572029</v>
      </c>
      <c r="V528" s="25">
        <f>V568-'[27]Monthly Peaks'!V568</f>
        <v>11.582683834106319</v>
      </c>
      <c r="W528" s="25">
        <f>W568-'[27]Monthly Peaks'!W568</f>
        <v>11.60561188912061</v>
      </c>
      <c r="X528" s="1376">
        <f>X568-'[27]Monthly Peaks'!X568</f>
        <v>11.309228238320429</v>
      </c>
      <c r="Y528" s="25">
        <f>Y568-'[27]Monthly Peaks'!Y568</f>
        <v>11.117574356780096</v>
      </c>
      <c r="Z528" s="25">
        <f>Z568-'[27]Monthly Peaks'!Z568</f>
        <v>9.5518283841945504</v>
      </c>
      <c r="AA528" s="25">
        <f>AA568-'[27]Monthly Peaks'!AA568</f>
        <v>9.5270380736722018</v>
      </c>
      <c r="AB528" s="25">
        <f>AB568-'[27]Monthly Peaks'!AB568</f>
        <v>11.879031292088712</v>
      </c>
    </row>
    <row r="529" spans="1:28">
      <c r="A529" s="2">
        <f t="shared" si="419"/>
        <v>2016</v>
      </c>
      <c r="B529" s="35">
        <f t="shared" ref="B529:M529" si="428">B449+B489</f>
        <v>9288</v>
      </c>
      <c r="C529" s="35">
        <f t="shared" si="428"/>
        <v>8127</v>
      </c>
      <c r="D529" s="35">
        <f t="shared" si="428"/>
        <v>7170</v>
      </c>
      <c r="E529" s="35">
        <f t="shared" si="428"/>
        <v>7332</v>
      </c>
      <c r="F529" s="35">
        <f t="shared" si="428"/>
        <v>8280</v>
      </c>
      <c r="G529" s="35">
        <f t="shared" si="428"/>
        <v>8737</v>
      </c>
      <c r="H529" s="35">
        <f t="shared" si="428"/>
        <v>9060</v>
      </c>
      <c r="I529" s="35">
        <f t="shared" si="428"/>
        <v>9286</v>
      </c>
      <c r="J529" s="35">
        <f t="shared" si="428"/>
        <v>8470</v>
      </c>
      <c r="K529" s="35">
        <f t="shared" si="428"/>
        <v>8027</v>
      </c>
      <c r="L529" s="35">
        <f t="shared" si="428"/>
        <v>6454</v>
      </c>
      <c r="M529" s="35">
        <f t="shared" si="428"/>
        <v>7748</v>
      </c>
      <c r="N529" s="25">
        <f t="shared" si="421"/>
        <v>8164.916666666667</v>
      </c>
      <c r="P529" s="2">
        <f t="shared" si="422"/>
        <v>2016</v>
      </c>
      <c r="Q529" s="1376">
        <f>Q569-'[27]Monthly Peaks'!Q569</f>
        <v>11.845452900102373</v>
      </c>
      <c r="R529" s="25">
        <f>R569-'[27]Monthly Peaks'!R569</f>
        <v>11.440367226152375</v>
      </c>
      <c r="S529" s="25">
        <f>S569-'[27]Monthly Peaks'!S569</f>
        <v>10.61025597832554</v>
      </c>
      <c r="T529" s="25">
        <f>T569-'[27]Monthly Peaks'!T569</f>
        <v>9.5505393254989031</v>
      </c>
      <c r="U529" s="25">
        <f>U569-'[27]Monthly Peaks'!U569</f>
        <v>10.069804998046834</v>
      </c>
      <c r="V529" s="25">
        <f>V569-'[27]Monthly Peaks'!V569</f>
        <v>10.752203658435519</v>
      </c>
      <c r="W529" s="25">
        <f>W569-'[27]Monthly Peaks'!W569</f>
        <v>10.997044921857423</v>
      </c>
      <c r="X529" s="1376">
        <f>X569-'[27]Monthly Peaks'!X569</f>
        <v>11.515565329346373</v>
      </c>
      <c r="Y529" s="25">
        <f>Y569-'[27]Monthly Peaks'!Y569</f>
        <v>11.220487367730243</v>
      </c>
      <c r="Z529" s="25">
        <f>Z569-'[27]Monthly Peaks'!Z569</f>
        <v>9.7418476448390265</v>
      </c>
      <c r="AA529" s="25">
        <f>AA569-'[27]Monthly Peaks'!AA569</f>
        <v>9.8418450640748461</v>
      </c>
      <c r="AB529" s="25">
        <f>AB569-'[27]Monthly Peaks'!AB569</f>
        <v>11.391135349736487</v>
      </c>
    </row>
    <row r="530" spans="1:28">
      <c r="A530" s="2">
        <f t="shared" si="419"/>
        <v>2017</v>
      </c>
      <c r="B530" s="35">
        <f t="shared" ref="B530:M530" si="429">B450+B490</f>
        <v>9588</v>
      </c>
      <c r="C530" s="35">
        <f t="shared" si="429"/>
        <v>8385</v>
      </c>
      <c r="D530" s="35">
        <f t="shared" si="429"/>
        <v>7290</v>
      </c>
      <c r="E530" s="35">
        <f t="shared" si="429"/>
        <v>7614</v>
      </c>
      <c r="F530" s="35">
        <f t="shared" si="429"/>
        <v>8628</v>
      </c>
      <c r="G530" s="35">
        <f t="shared" si="429"/>
        <v>8989</v>
      </c>
      <c r="H530" s="35">
        <f t="shared" si="429"/>
        <v>9320</v>
      </c>
      <c r="I530" s="35">
        <f t="shared" si="429"/>
        <v>9581</v>
      </c>
      <c r="J530" s="35">
        <f t="shared" si="429"/>
        <v>8703</v>
      </c>
      <c r="K530" s="35">
        <f t="shared" si="429"/>
        <v>8328</v>
      </c>
      <c r="L530" s="35">
        <f t="shared" si="429"/>
        <v>6694</v>
      </c>
      <c r="M530" s="35">
        <f t="shared" si="429"/>
        <v>7904</v>
      </c>
      <c r="N530" s="25">
        <f t="shared" si="421"/>
        <v>8418.6666666666661</v>
      </c>
      <c r="P530" s="2">
        <f t="shared" si="422"/>
        <v>2017</v>
      </c>
      <c r="Q530" s="1376">
        <f>Q570-'[27]Monthly Peaks'!Q570</f>
        <v>11.906710454498807</v>
      </c>
      <c r="R530" s="25">
        <f>R570-'[27]Monthly Peaks'!R570</f>
        <v>11.470480906703642</v>
      </c>
      <c r="S530" s="25">
        <f>S570-'[27]Monthly Peaks'!S570</f>
        <v>10.340991309327819</v>
      </c>
      <c r="T530" s="25">
        <f>T570-'[27]Monthly Peaks'!T570</f>
        <v>9.0859949701077767</v>
      </c>
      <c r="U530" s="25">
        <f>U570-'[27]Monthly Peaks'!U570</f>
        <v>10.556550718905896</v>
      </c>
      <c r="V530" s="25">
        <f>V570-'[27]Monthly Peaks'!V570</f>
        <v>11.181221679214332</v>
      </c>
      <c r="W530" s="25">
        <f>W570-'[27]Monthly Peaks'!W570</f>
        <v>11.313621515470118</v>
      </c>
      <c r="X530" s="1376">
        <f>X570-'[27]Monthly Peaks'!X570</f>
        <v>11.231829753662851</v>
      </c>
      <c r="Y530" s="25">
        <f>Y570-'[27]Monthly Peaks'!Y570</f>
        <v>11.656368064358048</v>
      </c>
      <c r="Z530" s="25">
        <f>Z570-'[27]Monthly Peaks'!Z570</f>
        <v>10.376970009734237</v>
      </c>
      <c r="AA530" s="25">
        <f>AA570-'[27]Monthly Peaks'!AA570</f>
        <v>9.7371199122665075</v>
      </c>
      <c r="AB530" s="25">
        <f>AB570-'[27]Monthly Peaks'!AB570</f>
        <v>12.129007400942101</v>
      </c>
    </row>
    <row r="531" spans="1:28">
      <c r="A531" s="2">
        <f t="shared" si="419"/>
        <v>2018</v>
      </c>
      <c r="B531" s="35">
        <f t="shared" ref="B531:M531" si="430">B451+B491</f>
        <v>9893</v>
      </c>
      <c r="C531" s="35">
        <f t="shared" si="430"/>
        <v>8508</v>
      </c>
      <c r="D531" s="35">
        <f t="shared" si="430"/>
        <v>7416</v>
      </c>
      <c r="E531" s="35">
        <f t="shared" si="430"/>
        <v>7898</v>
      </c>
      <c r="F531" s="35">
        <f t="shared" si="430"/>
        <v>8975</v>
      </c>
      <c r="G531" s="35">
        <f t="shared" si="430"/>
        <v>9240</v>
      </c>
      <c r="H531" s="35">
        <f t="shared" si="430"/>
        <v>9485</v>
      </c>
      <c r="I531" s="35">
        <f t="shared" si="430"/>
        <v>9752</v>
      </c>
      <c r="J531" s="35">
        <f t="shared" si="430"/>
        <v>8843</v>
      </c>
      <c r="K531" s="35">
        <f t="shared" si="430"/>
        <v>8482</v>
      </c>
      <c r="L531" s="35">
        <f t="shared" si="430"/>
        <v>6792</v>
      </c>
      <c r="M531" s="35">
        <f t="shared" si="430"/>
        <v>8006</v>
      </c>
      <c r="N531" s="25">
        <f t="shared" si="421"/>
        <v>8607.5</v>
      </c>
      <c r="P531" s="2">
        <f t="shared" si="422"/>
        <v>2018</v>
      </c>
      <c r="Q531" s="1376">
        <f>Q571-'[27]Monthly Peaks'!Q571</f>
        <v>12.105515510183977</v>
      </c>
      <c r="R531" s="25">
        <f>R571-'[27]Monthly Peaks'!R571</f>
        <v>11.861254218489876</v>
      </c>
      <c r="S531" s="25">
        <f>S571-'[27]Monthly Peaks'!S571</f>
        <v>10.278015814328228</v>
      </c>
      <c r="T531" s="25">
        <f>T571-'[27]Monthly Peaks'!T571</f>
        <v>9.2926343370575069</v>
      </c>
      <c r="U531" s="25">
        <f>U571-'[27]Monthly Peaks'!U571</f>
        <v>10.645485009362119</v>
      </c>
      <c r="V531" s="25">
        <f>V571-'[27]Monthly Peaks'!V571</f>
        <v>11.326030360407003</v>
      </c>
      <c r="W531" s="25">
        <f>W571-'[27]Monthly Peaks'!W571</f>
        <v>11.618200441630506</v>
      </c>
      <c r="X531" s="1376">
        <f>X571-'[27]Monthly Peaks'!X571</f>
        <v>11.15680418617444</v>
      </c>
      <c r="Y531" s="25">
        <f>Y571-'[27]Monthly Peaks'!Y571</f>
        <v>10.710645816011947</v>
      </c>
      <c r="Z531" s="25">
        <f>Z571-'[27]Monthly Peaks'!Z571</f>
        <v>10.156741609320648</v>
      </c>
      <c r="AA531" s="25">
        <f>AA571-'[27]Monthly Peaks'!AA571</f>
        <v>10.048207205770723</v>
      </c>
      <c r="AB531" s="25">
        <f>AB571-'[27]Monthly Peaks'!AB571</f>
        <v>11.432074978270066</v>
      </c>
    </row>
    <row r="532" spans="1:28">
      <c r="A532" s="2">
        <f t="shared" si="419"/>
        <v>2019</v>
      </c>
      <c r="B532" s="35">
        <f t="shared" ref="B532:M532" si="431">B452+B492</f>
        <v>10080</v>
      </c>
      <c r="C532" s="35">
        <f t="shared" si="431"/>
        <v>8664</v>
      </c>
      <c r="D532" s="35">
        <f t="shared" si="431"/>
        <v>7577</v>
      </c>
      <c r="E532" s="35">
        <f t="shared" si="431"/>
        <v>8094</v>
      </c>
      <c r="F532" s="35">
        <f t="shared" si="431"/>
        <v>9354</v>
      </c>
      <c r="G532" s="35">
        <f t="shared" si="431"/>
        <v>9431</v>
      </c>
      <c r="H532" s="35">
        <f t="shared" si="431"/>
        <v>9680</v>
      </c>
      <c r="I532" s="35">
        <f t="shared" si="431"/>
        <v>9953</v>
      </c>
      <c r="J532" s="35">
        <f t="shared" si="431"/>
        <v>9016</v>
      </c>
      <c r="K532" s="35">
        <f t="shared" si="431"/>
        <v>8665</v>
      </c>
      <c r="L532" s="35">
        <f t="shared" si="431"/>
        <v>6924</v>
      </c>
      <c r="M532" s="35">
        <f t="shared" si="431"/>
        <v>8138</v>
      </c>
      <c r="N532" s="25">
        <f t="shared" si="421"/>
        <v>8798</v>
      </c>
      <c r="O532" s="25"/>
      <c r="P532" s="2">
        <f t="shared" si="422"/>
        <v>2019</v>
      </c>
      <c r="Q532" s="1376">
        <f>Q572-'[27]Monthly Peaks'!Q572</f>
        <v>12.534130313085143</v>
      </c>
      <c r="R532" s="25">
        <f>R572-'[27]Monthly Peaks'!R572</f>
        <v>11.576453582735212</v>
      </c>
      <c r="S532" s="25">
        <f>S572-'[27]Monthly Peaks'!S572</f>
        <v>9.761901728249768</v>
      </c>
      <c r="T532" s="25">
        <f>T572-'[27]Monthly Peaks'!T572</f>
        <v>9.5668342312565073</v>
      </c>
      <c r="U532" s="25">
        <f>U572-'[27]Monthly Peaks'!U572</f>
        <v>10.712086543371129</v>
      </c>
      <c r="V532" s="25">
        <f>V572-'[27]Monthly Peaks'!V572</f>
        <v>11.401682409162049</v>
      </c>
      <c r="W532" s="25">
        <f>W572-'[27]Monthly Peaks'!W572</f>
        <v>10.852568485783195</v>
      </c>
      <c r="X532" s="1376">
        <f>X572-'[27]Monthly Peaks'!X572</f>
        <v>11.987696563727241</v>
      </c>
      <c r="Y532" s="25">
        <f>Y572-'[27]Monthly Peaks'!Y572</f>
        <v>10.72135742341311</v>
      </c>
      <c r="Z532" s="25">
        <f>Z572-'[27]Monthly Peaks'!Z572</f>
        <v>10.012044832562879</v>
      </c>
      <c r="AA532" s="25">
        <f>AA572-'[27]Monthly Peaks'!AA572</f>
        <v>10.074850736742064</v>
      </c>
      <c r="AB532" s="25">
        <f>AB572-'[27]Monthly Peaks'!AB572</f>
        <v>12.175421362617499</v>
      </c>
    </row>
    <row r="533" spans="1:28">
      <c r="A533" s="2">
        <f t="shared" si="419"/>
        <v>2020</v>
      </c>
      <c r="B533" s="35">
        <f t="shared" ref="B533:M533" si="432">B453+B493</f>
        <v>10239</v>
      </c>
      <c r="C533" s="35">
        <f t="shared" si="432"/>
        <v>8793</v>
      </c>
      <c r="D533" s="35">
        <f t="shared" si="432"/>
        <v>7708</v>
      </c>
      <c r="E533" s="35">
        <f t="shared" si="432"/>
        <v>8259</v>
      </c>
      <c r="F533" s="35">
        <f t="shared" si="432"/>
        <v>9533</v>
      </c>
      <c r="G533" s="35">
        <f t="shared" si="432"/>
        <v>9595</v>
      </c>
      <c r="H533" s="35">
        <f t="shared" si="432"/>
        <v>9849</v>
      </c>
      <c r="I533" s="35">
        <f t="shared" si="432"/>
        <v>10127</v>
      </c>
      <c r="J533" s="35">
        <f t="shared" si="432"/>
        <v>9162</v>
      </c>
      <c r="K533" s="35">
        <f t="shared" si="432"/>
        <v>8823</v>
      </c>
      <c r="L533" s="35">
        <f t="shared" si="432"/>
        <v>7031</v>
      </c>
      <c r="M533" s="35">
        <f t="shared" si="432"/>
        <v>8246</v>
      </c>
      <c r="N533" s="25">
        <f t="shared" si="421"/>
        <v>8947.0833333333339</v>
      </c>
      <c r="O533" s="25"/>
      <c r="P533" s="2">
        <f t="shared" si="422"/>
        <v>2020</v>
      </c>
      <c r="Q533" s="1376">
        <f>Q573-'[27]Monthly Peaks'!Q573</f>
        <v>12.437291919083691</v>
      </c>
      <c r="R533" s="25">
        <f>R573-'[27]Monthly Peaks'!R573</f>
        <v>12.095593302497036</v>
      </c>
      <c r="S533" s="25">
        <f>S573-'[27]Monthly Peaks'!S573</f>
        <v>10.079023806569921</v>
      </c>
      <c r="T533" s="25">
        <f>T573-'[27]Monthly Peaks'!T573</f>
        <v>9.0824202962369327</v>
      </c>
      <c r="U533" s="25">
        <f>U573-'[27]Monthly Peaks'!U573</f>
        <v>10.971481220814439</v>
      </c>
      <c r="V533" s="25">
        <f>V573-'[27]Monthly Peaks'!V573</f>
        <v>11.544932074427834</v>
      </c>
      <c r="W533" s="25">
        <f>W573-'[27]Monthly Peaks'!W573</f>
        <v>10.971602401443647</v>
      </c>
      <c r="X533" s="1376">
        <f>X573-'[27]Monthly Peaks'!X573</f>
        <v>11.530693384839196</v>
      </c>
      <c r="Y533" s="25">
        <f>Y573-'[27]Monthly Peaks'!Y573</f>
        <v>11.223731177454738</v>
      </c>
      <c r="Z533" s="25">
        <f>Z573-'[27]Monthly Peaks'!Z573</f>
        <v>10.132941286392111</v>
      </c>
      <c r="AA533" s="25">
        <f>AA573-'[27]Monthly Peaks'!AA573</f>
        <v>9.9572399634648718</v>
      </c>
      <c r="AB533" s="25">
        <f>AB573-'[27]Monthly Peaks'!AB573</f>
        <v>11.544210480447873</v>
      </c>
    </row>
    <row r="534" spans="1:28">
      <c r="A534" s="2">
        <f t="shared" si="419"/>
        <v>2021</v>
      </c>
      <c r="B534" s="35">
        <f t="shared" ref="B534:M534" si="433">B454+B494</f>
        <v>10376</v>
      </c>
      <c r="C534" s="35">
        <f t="shared" si="433"/>
        <v>8897</v>
      </c>
      <c r="D534" s="35">
        <f t="shared" si="433"/>
        <v>7815</v>
      </c>
      <c r="E534" s="35">
        <f t="shared" si="433"/>
        <v>8397</v>
      </c>
      <c r="F534" s="35">
        <f t="shared" si="433"/>
        <v>9683</v>
      </c>
      <c r="G534" s="35">
        <f t="shared" si="433"/>
        <v>9732</v>
      </c>
      <c r="H534" s="35">
        <f t="shared" si="433"/>
        <v>9989</v>
      </c>
      <c r="I534" s="35">
        <f t="shared" si="433"/>
        <v>10274</v>
      </c>
      <c r="J534" s="35">
        <f t="shared" si="433"/>
        <v>9282</v>
      </c>
      <c r="K534" s="35">
        <f t="shared" si="433"/>
        <v>8956</v>
      </c>
      <c r="L534" s="35">
        <f t="shared" si="433"/>
        <v>7114</v>
      </c>
      <c r="M534" s="35">
        <f t="shared" si="433"/>
        <v>8332</v>
      </c>
      <c r="N534" s="25">
        <f t="shared" ref="N534:N539" si="434">AVERAGE(B534:M534)</f>
        <v>9070.5833333333339</v>
      </c>
      <c r="O534" s="25"/>
      <c r="P534" s="2">
        <f t="shared" si="422"/>
        <v>2021</v>
      </c>
      <c r="Q534" s="1376">
        <f>Q574-'[27]Monthly Peaks'!Q574</f>
        <v>11.745405084838467</v>
      </c>
      <c r="R534" s="25">
        <f>R574-'[27]Monthly Peaks'!R574</f>
        <v>11.553808100962215</v>
      </c>
      <c r="S534" s="25">
        <f>S574-'[27]Monthly Peaks'!S574</f>
        <v>10.214139301171372</v>
      </c>
      <c r="T534" s="25">
        <f>T574-'[27]Monthly Peaks'!T574</f>
        <v>9.6289312426574725</v>
      </c>
      <c r="U534" s="25">
        <f>U574-'[27]Monthly Peaks'!U574</f>
        <v>10.192940107191589</v>
      </c>
      <c r="V534" s="25">
        <f>V574-'[27]Monthly Peaks'!V574</f>
        <v>10.686185106334051</v>
      </c>
      <c r="W534" s="25">
        <f>W574-'[27]Monthly Peaks'!W574</f>
        <v>11.218933351659871</v>
      </c>
      <c r="X534" s="1376">
        <f>X574-'[27]Monthly Peaks'!X574</f>
        <v>11.29848023760178</v>
      </c>
      <c r="Y534" s="25">
        <f>Y574-'[27]Monthly Peaks'!Y574</f>
        <v>11.167700303530978</v>
      </c>
      <c r="Z534" s="25">
        <f>Z574-'[27]Monthly Peaks'!Z574</f>
        <v>9.9954709539199484</v>
      </c>
      <c r="AA534" s="25">
        <f>AA574-'[27]Monthly Peaks'!AA574</f>
        <v>9.7180368398057908</v>
      </c>
      <c r="AB534" s="25">
        <f>AB574-'[27]Monthly Peaks'!AB574</f>
        <v>11.593992236427312</v>
      </c>
    </row>
    <row r="535" spans="1:28">
      <c r="A535" s="2">
        <f t="shared" si="419"/>
        <v>2022</v>
      </c>
      <c r="B535" s="35">
        <f t="shared" ref="B535:M535" si="435">B455+B495</f>
        <v>10507</v>
      </c>
      <c r="C535" s="35">
        <f t="shared" si="435"/>
        <v>8998</v>
      </c>
      <c r="D535" s="35">
        <f t="shared" si="435"/>
        <v>7917</v>
      </c>
      <c r="E535" s="35">
        <f t="shared" si="435"/>
        <v>8530</v>
      </c>
      <c r="F535" s="35">
        <f t="shared" si="435"/>
        <v>9829</v>
      </c>
      <c r="G535" s="35">
        <f t="shared" si="435"/>
        <v>9866</v>
      </c>
      <c r="H535" s="35">
        <f t="shared" si="435"/>
        <v>10126</v>
      </c>
      <c r="I535" s="35">
        <f t="shared" si="435"/>
        <v>10417</v>
      </c>
      <c r="J535" s="35">
        <f t="shared" si="435"/>
        <v>9397</v>
      </c>
      <c r="K535" s="35">
        <f t="shared" si="435"/>
        <v>9083</v>
      </c>
      <c r="L535" s="35">
        <f t="shared" si="435"/>
        <v>7194</v>
      </c>
      <c r="M535" s="35">
        <f t="shared" si="435"/>
        <v>8414</v>
      </c>
      <c r="N535" s="25">
        <f t="shared" si="434"/>
        <v>9189.8333333333339</v>
      </c>
      <c r="O535" s="25"/>
      <c r="P535" s="2">
        <f t="shared" si="422"/>
        <v>2022</v>
      </c>
      <c r="Q535" s="1376">
        <f>Q575-'[27]Monthly Peaks'!Q575</f>
        <v>12.165023899845437</v>
      </c>
      <c r="R535" s="25">
        <f>R575-'[27]Monthly Peaks'!R575</f>
        <v>11.189181605523345</v>
      </c>
      <c r="S535" s="25">
        <f>S575-'[27]Monthly Peaks'!S575</f>
        <v>10.737315031542494</v>
      </c>
      <c r="T535" s="25">
        <f>T575-'[27]Monthly Peaks'!T575</f>
        <v>9.4392195349505528</v>
      </c>
      <c r="U535" s="25">
        <f>U575-'[27]Monthly Peaks'!U575</f>
        <v>10.590063081945686</v>
      </c>
      <c r="V535" s="25">
        <f>V575-'[27]Monthly Peaks'!V575</f>
        <v>10.947033404449144</v>
      </c>
      <c r="W535" s="25">
        <f>W575-'[27]Monthly Peaks'!W575</f>
        <v>11.566254609824909</v>
      </c>
      <c r="X535" s="1376">
        <f>X575-'[27]Monthly Peaks'!X575</f>
        <v>12.126599516003921</v>
      </c>
      <c r="Y535" s="25">
        <f>Y575-'[27]Monthly Peaks'!Y575</f>
        <v>11.196286878159071</v>
      </c>
      <c r="Z535" s="25">
        <f>Z575-'[27]Monthly Peaks'!Z575</f>
        <v>10.029778443812233</v>
      </c>
      <c r="AA535" s="25">
        <f>AA575-'[27]Monthly Peaks'!AA575</f>
        <v>9.8176098359790558</v>
      </c>
      <c r="AB535" s="25">
        <f>AB575-'[27]Monthly Peaks'!AB575</f>
        <v>11.587902281617289</v>
      </c>
    </row>
    <row r="536" spans="1:28">
      <c r="A536" s="2">
        <f t="shared" si="419"/>
        <v>2023</v>
      </c>
      <c r="B536" s="35">
        <f t="shared" ref="B536:M536" si="436">B456+B496</f>
        <v>10632</v>
      </c>
      <c r="C536" s="35">
        <f t="shared" si="436"/>
        <v>9093</v>
      </c>
      <c r="D536" s="35">
        <f t="shared" si="436"/>
        <v>8017</v>
      </c>
      <c r="E536" s="35">
        <f t="shared" si="436"/>
        <v>8655</v>
      </c>
      <c r="F536" s="35">
        <f t="shared" si="436"/>
        <v>9965</v>
      </c>
      <c r="G536" s="35">
        <f t="shared" si="436"/>
        <v>9990</v>
      </c>
      <c r="H536" s="35">
        <f t="shared" si="436"/>
        <v>10253</v>
      </c>
      <c r="I536" s="35">
        <f t="shared" si="436"/>
        <v>10550</v>
      </c>
      <c r="J536" s="35">
        <f t="shared" si="436"/>
        <v>9506</v>
      </c>
      <c r="K536" s="35">
        <f t="shared" si="436"/>
        <v>9203</v>
      </c>
      <c r="L536" s="35">
        <f t="shared" si="436"/>
        <v>7269</v>
      </c>
      <c r="M536" s="35">
        <f t="shared" si="436"/>
        <v>8492</v>
      </c>
      <c r="N536" s="25">
        <f t="shared" si="434"/>
        <v>9302.0833333333339</v>
      </c>
      <c r="O536" s="25"/>
      <c r="P536" s="2">
        <f t="shared" si="422"/>
        <v>2023</v>
      </c>
      <c r="Q536" s="1376">
        <f>Q576-'[27]Monthly Peaks'!Q576</f>
        <v>12.698510786998895</v>
      </c>
      <c r="R536" s="25">
        <f>R576-'[27]Monthly Peaks'!R576</f>
        <v>12.118213109822136</v>
      </c>
      <c r="S536" s="25">
        <f>S576-'[27]Monthly Peaks'!S576</f>
        <v>9.8502388092360889</v>
      </c>
      <c r="T536" s="25">
        <f>T576-'[27]Monthly Peaks'!T576</f>
        <v>9.6314412962123015</v>
      </c>
      <c r="U536" s="25">
        <f>U576-'[27]Monthly Peaks'!U576</f>
        <v>10.334636759651175</v>
      </c>
      <c r="V536" s="25">
        <f>V576-'[27]Monthly Peaks'!V576</f>
        <v>11.552271811444598</v>
      </c>
      <c r="W536" s="25">
        <f>W576-'[27]Monthly Peaks'!W576</f>
        <v>11.284766599432942</v>
      </c>
      <c r="X536" s="1376">
        <f>X576-'[27]Monthly Peaks'!X576</f>
        <v>11.34057058695862</v>
      </c>
      <c r="Y536" s="25">
        <f>Y576-'[27]Monthly Peaks'!Y576</f>
        <v>11.667062620666115</v>
      </c>
      <c r="Z536" s="25">
        <f>Z576-'[27]Monthly Peaks'!Z576</f>
        <v>10.595290224137443</v>
      </c>
      <c r="AA536" s="25">
        <f>AA576-'[27]Monthly Peaks'!AA576</f>
        <v>9.1997767612404004</v>
      </c>
      <c r="AB536" s="25">
        <f>AB576-'[27]Monthly Peaks'!AB576</f>
        <v>11.797092082033032</v>
      </c>
    </row>
    <row r="537" spans="1:28">
      <c r="A537" s="2">
        <f t="shared" si="419"/>
        <v>2024</v>
      </c>
      <c r="B537" s="35">
        <f t="shared" ref="B537:M537" si="437">B457+B497</f>
        <v>10751</v>
      </c>
      <c r="C537" s="35">
        <f t="shared" si="437"/>
        <v>9183</v>
      </c>
      <c r="D537" s="35">
        <f t="shared" si="437"/>
        <v>8110</v>
      </c>
      <c r="E537" s="35">
        <f t="shared" si="437"/>
        <v>8775</v>
      </c>
      <c r="F537" s="35">
        <f t="shared" si="437"/>
        <v>10097</v>
      </c>
      <c r="G537" s="35">
        <f t="shared" si="437"/>
        <v>10110</v>
      </c>
      <c r="H537" s="35">
        <f t="shared" si="437"/>
        <v>10376</v>
      </c>
      <c r="I537" s="35">
        <f t="shared" si="437"/>
        <v>10680</v>
      </c>
      <c r="J537" s="35">
        <f t="shared" si="437"/>
        <v>9610</v>
      </c>
      <c r="K537" s="35">
        <f t="shared" si="437"/>
        <v>9319</v>
      </c>
      <c r="L537" s="35">
        <f t="shared" si="437"/>
        <v>7340</v>
      </c>
      <c r="M537" s="35">
        <f t="shared" si="437"/>
        <v>8566</v>
      </c>
      <c r="N537" s="25">
        <f t="shared" si="434"/>
        <v>9409.75</v>
      </c>
      <c r="O537" s="25"/>
      <c r="P537" s="2">
        <f t="shared" si="422"/>
        <v>2024</v>
      </c>
      <c r="Q537" s="1376">
        <f>Q577-'[27]Monthly Peaks'!Q577</f>
        <v>11.834094989797222</v>
      </c>
      <c r="R537" s="25">
        <f>R577-'[27]Monthly Peaks'!R577</f>
        <v>11.652605336376382</v>
      </c>
      <c r="S537" s="25">
        <f>S577-'[27]Monthly Peaks'!S577</f>
        <v>10.60505233797744</v>
      </c>
      <c r="T537" s="25">
        <f>T577-'[27]Monthly Peaks'!T577</f>
        <v>9.5720676752717964</v>
      </c>
      <c r="U537" s="25">
        <f>U577-'[27]Monthly Peaks'!U577</f>
        <v>10.795470308141148</v>
      </c>
      <c r="V537" s="25">
        <f>V577-'[27]Monthly Peaks'!V577</f>
        <v>10.852343411211336</v>
      </c>
      <c r="W537" s="25">
        <f>W577-'[27]Monthly Peaks'!W577</f>
        <v>11.689184840854864</v>
      </c>
      <c r="X537" s="1376">
        <f>X577-'[27]Monthly Peaks'!X577</f>
        <v>11.224426395506839</v>
      </c>
      <c r="Y537" s="25">
        <f>Y577-'[27]Monthly Peaks'!Y577</f>
        <v>10.814171359493571</v>
      </c>
      <c r="Z537" s="25">
        <f>Z577-'[27]Monthly Peaks'!Z577</f>
        <v>9.8661053536735608</v>
      </c>
      <c r="AA537" s="25">
        <f>AA577-'[27]Monthly Peaks'!AA577</f>
        <v>10.144779913630373</v>
      </c>
      <c r="AB537" s="25">
        <f>AB577-'[27]Monthly Peaks'!AB577</f>
        <v>11.455721372272592</v>
      </c>
    </row>
    <row r="538" spans="1:28">
      <c r="A538" s="2">
        <f t="shared" si="419"/>
        <v>2025</v>
      </c>
      <c r="B538" s="35">
        <f t="shared" ref="B538:M538" si="438">B458+B498</f>
        <v>10867</v>
      </c>
      <c r="C538" s="35">
        <f t="shared" si="438"/>
        <v>9272</v>
      </c>
      <c r="D538" s="35">
        <f t="shared" si="438"/>
        <v>8202</v>
      </c>
      <c r="E538" s="35">
        <f t="shared" si="438"/>
        <v>8892</v>
      </c>
      <c r="F538" s="35">
        <f t="shared" si="438"/>
        <v>10225</v>
      </c>
      <c r="G538" s="35">
        <f t="shared" si="438"/>
        <v>10227</v>
      </c>
      <c r="H538" s="35">
        <f t="shared" si="438"/>
        <v>10496</v>
      </c>
      <c r="I538" s="35">
        <f t="shared" si="438"/>
        <v>10805</v>
      </c>
      <c r="J538" s="35">
        <f t="shared" si="438"/>
        <v>9712</v>
      </c>
      <c r="K538" s="35">
        <f t="shared" si="438"/>
        <v>9431</v>
      </c>
      <c r="L538" s="35">
        <f t="shared" si="438"/>
        <v>7410</v>
      </c>
      <c r="M538" s="35">
        <f t="shared" si="438"/>
        <v>8638</v>
      </c>
      <c r="N538" s="25">
        <f t="shared" si="434"/>
        <v>9514.75</v>
      </c>
      <c r="O538" s="25"/>
      <c r="P538" s="2">
        <f t="shared" si="422"/>
        <v>2025</v>
      </c>
      <c r="Q538" s="1376">
        <f>Q578-'[27]Monthly Peaks'!Q578</f>
        <v>12.75918921125799</v>
      </c>
      <c r="R538" s="25">
        <f>R578-'[27]Monthly Peaks'!R578</f>
        <v>11.966309479796337</v>
      </c>
      <c r="S538" s="25">
        <f>S578-'[27]Monthly Peaks'!S578</f>
        <v>10.149580383432067</v>
      </c>
      <c r="T538" s="25">
        <f>T578-'[27]Monthly Peaks'!T578</f>
        <v>9.338094281276426</v>
      </c>
      <c r="U538" s="25">
        <f>U578-'[27]Monthly Peaks'!U578</f>
        <v>11.055234864650856</v>
      </c>
      <c r="V538" s="25">
        <f>V578-'[27]Monthly Peaks'!V578</f>
        <v>10.931838410842374</v>
      </c>
      <c r="W538" s="25">
        <f>W578-'[27]Monthly Peaks'!W578</f>
        <v>10.862272424689422</v>
      </c>
      <c r="X538" s="1376">
        <f>X578-'[27]Monthly Peaks'!X578</f>
        <v>11.860779257174272</v>
      </c>
      <c r="Y538" s="25">
        <f>Y578-'[27]Monthly Peaks'!Y578</f>
        <v>11.714463349885364</v>
      </c>
      <c r="Z538" s="25">
        <f>Z578-'[27]Monthly Peaks'!Z578</f>
        <v>9.9085386247666065</v>
      </c>
      <c r="AA538" s="25">
        <f>AA578-'[27]Monthly Peaks'!AA578</f>
        <v>9.7602065969451814</v>
      </c>
      <c r="AB538" s="25">
        <f>AB578-'[27]Monthly Peaks'!AB578</f>
        <v>11.690665449052403</v>
      </c>
    </row>
    <row r="539" spans="1:28">
      <c r="A539" s="2">
        <f t="shared" si="419"/>
        <v>2026</v>
      </c>
      <c r="B539" s="35">
        <f t="shared" ref="B539:M539" si="439">B459+B499</f>
        <v>10977</v>
      </c>
      <c r="C539" s="35">
        <f t="shared" si="439"/>
        <v>9356</v>
      </c>
      <c r="D539" s="35">
        <f t="shared" si="439"/>
        <v>8290</v>
      </c>
      <c r="E539" s="35">
        <f t="shared" si="439"/>
        <v>9002</v>
      </c>
      <c r="F539" s="35">
        <f t="shared" si="439"/>
        <v>10345</v>
      </c>
      <c r="G539" s="35">
        <f t="shared" si="439"/>
        <v>10337</v>
      </c>
      <c r="H539" s="35">
        <f t="shared" si="439"/>
        <v>10608</v>
      </c>
      <c r="I539" s="35">
        <f t="shared" si="439"/>
        <v>10922</v>
      </c>
      <c r="J539" s="35">
        <f t="shared" si="439"/>
        <v>9808</v>
      </c>
      <c r="K539" s="35">
        <f t="shared" si="439"/>
        <v>9537</v>
      </c>
      <c r="L539" s="35">
        <f t="shared" si="439"/>
        <v>7477</v>
      </c>
      <c r="M539" s="35">
        <f t="shared" si="439"/>
        <v>8707</v>
      </c>
      <c r="N539" s="25">
        <f t="shared" si="434"/>
        <v>9613.8333333333339</v>
      </c>
      <c r="O539" s="25"/>
    </row>
    <row r="540" spans="1:28">
      <c r="A540" s="2">
        <f t="shared" si="419"/>
        <v>2027</v>
      </c>
      <c r="B540" s="35">
        <f t="shared" ref="B540:M540" si="440">B460+B500</f>
        <v>11082</v>
      </c>
      <c r="C540" s="35">
        <f t="shared" si="440"/>
        <v>9437</v>
      </c>
      <c r="D540" s="35">
        <f t="shared" si="440"/>
        <v>8373</v>
      </c>
      <c r="E540" s="35">
        <f t="shared" si="440"/>
        <v>9110</v>
      </c>
      <c r="F540" s="35">
        <f t="shared" si="440"/>
        <v>10463</v>
      </c>
      <c r="G540" s="35">
        <f t="shared" si="440"/>
        <v>10444</v>
      </c>
      <c r="H540" s="35">
        <f t="shared" si="440"/>
        <v>10718</v>
      </c>
      <c r="I540" s="35">
        <f t="shared" si="440"/>
        <v>11038</v>
      </c>
      <c r="J540" s="35">
        <f t="shared" si="440"/>
        <v>9902</v>
      </c>
      <c r="K540" s="35">
        <f t="shared" si="440"/>
        <v>9641</v>
      </c>
      <c r="L540" s="35">
        <f t="shared" si="440"/>
        <v>7542</v>
      </c>
      <c r="M540" s="35">
        <f t="shared" si="440"/>
        <v>8774</v>
      </c>
      <c r="N540" s="25">
        <f>AVERAGE(B540:M540)</f>
        <v>9710.3333333333339</v>
      </c>
      <c r="O540" s="25"/>
    </row>
    <row r="541" spans="1:28">
      <c r="A541" s="2">
        <f t="shared" si="419"/>
        <v>2028</v>
      </c>
      <c r="B541" s="35">
        <f t="shared" ref="B541:M541" si="441">B461+B501</f>
        <v>11185</v>
      </c>
      <c r="C541" s="35">
        <f t="shared" si="441"/>
        <v>9515</v>
      </c>
      <c r="D541" s="35">
        <f t="shared" si="441"/>
        <v>8452</v>
      </c>
      <c r="E541" s="35">
        <f t="shared" si="441"/>
        <v>9213</v>
      </c>
      <c r="F541" s="35">
        <f t="shared" si="441"/>
        <v>10577</v>
      </c>
      <c r="G541" s="35">
        <f t="shared" si="441"/>
        <v>10548</v>
      </c>
      <c r="H541" s="35">
        <f t="shared" si="441"/>
        <v>10825</v>
      </c>
      <c r="I541" s="35">
        <f t="shared" si="441"/>
        <v>11150</v>
      </c>
      <c r="J541" s="35">
        <f t="shared" si="441"/>
        <v>9993</v>
      </c>
      <c r="K541" s="35">
        <f t="shared" si="441"/>
        <v>9742</v>
      </c>
      <c r="L541" s="35">
        <f t="shared" si="441"/>
        <v>7604</v>
      </c>
      <c r="M541" s="35">
        <f t="shared" si="441"/>
        <v>8839</v>
      </c>
      <c r="N541" s="25">
        <f>AVERAGE(B541:M541)</f>
        <v>9803.5833333333339</v>
      </c>
      <c r="O541" s="25"/>
    </row>
    <row r="542" spans="1:28">
      <c r="A542" s="2">
        <f t="shared" si="419"/>
        <v>2029</v>
      </c>
      <c r="B542" s="35">
        <f t="shared" ref="B542:M542" si="442">B462+B502</f>
        <v>11287</v>
      </c>
      <c r="C542" s="35">
        <f t="shared" si="442"/>
        <v>9593</v>
      </c>
      <c r="D542" s="35">
        <f t="shared" si="442"/>
        <v>8532</v>
      </c>
      <c r="E542" s="35">
        <f t="shared" si="442"/>
        <v>9317</v>
      </c>
      <c r="F542" s="35">
        <f t="shared" si="442"/>
        <v>10690</v>
      </c>
      <c r="G542" s="35">
        <f t="shared" si="442"/>
        <v>10652</v>
      </c>
      <c r="H542" s="35">
        <f t="shared" si="442"/>
        <v>10931</v>
      </c>
      <c r="I542" s="35">
        <f t="shared" si="442"/>
        <v>11261</v>
      </c>
      <c r="J542" s="35">
        <f t="shared" si="442"/>
        <v>10083</v>
      </c>
      <c r="K542" s="35">
        <f t="shared" si="442"/>
        <v>9841</v>
      </c>
      <c r="L542" s="35">
        <f t="shared" si="442"/>
        <v>7666</v>
      </c>
      <c r="M542" s="35">
        <f t="shared" si="442"/>
        <v>8903</v>
      </c>
      <c r="N542" s="25">
        <f>AVERAGE(B542:M542)</f>
        <v>9896.3333333333339</v>
      </c>
      <c r="O542" s="25"/>
    </row>
    <row r="543" spans="1:28">
      <c r="A543" s="2">
        <f t="shared" si="419"/>
        <v>2030</v>
      </c>
      <c r="B543" s="35">
        <f t="shared" ref="B543:M543" si="443">B463+B503</f>
        <v>11384</v>
      </c>
      <c r="C543" s="35">
        <f t="shared" si="443"/>
        <v>9667</v>
      </c>
      <c r="D543" s="35">
        <f t="shared" si="443"/>
        <v>8609</v>
      </c>
      <c r="E543" s="35">
        <f t="shared" si="443"/>
        <v>9414</v>
      </c>
      <c r="F543" s="35">
        <f t="shared" si="443"/>
        <v>10796</v>
      </c>
      <c r="G543" s="35">
        <f t="shared" si="443"/>
        <v>10748</v>
      </c>
      <c r="H543" s="35">
        <f t="shared" si="443"/>
        <v>11030</v>
      </c>
      <c r="I543" s="35">
        <f t="shared" si="443"/>
        <v>11365</v>
      </c>
      <c r="J543" s="35">
        <f t="shared" si="443"/>
        <v>10167</v>
      </c>
      <c r="K543" s="35">
        <f t="shared" si="443"/>
        <v>9934</v>
      </c>
      <c r="L543" s="35">
        <f t="shared" si="443"/>
        <v>7725</v>
      </c>
      <c r="M543" s="35">
        <f t="shared" si="443"/>
        <v>8964</v>
      </c>
      <c r="N543" s="25">
        <f>AVERAGE(B543:M543)</f>
        <v>9983.5833333333339</v>
      </c>
      <c r="O543" s="25"/>
    </row>
    <row r="544" spans="1:28">
      <c r="A544" s="2">
        <f t="shared" si="419"/>
        <v>2031</v>
      </c>
      <c r="B544" s="35">
        <f t="shared" ref="B544:M544" si="444">B464+B504</f>
        <v>11462</v>
      </c>
      <c r="C544" s="35">
        <f t="shared" si="444"/>
        <v>9721</v>
      </c>
      <c r="D544" s="35">
        <f t="shared" si="444"/>
        <v>8666</v>
      </c>
      <c r="E544" s="35">
        <f t="shared" si="444"/>
        <v>9490</v>
      </c>
      <c r="F544" s="35">
        <f t="shared" si="444"/>
        <v>10881</v>
      </c>
      <c r="G544" s="35">
        <f t="shared" si="444"/>
        <v>10826</v>
      </c>
      <c r="H544" s="35">
        <f t="shared" si="444"/>
        <v>11110</v>
      </c>
      <c r="I544" s="35">
        <f t="shared" si="444"/>
        <v>11450</v>
      </c>
      <c r="J544" s="35">
        <f t="shared" si="444"/>
        <v>10233</v>
      </c>
      <c r="K544" s="35">
        <f t="shared" si="444"/>
        <v>10010</v>
      </c>
      <c r="L544" s="35">
        <f t="shared" si="444"/>
        <v>7765</v>
      </c>
      <c r="M544" s="35">
        <f t="shared" si="444"/>
        <v>9007</v>
      </c>
      <c r="N544" s="25">
        <f>AVERAGE(B544:M544)</f>
        <v>10051.75</v>
      </c>
      <c r="O544" s="25"/>
    </row>
    <row r="545" spans="1:31">
      <c r="A545" s="2">
        <f t="shared" ref="A545:A557" si="445">A505</f>
        <v>2032</v>
      </c>
      <c r="B545" s="35">
        <f t="shared" ref="B545:M545" si="446">B465+B505</f>
        <v>11538</v>
      </c>
      <c r="C545" s="35">
        <f t="shared" si="446"/>
        <v>9775</v>
      </c>
      <c r="D545" s="35">
        <f t="shared" si="446"/>
        <v>8721</v>
      </c>
      <c r="E545" s="35">
        <f t="shared" si="446"/>
        <v>9565</v>
      </c>
      <c r="F545" s="35">
        <f t="shared" si="446"/>
        <v>10963</v>
      </c>
      <c r="G545" s="35">
        <f t="shared" si="446"/>
        <v>10902</v>
      </c>
      <c r="H545" s="35">
        <f t="shared" si="446"/>
        <v>11187</v>
      </c>
      <c r="I545" s="35">
        <f t="shared" si="446"/>
        <v>11533</v>
      </c>
      <c r="J545" s="35">
        <f t="shared" si="446"/>
        <v>10297</v>
      </c>
      <c r="K545" s="35">
        <f t="shared" si="446"/>
        <v>10084</v>
      </c>
      <c r="L545" s="35">
        <f t="shared" si="446"/>
        <v>7806</v>
      </c>
      <c r="M545" s="35">
        <f t="shared" si="446"/>
        <v>9052</v>
      </c>
      <c r="N545" s="25">
        <f t="shared" ref="N545:N553" si="447">AVERAGE(B545:M545)</f>
        <v>10118.583333333334</v>
      </c>
      <c r="O545" s="25"/>
    </row>
    <row r="546" spans="1:31">
      <c r="A546" s="2">
        <f t="shared" si="445"/>
        <v>2033</v>
      </c>
      <c r="B546" s="35">
        <f t="shared" ref="B546:M546" si="448">B466+B506</f>
        <v>11626</v>
      </c>
      <c r="C546" s="35">
        <f t="shared" si="448"/>
        <v>9842</v>
      </c>
      <c r="D546" s="35">
        <f t="shared" si="448"/>
        <v>8790</v>
      </c>
      <c r="E546" s="35">
        <f t="shared" si="448"/>
        <v>9654</v>
      </c>
      <c r="F546" s="35">
        <f t="shared" si="448"/>
        <v>11060</v>
      </c>
      <c r="G546" s="35">
        <f t="shared" si="448"/>
        <v>10991</v>
      </c>
      <c r="H546" s="35">
        <f t="shared" si="448"/>
        <v>11279</v>
      </c>
      <c r="I546" s="35">
        <f t="shared" si="448"/>
        <v>11629</v>
      </c>
      <c r="J546" s="35">
        <f t="shared" si="448"/>
        <v>10375</v>
      </c>
      <c r="K546" s="35">
        <f t="shared" si="448"/>
        <v>10170</v>
      </c>
      <c r="L546" s="35">
        <f t="shared" si="448"/>
        <v>7860</v>
      </c>
      <c r="M546" s="35">
        <f t="shared" si="448"/>
        <v>9107</v>
      </c>
      <c r="N546" s="25">
        <f t="shared" si="447"/>
        <v>10198.583333333334</v>
      </c>
      <c r="O546" s="25"/>
    </row>
    <row r="547" spans="1:31">
      <c r="A547" s="2">
        <f t="shared" si="445"/>
        <v>2034</v>
      </c>
      <c r="B547" s="35">
        <f t="shared" ref="B547:M547" si="449">B467+B507</f>
        <v>11712</v>
      </c>
      <c r="C547" s="35">
        <f t="shared" si="449"/>
        <v>9908</v>
      </c>
      <c r="D547" s="35">
        <f t="shared" si="449"/>
        <v>8857</v>
      </c>
      <c r="E547" s="35">
        <f t="shared" si="449"/>
        <v>9741</v>
      </c>
      <c r="F547" s="35">
        <f t="shared" si="449"/>
        <v>11154</v>
      </c>
      <c r="G547" s="35">
        <f t="shared" si="449"/>
        <v>11078</v>
      </c>
      <c r="H547" s="35">
        <f t="shared" si="449"/>
        <v>11368</v>
      </c>
      <c r="I547" s="35">
        <f t="shared" si="449"/>
        <v>11723</v>
      </c>
      <c r="J547" s="35">
        <f t="shared" si="449"/>
        <v>10451</v>
      </c>
      <c r="K547" s="35">
        <f t="shared" si="449"/>
        <v>10254</v>
      </c>
      <c r="L547" s="35">
        <f t="shared" si="449"/>
        <v>7912</v>
      </c>
      <c r="M547" s="35">
        <f t="shared" si="449"/>
        <v>9162</v>
      </c>
      <c r="N547" s="25">
        <f t="shared" si="447"/>
        <v>10276.666666666666</v>
      </c>
      <c r="O547" s="25"/>
    </row>
    <row r="548" spans="1:31">
      <c r="A548" s="2">
        <f t="shared" si="445"/>
        <v>2035</v>
      </c>
      <c r="B548" s="35">
        <f t="shared" ref="B548:M548" si="450">B468+B508</f>
        <v>11795</v>
      </c>
      <c r="C548" s="35">
        <f t="shared" si="450"/>
        <v>9971</v>
      </c>
      <c r="D548" s="35">
        <f t="shared" si="450"/>
        <v>8922</v>
      </c>
      <c r="E548" s="35">
        <f t="shared" si="450"/>
        <v>9825</v>
      </c>
      <c r="F548" s="35">
        <f t="shared" si="450"/>
        <v>11245</v>
      </c>
      <c r="G548" s="35">
        <f t="shared" si="450"/>
        <v>11163</v>
      </c>
      <c r="H548" s="35">
        <f t="shared" si="450"/>
        <v>11455</v>
      </c>
      <c r="I548" s="35">
        <f t="shared" si="450"/>
        <v>11814</v>
      </c>
      <c r="J548" s="35">
        <f t="shared" si="450"/>
        <v>10525</v>
      </c>
      <c r="K548" s="35">
        <f t="shared" si="450"/>
        <v>10336</v>
      </c>
      <c r="L548" s="35">
        <f t="shared" si="450"/>
        <v>7963</v>
      </c>
      <c r="M548" s="35">
        <f t="shared" si="450"/>
        <v>9215</v>
      </c>
      <c r="N548" s="25">
        <f t="shared" si="447"/>
        <v>10352.416666666666</v>
      </c>
      <c r="O548" s="25"/>
    </row>
    <row r="549" spans="1:31">
      <c r="A549" s="2">
        <f t="shared" si="445"/>
        <v>2036</v>
      </c>
      <c r="B549" s="35">
        <f t="shared" ref="B549:M549" si="451">B469+B509</f>
        <v>11877</v>
      </c>
      <c r="C549" s="35">
        <f t="shared" si="451"/>
        <v>10034</v>
      </c>
      <c r="D549" s="35">
        <f t="shared" si="451"/>
        <v>8985</v>
      </c>
      <c r="E549" s="35">
        <f t="shared" si="451"/>
        <v>9907</v>
      </c>
      <c r="F549" s="35">
        <f t="shared" si="451"/>
        <v>11335</v>
      </c>
      <c r="G549" s="35">
        <f t="shared" si="451"/>
        <v>11245</v>
      </c>
      <c r="H549" s="35">
        <f t="shared" si="451"/>
        <v>11539</v>
      </c>
      <c r="I549" s="35">
        <f t="shared" si="451"/>
        <v>11903</v>
      </c>
      <c r="J549" s="35">
        <f t="shared" si="451"/>
        <v>10598</v>
      </c>
      <c r="K549" s="35">
        <f t="shared" si="451"/>
        <v>10418</v>
      </c>
      <c r="L549" s="35">
        <f t="shared" si="451"/>
        <v>8015</v>
      </c>
      <c r="M549" s="35">
        <f t="shared" si="451"/>
        <v>9269</v>
      </c>
      <c r="N549" s="25">
        <f t="shared" si="447"/>
        <v>10427.083333333334</v>
      </c>
      <c r="O549" s="25"/>
    </row>
    <row r="550" spans="1:31">
      <c r="A550" s="2">
        <f t="shared" si="445"/>
        <v>2037</v>
      </c>
      <c r="B550" s="35">
        <f t="shared" ref="B550:M550" si="452">B470+B510</f>
        <v>11960</v>
      </c>
      <c r="C550" s="35">
        <f t="shared" si="452"/>
        <v>10098</v>
      </c>
      <c r="D550" s="35">
        <f t="shared" si="452"/>
        <v>9047</v>
      </c>
      <c r="E550" s="35">
        <f t="shared" si="452"/>
        <v>9994</v>
      </c>
      <c r="F550" s="35">
        <f t="shared" si="452"/>
        <v>11429</v>
      </c>
      <c r="G550" s="35">
        <f t="shared" si="452"/>
        <v>11333</v>
      </c>
      <c r="H550" s="35">
        <f t="shared" si="452"/>
        <v>11631</v>
      </c>
      <c r="I550" s="35">
        <f t="shared" si="452"/>
        <v>11999</v>
      </c>
      <c r="J550" s="35">
        <f t="shared" si="452"/>
        <v>10677</v>
      </c>
      <c r="K550" s="35">
        <f t="shared" si="452"/>
        <v>10505</v>
      </c>
      <c r="L550" s="35">
        <f t="shared" si="452"/>
        <v>8070</v>
      </c>
      <c r="M550" s="35">
        <f t="shared" si="452"/>
        <v>9326</v>
      </c>
      <c r="N550" s="25">
        <f t="shared" si="447"/>
        <v>10505.75</v>
      </c>
      <c r="O550" s="25"/>
    </row>
    <row r="551" spans="1:31">
      <c r="A551" s="2">
        <f t="shared" si="445"/>
        <v>2038</v>
      </c>
      <c r="B551" s="35">
        <f t="shared" ref="B551:M551" si="453">B471+B511</f>
        <v>12049</v>
      </c>
      <c r="C551" s="35">
        <f t="shared" si="453"/>
        <v>10166</v>
      </c>
      <c r="D551" s="35">
        <f t="shared" si="453"/>
        <v>9112</v>
      </c>
      <c r="E551" s="35">
        <f t="shared" si="453"/>
        <v>10085</v>
      </c>
      <c r="F551" s="35">
        <f t="shared" si="453"/>
        <v>11528</v>
      </c>
      <c r="G551" s="35">
        <f t="shared" si="453"/>
        <v>11425</v>
      </c>
      <c r="H551" s="35">
        <f t="shared" si="453"/>
        <v>11725</v>
      </c>
      <c r="I551" s="35">
        <f t="shared" si="453"/>
        <v>12098</v>
      </c>
      <c r="J551" s="35">
        <f t="shared" si="453"/>
        <v>10757</v>
      </c>
      <c r="K551" s="35">
        <f t="shared" si="453"/>
        <v>10594</v>
      </c>
      <c r="L551" s="35">
        <f t="shared" si="453"/>
        <v>8125</v>
      </c>
      <c r="M551" s="35">
        <f t="shared" si="453"/>
        <v>9383</v>
      </c>
      <c r="N551" s="25">
        <f t="shared" si="447"/>
        <v>10587.25</v>
      </c>
      <c r="O551" s="25"/>
    </row>
    <row r="552" spans="1:31">
      <c r="A552" s="2">
        <f t="shared" si="445"/>
        <v>2039</v>
      </c>
      <c r="B552" s="35">
        <f t="shared" ref="B552:M552" si="454">B472+B512</f>
        <v>12136</v>
      </c>
      <c r="C552" s="35">
        <f t="shared" si="454"/>
        <v>10232</v>
      </c>
      <c r="D552" s="35">
        <f t="shared" si="454"/>
        <v>9180</v>
      </c>
      <c r="E552" s="35">
        <f t="shared" si="454"/>
        <v>10173</v>
      </c>
      <c r="F552" s="35">
        <f t="shared" si="454"/>
        <v>11623</v>
      </c>
      <c r="G552" s="35">
        <f t="shared" si="454"/>
        <v>11512</v>
      </c>
      <c r="H552" s="35">
        <f t="shared" si="454"/>
        <v>11815</v>
      </c>
      <c r="I552" s="35">
        <f t="shared" si="454"/>
        <v>12193</v>
      </c>
      <c r="J552" s="35">
        <f t="shared" si="454"/>
        <v>10835</v>
      </c>
      <c r="K552" s="35">
        <f t="shared" si="454"/>
        <v>10679</v>
      </c>
      <c r="L552" s="35">
        <f t="shared" si="454"/>
        <v>8179</v>
      </c>
      <c r="M552" s="35">
        <f t="shared" si="454"/>
        <v>9439</v>
      </c>
      <c r="N552" s="25">
        <f t="shared" si="447"/>
        <v>10666.333333333334</v>
      </c>
      <c r="O552" s="25"/>
    </row>
    <row r="553" spans="1:31">
      <c r="A553" s="2">
        <f t="shared" si="445"/>
        <v>2040</v>
      </c>
      <c r="B553" s="35">
        <f t="shared" ref="B553:M553" si="455">B473+B513</f>
        <v>12223</v>
      </c>
      <c r="C553" s="35">
        <f t="shared" si="455"/>
        <v>10299</v>
      </c>
      <c r="D553" s="35">
        <f t="shared" si="455"/>
        <v>9246</v>
      </c>
      <c r="E553" s="35">
        <f t="shared" si="455"/>
        <v>10262</v>
      </c>
      <c r="F553" s="35">
        <f t="shared" si="455"/>
        <v>11721</v>
      </c>
      <c r="G553" s="35">
        <f t="shared" si="455"/>
        <v>11603</v>
      </c>
      <c r="H553" s="35">
        <f t="shared" si="455"/>
        <v>11908</v>
      </c>
      <c r="I553" s="35">
        <f t="shared" si="455"/>
        <v>12287</v>
      </c>
      <c r="J553" s="35">
        <f t="shared" si="455"/>
        <v>10912</v>
      </c>
      <c r="K553" s="35">
        <f t="shared" si="455"/>
        <v>10765</v>
      </c>
      <c r="L553" s="35">
        <f t="shared" si="455"/>
        <v>8232</v>
      </c>
      <c r="M553" s="35">
        <f t="shared" si="455"/>
        <v>9495</v>
      </c>
      <c r="N553" s="25">
        <f t="shared" si="447"/>
        <v>10746.083333333334</v>
      </c>
      <c r="O553" s="25"/>
    </row>
    <row r="554" spans="1:31">
      <c r="A554" s="2">
        <f t="shared" si="445"/>
        <v>2041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25"/>
      <c r="O554" s="25"/>
    </row>
    <row r="555" spans="1:31">
      <c r="A555" s="2">
        <f t="shared" si="445"/>
        <v>2042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25"/>
      <c r="O555" s="25"/>
    </row>
    <row r="556" spans="1:31">
      <c r="A556" s="2">
        <f t="shared" si="445"/>
        <v>2043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25"/>
      <c r="O556" s="25"/>
    </row>
    <row r="557" spans="1:31">
      <c r="A557" s="2">
        <f t="shared" si="445"/>
        <v>2044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25"/>
      <c r="O557" s="25"/>
    </row>
    <row r="558" spans="1:31">
      <c r="A558" s="2">
        <f>A518</f>
        <v>2045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25"/>
      <c r="AE558" s="25"/>
    </row>
    <row r="560" spans="1:31">
      <c r="P560" s="886"/>
    </row>
    <row r="561" spans="1:58" s="30" customFormat="1">
      <c r="A561" s="31" t="s">
        <v>581</v>
      </c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P561" s="31" t="s">
        <v>579</v>
      </c>
      <c r="Z561" s="535" t="s">
        <v>580</v>
      </c>
      <c r="AD561" s="31" t="s">
        <v>144</v>
      </c>
      <c r="AF561" s="29"/>
      <c r="AS561" s="31"/>
    </row>
    <row r="562" spans="1:58" s="27" customFormat="1">
      <c r="A562" s="27" t="str">
        <f t="shared" ref="A562:M562" si="456">A442</f>
        <v>YEAR</v>
      </c>
      <c r="B562" s="27" t="str">
        <f t="shared" si="456"/>
        <v>Jan/Winter</v>
      </c>
      <c r="C562" s="27" t="str">
        <f t="shared" si="456"/>
        <v>FEB</v>
      </c>
      <c r="D562" s="27" t="str">
        <f t="shared" si="456"/>
        <v>MAR</v>
      </c>
      <c r="E562" s="27" t="str">
        <f t="shared" si="456"/>
        <v>APR</v>
      </c>
      <c r="F562" s="27" t="str">
        <f t="shared" si="456"/>
        <v>MAY</v>
      </c>
      <c r="G562" s="27" t="str">
        <f t="shared" si="456"/>
        <v>JUN</v>
      </c>
      <c r="H562" s="27" t="str">
        <f t="shared" si="456"/>
        <v>JUL</v>
      </c>
      <c r="I562" s="27" t="str">
        <f t="shared" si="456"/>
        <v>Aug/Sum</v>
      </c>
      <c r="J562" s="27" t="str">
        <f t="shared" si="456"/>
        <v>SEP</v>
      </c>
      <c r="K562" s="27" t="str">
        <f t="shared" si="456"/>
        <v>OCT</v>
      </c>
      <c r="L562" s="27" t="str">
        <f t="shared" si="456"/>
        <v>NOV</v>
      </c>
      <c r="M562" s="27" t="str">
        <f t="shared" si="456"/>
        <v>DEC</v>
      </c>
      <c r="N562" s="33" t="s">
        <v>53</v>
      </c>
      <c r="P562" s="27" t="s">
        <v>9</v>
      </c>
      <c r="Q562" s="27" t="s">
        <v>28</v>
      </c>
      <c r="R562" s="27" t="s">
        <v>29</v>
      </c>
      <c r="S562" s="27" t="s">
        <v>30</v>
      </c>
      <c r="T562" s="27" t="s">
        <v>31</v>
      </c>
      <c r="U562" s="27" t="s">
        <v>32</v>
      </c>
      <c r="V562" s="27" t="s">
        <v>33</v>
      </c>
      <c r="W562" s="27" t="s">
        <v>34</v>
      </c>
      <c r="X562" s="27" t="s">
        <v>35</v>
      </c>
      <c r="Y562" s="27" t="s">
        <v>36</v>
      </c>
      <c r="Z562" s="27" t="s">
        <v>37</v>
      </c>
      <c r="AA562" s="27" t="s">
        <v>38</v>
      </c>
      <c r="AB562" s="27" t="s">
        <v>39</v>
      </c>
      <c r="AD562" s="27" t="s">
        <v>9</v>
      </c>
      <c r="AE562" s="27" t="s">
        <v>28</v>
      </c>
      <c r="AF562" s="27" t="s">
        <v>29</v>
      </c>
      <c r="AG562" s="27" t="s">
        <v>30</v>
      </c>
      <c r="AH562" s="27" t="s">
        <v>31</v>
      </c>
      <c r="AI562" s="27" t="s">
        <v>32</v>
      </c>
      <c r="AJ562" s="27" t="s">
        <v>33</v>
      </c>
      <c r="AK562" s="27" t="s">
        <v>34</v>
      </c>
      <c r="AL562" s="27" t="s">
        <v>35</v>
      </c>
      <c r="AM562" s="27" t="s">
        <v>36</v>
      </c>
      <c r="AN562" s="27" t="s">
        <v>37</v>
      </c>
      <c r="AO562" s="27" t="s">
        <v>38</v>
      </c>
      <c r="AP562" s="27" t="s">
        <v>39</v>
      </c>
      <c r="AS562" s="27" t="str">
        <f t="shared" ref="AS562:BE562" si="457">AD562</f>
        <v>YEAR</v>
      </c>
      <c r="AT562" s="27" t="str">
        <f t="shared" si="457"/>
        <v>JAN</v>
      </c>
      <c r="AU562" s="27" t="str">
        <f t="shared" si="457"/>
        <v>FEB</v>
      </c>
      <c r="AV562" s="27" t="str">
        <f t="shared" si="457"/>
        <v>MAR</v>
      </c>
      <c r="AW562" s="27" t="str">
        <f t="shared" si="457"/>
        <v>APR</v>
      </c>
      <c r="AX562" s="27" t="str">
        <f t="shared" si="457"/>
        <v>MAY</v>
      </c>
      <c r="AY562" s="27" t="str">
        <f t="shared" si="457"/>
        <v>JUN</v>
      </c>
      <c r="AZ562" s="27" t="str">
        <f t="shared" si="457"/>
        <v>JUL</v>
      </c>
      <c r="BA562" s="27" t="str">
        <f t="shared" si="457"/>
        <v>AUG</v>
      </c>
      <c r="BB562" s="27" t="str">
        <f t="shared" si="457"/>
        <v>SEP</v>
      </c>
      <c r="BC562" s="27" t="str">
        <f t="shared" si="457"/>
        <v>OCT</v>
      </c>
      <c r="BD562" s="27" t="str">
        <f t="shared" si="457"/>
        <v>NOV</v>
      </c>
      <c r="BE562" s="27" t="str">
        <f t="shared" si="457"/>
        <v>DEC</v>
      </c>
    </row>
    <row r="563" spans="1:58">
      <c r="A563" s="2">
        <f t="shared" ref="A563:A584" si="458">A523</f>
        <v>2010</v>
      </c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25"/>
      <c r="P563" s="2">
        <f t="shared" ref="P563:P584" si="459">A563</f>
        <v>2010</v>
      </c>
      <c r="Q563" s="25">
        <f>[28]Total!B17</f>
        <v>722.93742143999998</v>
      </c>
      <c r="R563" s="25">
        <f>[28]Total!C17</f>
        <v>698.38013909536983</v>
      </c>
      <c r="S563" s="25">
        <f>[28]Total!D17</f>
        <v>626.26835380958516</v>
      </c>
      <c r="T563" s="25">
        <f>[28]Total!E17</f>
        <v>417.69024332651577</v>
      </c>
      <c r="U563" s="25">
        <f>[28]Total!F17</f>
        <v>468.58154083648742</v>
      </c>
      <c r="V563" s="25">
        <f>[28]Total!G17</f>
        <v>497.22685973531702</v>
      </c>
      <c r="W563" s="25">
        <f>[28]Total!H17</f>
        <v>509.6960761940104</v>
      </c>
      <c r="X563" s="25">
        <f>[28]Total!I17</f>
        <v>530.26957965668907</v>
      </c>
      <c r="Y563" s="25">
        <f>[28]Total!J17</f>
        <v>514.84140673931165</v>
      </c>
      <c r="Z563" s="25">
        <f>[28]Total!K17</f>
        <v>465.84230489394753</v>
      </c>
      <c r="AA563" s="25">
        <f>[28]Total!L17</f>
        <v>628.40646547316783</v>
      </c>
      <c r="AB563" s="25">
        <f>[28]Total!M17</f>
        <v>758.11017103101358</v>
      </c>
      <c r="AC563" s="25"/>
      <c r="AD563" s="2">
        <f t="shared" ref="AD563:AD584" si="460">P563</f>
        <v>2010</v>
      </c>
      <c r="AE563" s="25">
        <v>110</v>
      </c>
      <c r="AF563" s="25">
        <v>110</v>
      </c>
      <c r="AG563" s="25">
        <v>110</v>
      </c>
      <c r="AH563" s="25">
        <v>110</v>
      </c>
      <c r="AI563" s="25">
        <v>110</v>
      </c>
      <c r="AJ563" s="25">
        <v>110</v>
      </c>
      <c r="AK563" s="25">
        <v>110</v>
      </c>
      <c r="AL563" s="25">
        <v>110</v>
      </c>
      <c r="AM563" s="25">
        <v>110</v>
      </c>
      <c r="AN563" s="25">
        <v>110</v>
      </c>
      <c r="AO563" s="25">
        <v>110</v>
      </c>
      <c r="AP563" s="25">
        <v>110</v>
      </c>
      <c r="AS563" s="2">
        <f t="shared" ref="AS563:AS583" si="461">AD563</f>
        <v>2010</v>
      </c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5"/>
    </row>
    <row r="564" spans="1:58">
      <c r="A564" s="2">
        <f t="shared" si="458"/>
        <v>2011</v>
      </c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25"/>
      <c r="P564" s="2">
        <f t="shared" si="459"/>
        <v>2011</v>
      </c>
      <c r="Q564" s="25">
        <f>[28]Total!B18</f>
        <v>805.59001443951001</v>
      </c>
      <c r="R564" s="25">
        <f>[28]Total!C18</f>
        <v>777.05849017843457</v>
      </c>
      <c r="S564" s="25">
        <f>[28]Total!D18</f>
        <v>694.89271406236003</v>
      </c>
      <c r="T564" s="25">
        <f>[28]Total!E18</f>
        <v>461.40003556864065</v>
      </c>
      <c r="U564" s="25">
        <f>[28]Total!F18</f>
        <v>516.89634287370245</v>
      </c>
      <c r="V564" s="25">
        <f>[28]Total!G18</f>
        <v>548.17248606908061</v>
      </c>
      <c r="W564" s="25">
        <f>[28]Total!H18</f>
        <v>561.11955889129376</v>
      </c>
      <c r="X564" s="25">
        <f>[28]Total!I18</f>
        <v>583.28700316197649</v>
      </c>
      <c r="Y564" s="25">
        <f>[28]Total!J18</f>
        <v>565.84685048386041</v>
      </c>
      <c r="Z564" s="25">
        <f>[28]Total!K18</f>
        <v>511.42173368405076</v>
      </c>
      <c r="AA564" s="25">
        <f>[28]Total!L18</f>
        <v>692.03574967826785</v>
      </c>
      <c r="AB564" s="25">
        <f>[28]Total!M18</f>
        <v>835.86168094907555</v>
      </c>
      <c r="AC564" s="25"/>
      <c r="AD564" s="2">
        <f t="shared" si="460"/>
        <v>2011</v>
      </c>
      <c r="AE564" s="25">
        <v>110</v>
      </c>
      <c r="AF564" s="25">
        <v>110</v>
      </c>
      <c r="AG564" s="25">
        <v>110</v>
      </c>
      <c r="AH564" s="25">
        <v>110</v>
      </c>
      <c r="AI564" s="25">
        <v>110</v>
      </c>
      <c r="AJ564" s="25">
        <v>110</v>
      </c>
      <c r="AK564" s="25">
        <v>110</v>
      </c>
      <c r="AL564" s="25">
        <v>110</v>
      </c>
      <c r="AM564" s="25">
        <v>110</v>
      </c>
      <c r="AN564" s="25">
        <v>110</v>
      </c>
      <c r="AO564" s="25">
        <v>110</v>
      </c>
      <c r="AP564" s="25">
        <v>110</v>
      </c>
      <c r="AS564" s="2">
        <f t="shared" si="461"/>
        <v>2011</v>
      </c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</row>
    <row r="565" spans="1:58">
      <c r="A565" s="2">
        <f t="shared" si="458"/>
        <v>2012</v>
      </c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25"/>
      <c r="P565" s="2">
        <f t="shared" si="459"/>
        <v>2012</v>
      </c>
      <c r="Q565" s="25">
        <f>[28]Total!B19</f>
        <v>886.13834511950995</v>
      </c>
      <c r="R565" s="25">
        <f>[28]Total!C19</f>
        <v>853.63506758642507</v>
      </c>
      <c r="S565" s="25">
        <f>[28]Total!D19</f>
        <v>761.59743045639414</v>
      </c>
      <c r="T565" s="25">
        <f>[28]Total!E19</f>
        <v>504.01410577723243</v>
      </c>
      <c r="U565" s="25">
        <f>[28]Total!F19</f>
        <v>564.10125682078183</v>
      </c>
      <c r="V565" s="25">
        <f>[28]Total!G19</f>
        <v>598.05514059281415</v>
      </c>
      <c r="W565" s="25">
        <f>[28]Total!H19</f>
        <v>611.57903200374722</v>
      </c>
      <c r="X565" s="25">
        <f>[28]Total!I19</f>
        <v>635.42344202272113</v>
      </c>
      <c r="Y565" s="25">
        <f>[28]Total!J19</f>
        <v>616.11394199433812</v>
      </c>
      <c r="Z565" s="25">
        <f>[28]Total!K19</f>
        <v>556.43946089383633</v>
      </c>
      <c r="AA565" s="25">
        <f>[28]Total!L19</f>
        <v>753.23136875657542</v>
      </c>
      <c r="AB565" s="25">
        <f>[28]Total!M19</f>
        <v>910.53757697892377</v>
      </c>
      <c r="AC565" s="25"/>
      <c r="AD565" s="2">
        <f t="shared" si="460"/>
        <v>2012</v>
      </c>
      <c r="AE565" s="25">
        <v>110</v>
      </c>
      <c r="AF565" s="25">
        <v>110</v>
      </c>
      <c r="AG565" s="25">
        <v>110</v>
      </c>
      <c r="AH565" s="25">
        <v>110</v>
      </c>
      <c r="AI565" s="25">
        <f t="shared" ref="AI565:AP567" si="462">ROUND((117+5)/0.9826,0)</f>
        <v>124</v>
      </c>
      <c r="AJ565" s="25">
        <f t="shared" si="462"/>
        <v>124</v>
      </c>
      <c r="AK565" s="25">
        <f t="shared" si="462"/>
        <v>124</v>
      </c>
      <c r="AL565" s="25">
        <f t="shared" si="462"/>
        <v>124</v>
      </c>
      <c r="AM565" s="25">
        <f t="shared" si="462"/>
        <v>124</v>
      </c>
      <c r="AN565" s="25">
        <f t="shared" si="462"/>
        <v>124</v>
      </c>
      <c r="AO565" s="25">
        <f t="shared" si="462"/>
        <v>124</v>
      </c>
      <c r="AP565" s="25">
        <f t="shared" si="462"/>
        <v>124</v>
      </c>
      <c r="AS565" s="2">
        <f t="shared" si="461"/>
        <v>2012</v>
      </c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</row>
    <row r="566" spans="1:58">
      <c r="A566" s="27">
        <f t="shared" si="458"/>
        <v>2013</v>
      </c>
      <c r="B566" s="1349"/>
      <c r="C566" s="1349"/>
      <c r="D566" s="1349"/>
      <c r="E566" s="1349"/>
      <c r="F566" s="1349"/>
      <c r="G566" s="1349"/>
      <c r="H566" s="1349"/>
      <c r="I566" s="1349"/>
      <c r="J566" s="1349"/>
      <c r="K566" s="1349"/>
      <c r="L566" s="1349"/>
      <c r="M566" s="1349"/>
      <c r="N566" s="326"/>
      <c r="P566" s="2">
        <f t="shared" si="459"/>
        <v>2013</v>
      </c>
      <c r="Q566" s="25">
        <f>[28]Total!B20</f>
        <v>963.39449875203002</v>
      </c>
      <c r="R566" s="25">
        <f>[28]Total!C20</f>
        <v>926.40426979554627</v>
      </c>
      <c r="S566" s="25">
        <f>[28]Total!D20</f>
        <v>824.39136308551565</v>
      </c>
      <c r="T566" s="25">
        <f>[28]Total!E20</f>
        <v>544.21126524361375</v>
      </c>
      <c r="U566" s="25">
        <f>[28]Total!F20</f>
        <v>607.8261191590716</v>
      </c>
      <c r="V566" s="25">
        <f>[28]Total!G20</f>
        <v>643.41120996872689</v>
      </c>
      <c r="W566" s="25">
        <f>[28]Total!H20</f>
        <v>656.59980108161744</v>
      </c>
      <c r="X566" s="25">
        <f>[28]Total!I20</f>
        <v>681.05121685259417</v>
      </c>
      <c r="Y566" s="25">
        <f>[28]Total!J20</f>
        <v>659.24757750188974</v>
      </c>
      <c r="Z566" s="25">
        <f>[28]Total!K20</f>
        <v>594.29938673741458</v>
      </c>
      <c r="AA566" s="25">
        <f>[28]Total!L20</f>
        <v>806.33952145470766</v>
      </c>
      <c r="AB566" s="25">
        <f>[28]Total!M20</f>
        <v>974.63626852458356</v>
      </c>
      <c r="AC566" s="25"/>
      <c r="AD566" s="2">
        <f t="shared" si="460"/>
        <v>2013</v>
      </c>
      <c r="AE566" s="25">
        <f t="shared" ref="AE566:AH567" si="463">ROUND((117+5)/0.9826,0)</f>
        <v>124</v>
      </c>
      <c r="AF566" s="25">
        <f t="shared" si="463"/>
        <v>124</v>
      </c>
      <c r="AG566" s="25">
        <f t="shared" si="463"/>
        <v>124</v>
      </c>
      <c r="AH566" s="25">
        <f t="shared" si="463"/>
        <v>124</v>
      </c>
      <c r="AI566" s="25">
        <f t="shared" si="462"/>
        <v>124</v>
      </c>
      <c r="AJ566" s="25">
        <f t="shared" si="462"/>
        <v>124</v>
      </c>
      <c r="AK566" s="25">
        <f t="shared" si="462"/>
        <v>124</v>
      </c>
      <c r="AL566" s="25">
        <f t="shared" si="462"/>
        <v>124</v>
      </c>
      <c r="AM566" s="25">
        <f t="shared" si="462"/>
        <v>124</v>
      </c>
      <c r="AN566" s="25">
        <f t="shared" si="462"/>
        <v>124</v>
      </c>
      <c r="AO566" s="25">
        <f t="shared" si="462"/>
        <v>124</v>
      </c>
      <c r="AP566" s="25">
        <f t="shared" si="462"/>
        <v>124</v>
      </c>
      <c r="AS566" s="2">
        <f t="shared" si="461"/>
        <v>2013</v>
      </c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</row>
    <row r="567" spans="1:58">
      <c r="A567" s="2">
        <f t="shared" si="458"/>
        <v>2014</v>
      </c>
      <c r="B567" s="34">
        <f>(Q567-Q$566)+(AE567-AE$566)</f>
        <v>65.575586025000007</v>
      </c>
      <c r="C567" s="34">
        <f t="shared" ref="C567:M582" si="464">(R567-R$566)+(AF567-AF$566)</f>
        <v>61.915338113369671</v>
      </c>
      <c r="D567" s="34">
        <f t="shared" si="464"/>
        <v>53.559213332300487</v>
      </c>
      <c r="E567" s="34">
        <f t="shared" si="464"/>
        <v>32.111668233688761</v>
      </c>
      <c r="F567" s="34">
        <f t="shared" si="464"/>
        <v>35.074288998298016</v>
      </c>
      <c r="G567" s="34">
        <f t="shared" si="464"/>
        <v>44.538427907983305</v>
      </c>
      <c r="H567" s="34">
        <f t="shared" si="464"/>
        <v>44.428867710774739</v>
      </c>
      <c r="I567" s="34">
        <f t="shared" si="464"/>
        <v>45.08925304429556</v>
      </c>
      <c r="J567" s="34">
        <f t="shared" si="464"/>
        <v>43.228348656588196</v>
      </c>
      <c r="K567" s="34">
        <f t="shared" si="464"/>
        <v>39.073397423142524</v>
      </c>
      <c r="L567" s="34">
        <f t="shared" si="464"/>
        <v>54.301401051106723</v>
      </c>
      <c r="M567" s="34">
        <f t="shared" si="464"/>
        <v>64.054640098584969</v>
      </c>
      <c r="N567" s="25">
        <f t="shared" ref="N567:N573" si="465">AVERAGE(B567:M567)</f>
        <v>48.579202549594413</v>
      </c>
      <c r="P567" s="2">
        <f t="shared" si="459"/>
        <v>2014</v>
      </c>
      <c r="Q567" s="25">
        <f>[28]Total!B21</f>
        <v>1028.97008477703</v>
      </c>
      <c r="R567" s="25">
        <f>[28]Total!C21</f>
        <v>988.31960790891594</v>
      </c>
      <c r="S567" s="25">
        <f>[28]Total!D21</f>
        <v>877.95057641781614</v>
      </c>
      <c r="T567" s="25">
        <f>[28]Total!E21</f>
        <v>576.32293347730251</v>
      </c>
      <c r="U567" s="25">
        <f>[28]Total!F21</f>
        <v>642.90040815736961</v>
      </c>
      <c r="V567" s="25">
        <f>[28]Total!G21</f>
        <v>679.9496378767102</v>
      </c>
      <c r="W567" s="25">
        <f>[28]Total!H21</f>
        <v>693.02866879239218</v>
      </c>
      <c r="X567" s="25">
        <f>[28]Total!I21</f>
        <v>718.14046989688973</v>
      </c>
      <c r="Y567" s="25">
        <f>[28]Total!J21</f>
        <v>694.47592615847793</v>
      </c>
      <c r="Z567" s="25">
        <f>[28]Total!K21</f>
        <v>625.3727841605571</v>
      </c>
      <c r="AA567" s="25">
        <f>[28]Total!L21</f>
        <v>852.64092250581439</v>
      </c>
      <c r="AB567" s="25">
        <f>[28]Total!M21</f>
        <v>1030.6909086231685</v>
      </c>
      <c r="AC567" s="25"/>
      <c r="AD567" s="2">
        <f t="shared" si="460"/>
        <v>2014</v>
      </c>
      <c r="AE567" s="25">
        <f t="shared" si="463"/>
        <v>124</v>
      </c>
      <c r="AF567" s="25">
        <f t="shared" si="463"/>
        <v>124</v>
      </c>
      <c r="AG567" s="25">
        <f t="shared" si="463"/>
        <v>124</v>
      </c>
      <c r="AH567" s="25">
        <f t="shared" si="463"/>
        <v>124</v>
      </c>
      <c r="AI567" s="25">
        <f t="shared" si="462"/>
        <v>124</v>
      </c>
      <c r="AJ567" s="25">
        <f>ROUND((117+5+8)/0.9826,0)</f>
        <v>132</v>
      </c>
      <c r="AK567" s="25">
        <f t="shared" ref="AK567:AP582" si="466">ROUND((117+5+8)/0.9826,0)</f>
        <v>132</v>
      </c>
      <c r="AL567" s="25">
        <f t="shared" si="466"/>
        <v>132</v>
      </c>
      <c r="AM567" s="25">
        <f t="shared" si="466"/>
        <v>132</v>
      </c>
      <c r="AN567" s="25">
        <f t="shared" si="466"/>
        <v>132</v>
      </c>
      <c r="AO567" s="25">
        <f t="shared" si="466"/>
        <v>132</v>
      </c>
      <c r="AP567" s="25">
        <f t="shared" si="466"/>
        <v>132</v>
      </c>
      <c r="AS567" s="2">
        <f t="shared" si="461"/>
        <v>2014</v>
      </c>
    </row>
    <row r="568" spans="1:58">
      <c r="A568" s="2">
        <f t="shared" si="458"/>
        <v>2015</v>
      </c>
      <c r="B568" s="34">
        <f t="shared" ref="B568:B593" si="467">(Q568-Q$566)+(AE568-AE$566)</f>
        <v>131.10226198554994</v>
      </c>
      <c r="C568" s="34">
        <f t="shared" si="464"/>
        <v>124.14223679224733</v>
      </c>
      <c r="D568" s="34">
        <f t="shared" si="464"/>
        <v>108.38920549264935</v>
      </c>
      <c r="E568" s="34">
        <f t="shared" si="464"/>
        <v>66.973116657910396</v>
      </c>
      <c r="F568" s="34">
        <f t="shared" si="464"/>
        <v>72.446419936500433</v>
      </c>
      <c r="G568" s="34">
        <f t="shared" si="464"/>
        <v>75.171473865379426</v>
      </c>
      <c r="H568" s="34">
        <f t="shared" si="464"/>
        <v>75.005810807503167</v>
      </c>
      <c r="I568" s="34">
        <f t="shared" si="464"/>
        <v>76.258011385726263</v>
      </c>
      <c r="J568" s="34">
        <f t="shared" si="464"/>
        <v>72.86999685489036</v>
      </c>
      <c r="K568" s="34">
        <f t="shared" si="464"/>
        <v>65.252441646779971</v>
      </c>
      <c r="L568" s="34">
        <f t="shared" si="464"/>
        <v>94.187516618964537</v>
      </c>
      <c r="M568" s="34">
        <f t="shared" si="464"/>
        <v>112.24276276750516</v>
      </c>
      <c r="N568" s="25">
        <f t="shared" si="465"/>
        <v>89.503437900967199</v>
      </c>
      <c r="P568" s="2">
        <f t="shared" si="459"/>
        <v>2015</v>
      </c>
      <c r="Q568" s="25">
        <f>[28]Total!B22</f>
        <v>1086.49676073758</v>
      </c>
      <c r="R568" s="25">
        <f>[28]Total!C22</f>
        <v>1042.5465065877936</v>
      </c>
      <c r="S568" s="25">
        <f>[28]Total!D22</f>
        <v>924.780568578165</v>
      </c>
      <c r="T568" s="25">
        <f>[28]Total!E22</f>
        <v>603.18438190152415</v>
      </c>
      <c r="U568" s="25">
        <f>[28]Total!F22</f>
        <v>672.27253909557203</v>
      </c>
      <c r="V568" s="25">
        <f>[28]Total!G22</f>
        <v>710.58268383410632</v>
      </c>
      <c r="W568" s="25">
        <f>[28]Total!H22</f>
        <v>723.60561188912061</v>
      </c>
      <c r="X568" s="25">
        <f>[28]Total!I22</f>
        <v>749.30922823832043</v>
      </c>
      <c r="Y568" s="25">
        <f>[28]Total!J22</f>
        <v>724.1175743567801</v>
      </c>
      <c r="Z568" s="25">
        <f>[28]Total!K22</f>
        <v>651.55182838419455</v>
      </c>
      <c r="AA568" s="25">
        <f>[28]Total!L22</f>
        <v>892.5270380736722</v>
      </c>
      <c r="AB568" s="25">
        <f>[28]Total!M22</f>
        <v>1078.8790312920887</v>
      </c>
      <c r="AC568" s="25"/>
      <c r="AD568" s="2">
        <f t="shared" si="460"/>
        <v>2015</v>
      </c>
      <c r="AE568" s="25">
        <f t="shared" ref="AE568:AP583" si="468">ROUND((117+5+8)/0.9826,0)</f>
        <v>132</v>
      </c>
      <c r="AF568" s="25">
        <f t="shared" si="468"/>
        <v>132</v>
      </c>
      <c r="AG568" s="25">
        <f t="shared" si="468"/>
        <v>132</v>
      </c>
      <c r="AH568" s="25">
        <f t="shared" si="468"/>
        <v>132</v>
      </c>
      <c r="AI568" s="25">
        <f t="shared" si="468"/>
        <v>132</v>
      </c>
      <c r="AJ568" s="25">
        <f>ROUND((117+5+8)/0.9826,0)</f>
        <v>132</v>
      </c>
      <c r="AK568" s="25">
        <f t="shared" si="466"/>
        <v>132</v>
      </c>
      <c r="AL568" s="25">
        <f t="shared" si="466"/>
        <v>132</v>
      </c>
      <c r="AM568" s="25">
        <f t="shared" si="466"/>
        <v>132</v>
      </c>
      <c r="AN568" s="25">
        <f t="shared" si="466"/>
        <v>132</v>
      </c>
      <c r="AO568" s="25">
        <f t="shared" si="466"/>
        <v>132</v>
      </c>
      <c r="AP568" s="25">
        <f t="shared" si="466"/>
        <v>132</v>
      </c>
      <c r="AS568" s="2">
        <f t="shared" si="461"/>
        <v>2015</v>
      </c>
    </row>
    <row r="569" spans="1:58">
      <c r="A569" s="2">
        <f t="shared" si="458"/>
        <v>2016</v>
      </c>
      <c r="B569" s="34">
        <f t="shared" si="467"/>
        <v>180.45095414807236</v>
      </c>
      <c r="C569" s="34">
        <f t="shared" si="464"/>
        <v>171.03609743060611</v>
      </c>
      <c r="D569" s="34">
        <f t="shared" si="464"/>
        <v>149.21889289280989</v>
      </c>
      <c r="E569" s="34">
        <f t="shared" si="464"/>
        <v>90.339274081885151</v>
      </c>
      <c r="F569" s="34">
        <f t="shared" si="464"/>
        <v>98.243685838975239</v>
      </c>
      <c r="G569" s="34">
        <f t="shared" si="464"/>
        <v>102.34099368970863</v>
      </c>
      <c r="H569" s="34">
        <f t="shared" si="464"/>
        <v>102.39724384023998</v>
      </c>
      <c r="I569" s="34">
        <f t="shared" si="464"/>
        <v>104.46434847675221</v>
      </c>
      <c r="J569" s="34">
        <f t="shared" si="464"/>
        <v>99.972909865840506</v>
      </c>
      <c r="K569" s="34">
        <f t="shared" si="464"/>
        <v>89.442460907424447</v>
      </c>
      <c r="L569" s="34">
        <f t="shared" si="464"/>
        <v>131.50232360936718</v>
      </c>
      <c r="M569" s="34">
        <f t="shared" si="464"/>
        <v>157.75486682515293</v>
      </c>
      <c r="N569" s="25">
        <f t="shared" si="465"/>
        <v>123.09700430056955</v>
      </c>
      <c r="P569" s="2">
        <f t="shared" si="459"/>
        <v>2016</v>
      </c>
      <c r="Q569" s="25">
        <f>[28]Total!B23</f>
        <v>1135.8454529001024</v>
      </c>
      <c r="R569" s="25">
        <f>[28]Total!C23</f>
        <v>1089.4403672261524</v>
      </c>
      <c r="S569" s="25">
        <f>[28]Total!D23</f>
        <v>965.61025597832554</v>
      </c>
      <c r="T569" s="25">
        <f>[28]Total!E23</f>
        <v>626.5505393254989</v>
      </c>
      <c r="U569" s="25">
        <f>[28]Total!F23</f>
        <v>698.06980499804683</v>
      </c>
      <c r="V569" s="25">
        <f>[28]Total!G23</f>
        <v>737.75220365843552</v>
      </c>
      <c r="W569" s="25">
        <f>[28]Total!H23</f>
        <v>750.99704492185742</v>
      </c>
      <c r="X569" s="25">
        <f>[28]Total!I23</f>
        <v>777.51556532934637</v>
      </c>
      <c r="Y569" s="25">
        <f>[28]Total!J23</f>
        <v>751.22048736773024</v>
      </c>
      <c r="Z569" s="25">
        <f>[28]Total!K23</f>
        <v>675.74184764483903</v>
      </c>
      <c r="AA569" s="25">
        <f>[28]Total!L23</f>
        <v>929.84184506407485</v>
      </c>
      <c r="AB569" s="25">
        <f>[28]Total!M23</f>
        <v>1124.3911353497365</v>
      </c>
      <c r="AC569" s="25"/>
      <c r="AD569" s="2">
        <f t="shared" si="460"/>
        <v>2016</v>
      </c>
      <c r="AE569" s="25">
        <f t="shared" si="468"/>
        <v>132</v>
      </c>
      <c r="AF569" s="25">
        <f t="shared" si="468"/>
        <v>132</v>
      </c>
      <c r="AG569" s="25">
        <f t="shared" si="468"/>
        <v>132</v>
      </c>
      <c r="AH569" s="25">
        <f t="shared" si="468"/>
        <v>132</v>
      </c>
      <c r="AI569" s="25">
        <f t="shared" si="468"/>
        <v>132</v>
      </c>
      <c r="AJ569" s="25">
        <f t="shared" si="468"/>
        <v>132</v>
      </c>
      <c r="AK569" s="25">
        <f t="shared" si="466"/>
        <v>132</v>
      </c>
      <c r="AL569" s="25">
        <f t="shared" si="466"/>
        <v>132</v>
      </c>
      <c r="AM569" s="25">
        <f t="shared" si="466"/>
        <v>132</v>
      </c>
      <c r="AN569" s="25">
        <f t="shared" si="466"/>
        <v>132</v>
      </c>
      <c r="AO569" s="25">
        <f t="shared" si="466"/>
        <v>132</v>
      </c>
      <c r="AP569" s="25">
        <f t="shared" si="466"/>
        <v>132</v>
      </c>
      <c r="AS569" s="2">
        <f t="shared" si="461"/>
        <v>2016</v>
      </c>
    </row>
    <row r="570" spans="1:58">
      <c r="A570" s="2">
        <f t="shared" si="458"/>
        <v>2017</v>
      </c>
      <c r="B570" s="34">
        <f t="shared" si="467"/>
        <v>227.51221170246879</v>
      </c>
      <c r="C570" s="34">
        <f t="shared" si="464"/>
        <v>215.06621111115737</v>
      </c>
      <c r="D570" s="34">
        <f t="shared" si="464"/>
        <v>186.94962822381217</v>
      </c>
      <c r="E570" s="34">
        <f t="shared" si="464"/>
        <v>111.87472972649402</v>
      </c>
      <c r="F570" s="34">
        <f t="shared" si="464"/>
        <v>121.7304315598343</v>
      </c>
      <c r="G570" s="34">
        <f t="shared" si="464"/>
        <v>126.77001171048744</v>
      </c>
      <c r="H570" s="34">
        <f t="shared" si="464"/>
        <v>126.71382043385267</v>
      </c>
      <c r="I570" s="34">
        <f t="shared" si="464"/>
        <v>129.18061290106868</v>
      </c>
      <c r="J570" s="34">
        <f t="shared" si="464"/>
        <v>123.40879056246831</v>
      </c>
      <c r="K570" s="34">
        <f t="shared" si="464"/>
        <v>110.07758327231966</v>
      </c>
      <c r="L570" s="34">
        <f t="shared" si="464"/>
        <v>161.39759845755884</v>
      </c>
      <c r="M570" s="34">
        <f t="shared" si="464"/>
        <v>193.49273887635854</v>
      </c>
      <c r="N570" s="25">
        <f t="shared" si="465"/>
        <v>152.84786404482341</v>
      </c>
      <c r="P570" s="2">
        <f t="shared" si="459"/>
        <v>2017</v>
      </c>
      <c r="Q570" s="25">
        <f>[28]Total!B24</f>
        <v>1182.9067104544988</v>
      </c>
      <c r="R570" s="25">
        <f>[28]Total!C24</f>
        <v>1133.4704809067036</v>
      </c>
      <c r="S570" s="25">
        <f>[28]Total!D24</f>
        <v>1003.3409913093278</v>
      </c>
      <c r="T570" s="25">
        <f>[28]Total!E24</f>
        <v>648.08599497010778</v>
      </c>
      <c r="U570" s="25">
        <f>[28]Total!F24</f>
        <v>721.5565507189059</v>
      </c>
      <c r="V570" s="25">
        <f>[28]Total!G24</f>
        <v>762.18122167921433</v>
      </c>
      <c r="W570" s="25">
        <f>[28]Total!H24</f>
        <v>775.31362151547012</v>
      </c>
      <c r="X570" s="25">
        <f>[28]Total!I24</f>
        <v>802.23182975366285</v>
      </c>
      <c r="Y570" s="25">
        <f>[28]Total!J24</f>
        <v>774.65636806435805</v>
      </c>
      <c r="Z570" s="25">
        <f>[28]Total!K24</f>
        <v>696.37697000973424</v>
      </c>
      <c r="AA570" s="25">
        <f>[28]Total!L24</f>
        <v>959.73711991226651</v>
      </c>
      <c r="AB570" s="25">
        <f>[28]Total!M24</f>
        <v>1160.1290074009421</v>
      </c>
      <c r="AC570" s="25"/>
      <c r="AD570" s="2">
        <f t="shared" si="460"/>
        <v>2017</v>
      </c>
      <c r="AE570" s="25">
        <f t="shared" si="468"/>
        <v>132</v>
      </c>
      <c r="AF570" s="25">
        <f t="shared" si="468"/>
        <v>132</v>
      </c>
      <c r="AG570" s="25">
        <f t="shared" si="468"/>
        <v>132</v>
      </c>
      <c r="AH570" s="25">
        <f t="shared" si="468"/>
        <v>132</v>
      </c>
      <c r="AI570" s="25">
        <f t="shared" si="468"/>
        <v>132</v>
      </c>
      <c r="AJ570" s="25">
        <f t="shared" si="468"/>
        <v>132</v>
      </c>
      <c r="AK570" s="25">
        <f t="shared" si="466"/>
        <v>132</v>
      </c>
      <c r="AL570" s="25">
        <f t="shared" si="466"/>
        <v>132</v>
      </c>
      <c r="AM570" s="25">
        <f t="shared" si="466"/>
        <v>132</v>
      </c>
      <c r="AN570" s="25">
        <f t="shared" si="466"/>
        <v>132</v>
      </c>
      <c r="AO570" s="25">
        <f t="shared" si="466"/>
        <v>132</v>
      </c>
      <c r="AP570" s="25">
        <f t="shared" si="466"/>
        <v>132</v>
      </c>
      <c r="AS570" s="2">
        <f t="shared" si="461"/>
        <v>2017</v>
      </c>
    </row>
    <row r="571" spans="1:58">
      <c r="A571" s="2">
        <f t="shared" si="458"/>
        <v>2018</v>
      </c>
      <c r="B571" s="34">
        <f t="shared" si="467"/>
        <v>263.71101675815396</v>
      </c>
      <c r="C571" s="34">
        <f t="shared" si="464"/>
        <v>249.45698442294361</v>
      </c>
      <c r="D571" s="34">
        <f t="shared" si="464"/>
        <v>216.88665272881258</v>
      </c>
      <c r="E571" s="34">
        <f t="shared" si="464"/>
        <v>130.08136909344375</v>
      </c>
      <c r="F571" s="34">
        <f t="shared" si="464"/>
        <v>141.81936585029052</v>
      </c>
      <c r="G571" s="34">
        <f t="shared" si="464"/>
        <v>147.91482039168011</v>
      </c>
      <c r="H571" s="34">
        <f t="shared" si="464"/>
        <v>148.01839936001306</v>
      </c>
      <c r="I571" s="34">
        <f t="shared" si="464"/>
        <v>151.10558733358027</v>
      </c>
      <c r="J571" s="34">
        <f t="shared" si="464"/>
        <v>144.46306831412221</v>
      </c>
      <c r="K571" s="34">
        <f t="shared" si="464"/>
        <v>128.85735487190607</v>
      </c>
      <c r="L571" s="34">
        <f t="shared" si="464"/>
        <v>188.70868575106306</v>
      </c>
      <c r="M571" s="34">
        <f t="shared" si="464"/>
        <v>226.79580645368651</v>
      </c>
      <c r="N571" s="25">
        <f t="shared" si="465"/>
        <v>178.15159261080797</v>
      </c>
      <c r="P571" s="2">
        <f t="shared" si="459"/>
        <v>2018</v>
      </c>
      <c r="Q571" s="25">
        <f>[28]Total!B25</f>
        <v>1219.105515510184</v>
      </c>
      <c r="R571" s="25">
        <f>[28]Total!C25</f>
        <v>1167.8612542184899</v>
      </c>
      <c r="S571" s="25">
        <f>[28]Total!D25</f>
        <v>1033.2780158143282</v>
      </c>
      <c r="T571" s="25">
        <f>[28]Total!E25</f>
        <v>666.29263433705751</v>
      </c>
      <c r="U571" s="25">
        <f>[28]Total!F25</f>
        <v>741.64548500936212</v>
      </c>
      <c r="V571" s="25">
        <f>[28]Total!G25</f>
        <v>783.326030360407</v>
      </c>
      <c r="W571" s="25">
        <f>[28]Total!H25</f>
        <v>796.61820044163051</v>
      </c>
      <c r="X571" s="25">
        <f>[28]Total!I25</f>
        <v>824.15680418617444</v>
      </c>
      <c r="Y571" s="25">
        <f>[28]Total!J25</f>
        <v>795.71064581601195</v>
      </c>
      <c r="Z571" s="25">
        <f>[28]Total!K25</f>
        <v>715.15674160932065</v>
      </c>
      <c r="AA571" s="25">
        <f>[28]Total!L25</f>
        <v>987.04820720577072</v>
      </c>
      <c r="AB571" s="25">
        <f>[28]Total!M25</f>
        <v>1193.4320749782701</v>
      </c>
      <c r="AC571" s="25"/>
      <c r="AD571" s="2">
        <f t="shared" si="460"/>
        <v>2018</v>
      </c>
      <c r="AE571" s="25">
        <f t="shared" si="468"/>
        <v>132</v>
      </c>
      <c r="AF571" s="25">
        <f t="shared" si="468"/>
        <v>132</v>
      </c>
      <c r="AG571" s="25">
        <f t="shared" si="468"/>
        <v>132</v>
      </c>
      <c r="AH571" s="25">
        <f t="shared" si="468"/>
        <v>132</v>
      </c>
      <c r="AI571" s="25">
        <f t="shared" si="468"/>
        <v>132</v>
      </c>
      <c r="AJ571" s="25">
        <f t="shared" si="468"/>
        <v>132</v>
      </c>
      <c r="AK571" s="25">
        <f t="shared" si="466"/>
        <v>132</v>
      </c>
      <c r="AL571" s="25">
        <f t="shared" si="466"/>
        <v>132</v>
      </c>
      <c r="AM571" s="25">
        <f t="shared" si="466"/>
        <v>132</v>
      </c>
      <c r="AN571" s="25">
        <f t="shared" si="466"/>
        <v>132</v>
      </c>
      <c r="AO571" s="25">
        <f t="shared" si="466"/>
        <v>132</v>
      </c>
      <c r="AP571" s="25">
        <f t="shared" si="466"/>
        <v>132</v>
      </c>
      <c r="AS571" s="2">
        <f t="shared" si="461"/>
        <v>2018</v>
      </c>
    </row>
    <row r="572" spans="1:58">
      <c r="A572" s="2">
        <f t="shared" si="458"/>
        <v>2019</v>
      </c>
      <c r="B572" s="34">
        <f t="shared" si="467"/>
        <v>298.13963156105513</v>
      </c>
      <c r="C572" s="34">
        <f t="shared" si="464"/>
        <v>282.17218378718894</v>
      </c>
      <c r="D572" s="34">
        <f t="shared" si="464"/>
        <v>245.37053864273412</v>
      </c>
      <c r="E572" s="34">
        <f t="shared" si="464"/>
        <v>147.35556898764276</v>
      </c>
      <c r="F572" s="34">
        <f t="shared" si="464"/>
        <v>160.88596738429953</v>
      </c>
      <c r="G572" s="34">
        <f t="shared" si="464"/>
        <v>167.99047244043516</v>
      </c>
      <c r="H572" s="34">
        <f t="shared" si="464"/>
        <v>168.25276740416575</v>
      </c>
      <c r="I572" s="34">
        <f t="shared" si="464"/>
        <v>171.93647971113307</v>
      </c>
      <c r="J572" s="34">
        <f t="shared" si="464"/>
        <v>164.47377992152337</v>
      </c>
      <c r="K572" s="34">
        <f t="shared" si="464"/>
        <v>146.7126580951483</v>
      </c>
      <c r="L572" s="34">
        <f t="shared" si="464"/>
        <v>214.7353292820344</v>
      </c>
      <c r="M572" s="34">
        <f t="shared" si="464"/>
        <v>258.53915283803394</v>
      </c>
      <c r="N572" s="25">
        <f t="shared" si="465"/>
        <v>202.21371083794952</v>
      </c>
      <c r="P572" s="2">
        <f t="shared" si="459"/>
        <v>2019</v>
      </c>
      <c r="Q572" s="25">
        <f>[28]Total!B26</f>
        <v>1253.5341303130851</v>
      </c>
      <c r="R572" s="25">
        <f>[28]Total!C26</f>
        <v>1200.5764535827352</v>
      </c>
      <c r="S572" s="25">
        <f>[28]Total!D26</f>
        <v>1061.7619017282498</v>
      </c>
      <c r="T572" s="25">
        <f>[28]Total!E26</f>
        <v>683.56683423125651</v>
      </c>
      <c r="U572" s="25">
        <f>[28]Total!F26</f>
        <v>760.71208654337113</v>
      </c>
      <c r="V572" s="25">
        <f>[28]Total!G26</f>
        <v>803.40168240916205</v>
      </c>
      <c r="W572" s="25">
        <f>[28]Total!H26</f>
        <v>816.85256848578319</v>
      </c>
      <c r="X572" s="25">
        <f>[28]Total!I26</f>
        <v>844.98769656372724</v>
      </c>
      <c r="Y572" s="25">
        <f>[28]Total!J26</f>
        <v>815.72135742341311</v>
      </c>
      <c r="Z572" s="25">
        <f>[28]Total!K26</f>
        <v>733.01204483256288</v>
      </c>
      <c r="AA572" s="25">
        <f>[28]Total!L26</f>
        <v>1013.0748507367421</v>
      </c>
      <c r="AB572" s="25">
        <f>[28]Total!M26</f>
        <v>1225.1754213626175</v>
      </c>
      <c r="AC572" s="25"/>
      <c r="AD572" s="2">
        <f t="shared" si="460"/>
        <v>2019</v>
      </c>
      <c r="AE572" s="25">
        <f t="shared" si="468"/>
        <v>132</v>
      </c>
      <c r="AF572" s="25">
        <f t="shared" si="468"/>
        <v>132</v>
      </c>
      <c r="AG572" s="25">
        <f t="shared" si="468"/>
        <v>132</v>
      </c>
      <c r="AH572" s="25">
        <f t="shared" si="468"/>
        <v>132</v>
      </c>
      <c r="AI572" s="25">
        <f t="shared" si="468"/>
        <v>132</v>
      </c>
      <c r="AJ572" s="25">
        <f t="shared" si="468"/>
        <v>132</v>
      </c>
      <c r="AK572" s="25">
        <f t="shared" si="466"/>
        <v>132</v>
      </c>
      <c r="AL572" s="25">
        <f t="shared" si="466"/>
        <v>132</v>
      </c>
      <c r="AM572" s="25">
        <f t="shared" si="466"/>
        <v>132</v>
      </c>
      <c r="AN572" s="25">
        <f t="shared" si="466"/>
        <v>132</v>
      </c>
      <c r="AO572" s="25">
        <f t="shared" si="466"/>
        <v>132</v>
      </c>
      <c r="AP572" s="25">
        <f t="shared" si="466"/>
        <v>132</v>
      </c>
      <c r="AS572" s="2">
        <f t="shared" si="461"/>
        <v>2019</v>
      </c>
    </row>
    <row r="573" spans="1:58">
      <c r="A573" s="2">
        <f t="shared" si="458"/>
        <v>2020</v>
      </c>
      <c r="B573" s="34">
        <f t="shared" si="467"/>
        <v>338.04279316705367</v>
      </c>
      <c r="C573" s="34">
        <f t="shared" si="464"/>
        <v>319.69132350695077</v>
      </c>
      <c r="D573" s="34">
        <f t="shared" si="464"/>
        <v>277.68766072105427</v>
      </c>
      <c r="E573" s="34">
        <f t="shared" si="464"/>
        <v>165.87115505262318</v>
      </c>
      <c r="F573" s="34">
        <f t="shared" si="464"/>
        <v>181.14536206174284</v>
      </c>
      <c r="G573" s="34">
        <f t="shared" si="464"/>
        <v>189.13372210570094</v>
      </c>
      <c r="H573" s="34">
        <f t="shared" si="464"/>
        <v>189.3718013198262</v>
      </c>
      <c r="I573" s="34">
        <f t="shared" si="464"/>
        <v>193.47947653224503</v>
      </c>
      <c r="J573" s="34">
        <f t="shared" si="464"/>
        <v>184.976153675565</v>
      </c>
      <c r="K573" s="34">
        <f t="shared" si="464"/>
        <v>164.83355454897753</v>
      </c>
      <c r="L573" s="34">
        <f t="shared" si="464"/>
        <v>241.61771850875721</v>
      </c>
      <c r="M573" s="34">
        <f t="shared" si="464"/>
        <v>290.90794195586432</v>
      </c>
      <c r="N573" s="25">
        <f t="shared" si="465"/>
        <v>228.06322192969674</v>
      </c>
      <c r="P573" s="2">
        <f t="shared" si="459"/>
        <v>2020</v>
      </c>
      <c r="Q573" s="25">
        <f>[28]Total!B27</f>
        <v>1293.4372919190837</v>
      </c>
      <c r="R573" s="25">
        <f>[28]Total!C27</f>
        <v>1238.095593302497</v>
      </c>
      <c r="S573" s="25">
        <f>[28]Total!D27</f>
        <v>1094.0790238065699</v>
      </c>
      <c r="T573" s="25">
        <f>[28]Total!E27</f>
        <v>702.08242029623693</v>
      </c>
      <c r="U573" s="25">
        <f>[28]Total!F27</f>
        <v>780.97148122081444</v>
      </c>
      <c r="V573" s="25">
        <f>[28]Total!G27</f>
        <v>824.54493207442783</v>
      </c>
      <c r="W573" s="25">
        <f>[28]Total!H27</f>
        <v>837.97160240144365</v>
      </c>
      <c r="X573" s="25">
        <f>[28]Total!I27</f>
        <v>866.5306933848392</v>
      </c>
      <c r="Y573" s="25">
        <f>[28]Total!J27</f>
        <v>836.22373117745474</v>
      </c>
      <c r="Z573" s="25">
        <f>[28]Total!K27</f>
        <v>751.13294128639211</v>
      </c>
      <c r="AA573" s="25">
        <f>[28]Total!L27</f>
        <v>1039.9572399634649</v>
      </c>
      <c r="AB573" s="25">
        <f>[28]Total!M27</f>
        <v>1257.5442104804479</v>
      </c>
      <c r="AC573" s="25"/>
      <c r="AD573" s="2">
        <f t="shared" si="460"/>
        <v>2020</v>
      </c>
      <c r="AE573" s="25">
        <f t="shared" si="468"/>
        <v>132</v>
      </c>
      <c r="AF573" s="25">
        <f t="shared" si="468"/>
        <v>132</v>
      </c>
      <c r="AG573" s="25">
        <f t="shared" si="468"/>
        <v>132</v>
      </c>
      <c r="AH573" s="25">
        <f t="shared" si="468"/>
        <v>132</v>
      </c>
      <c r="AI573" s="25">
        <f t="shared" si="468"/>
        <v>132</v>
      </c>
      <c r="AJ573" s="25">
        <f t="shared" si="468"/>
        <v>132</v>
      </c>
      <c r="AK573" s="25">
        <f t="shared" si="466"/>
        <v>132</v>
      </c>
      <c r="AL573" s="25">
        <f t="shared" si="466"/>
        <v>132</v>
      </c>
      <c r="AM573" s="25">
        <f t="shared" si="466"/>
        <v>132</v>
      </c>
      <c r="AN573" s="25">
        <f t="shared" si="466"/>
        <v>132</v>
      </c>
      <c r="AO573" s="25">
        <f t="shared" si="466"/>
        <v>132</v>
      </c>
      <c r="AP573" s="25">
        <f t="shared" si="466"/>
        <v>132</v>
      </c>
      <c r="AS573" s="2">
        <f t="shared" si="461"/>
        <v>2020</v>
      </c>
    </row>
    <row r="574" spans="1:58">
      <c r="A574" s="2">
        <f t="shared" si="458"/>
        <v>2021</v>
      </c>
      <c r="B574" s="34">
        <f t="shared" si="467"/>
        <v>372.35090633280845</v>
      </c>
      <c r="C574" s="34">
        <f t="shared" si="464"/>
        <v>352.14953830541594</v>
      </c>
      <c r="D574" s="34">
        <f t="shared" si="464"/>
        <v>305.82277621565572</v>
      </c>
      <c r="E574" s="34">
        <f t="shared" si="464"/>
        <v>182.41766599904372</v>
      </c>
      <c r="F574" s="34">
        <f t="shared" si="464"/>
        <v>199.36682094811999</v>
      </c>
      <c r="G574" s="34">
        <f t="shared" si="464"/>
        <v>208.27497513760716</v>
      </c>
      <c r="H574" s="34">
        <f t="shared" si="464"/>
        <v>208.61913227004243</v>
      </c>
      <c r="I574" s="34">
        <f t="shared" si="464"/>
        <v>213.24726338500761</v>
      </c>
      <c r="J574" s="34">
        <f t="shared" si="464"/>
        <v>203.92012280164124</v>
      </c>
      <c r="K574" s="34">
        <f t="shared" si="464"/>
        <v>181.69608421650537</v>
      </c>
      <c r="L574" s="34">
        <f t="shared" si="464"/>
        <v>266.37851538509813</v>
      </c>
      <c r="M574" s="34">
        <f t="shared" si="464"/>
        <v>320.95772371184376</v>
      </c>
      <c r="N574" s="25">
        <f t="shared" ref="N574:N583" si="469">AVERAGE(B574:M574)</f>
        <v>251.26679372573247</v>
      </c>
      <c r="P574" s="2">
        <f t="shared" si="459"/>
        <v>2021</v>
      </c>
      <c r="Q574" s="25">
        <f>[28]Total!B28</f>
        <v>1327.7454050848385</v>
      </c>
      <c r="R574" s="25">
        <f>[28]Total!C28</f>
        <v>1270.5538081009622</v>
      </c>
      <c r="S574" s="25">
        <f>[28]Total!D28</f>
        <v>1122.2141393011714</v>
      </c>
      <c r="T574" s="25">
        <f>[28]Total!E28</f>
        <v>718.62893124265747</v>
      </c>
      <c r="U574" s="25">
        <f>[28]Total!F28</f>
        <v>799.19294010719159</v>
      </c>
      <c r="V574" s="25">
        <f>[28]Total!G28</f>
        <v>843.68618510633405</v>
      </c>
      <c r="W574" s="25">
        <f>[28]Total!H28</f>
        <v>857.21893335165987</v>
      </c>
      <c r="X574" s="25">
        <f>[28]Total!I28</f>
        <v>886.29848023760178</v>
      </c>
      <c r="Y574" s="25">
        <f>[28]Total!J28</f>
        <v>855.16770030353098</v>
      </c>
      <c r="Z574" s="25">
        <f>[28]Total!K28</f>
        <v>767.99547095391995</v>
      </c>
      <c r="AA574" s="25">
        <f>[28]Total!L28</f>
        <v>1064.7180368398058</v>
      </c>
      <c r="AB574" s="25">
        <f>[28]Total!M28</f>
        <v>1287.5939922364273</v>
      </c>
      <c r="AC574" s="25"/>
      <c r="AD574" s="2">
        <f t="shared" si="460"/>
        <v>2021</v>
      </c>
      <c r="AE574" s="25">
        <f t="shared" si="468"/>
        <v>132</v>
      </c>
      <c r="AF574" s="25">
        <f t="shared" si="468"/>
        <v>132</v>
      </c>
      <c r="AG574" s="25">
        <f t="shared" si="468"/>
        <v>132</v>
      </c>
      <c r="AH574" s="25">
        <f t="shared" si="468"/>
        <v>132</v>
      </c>
      <c r="AI574" s="25">
        <f t="shared" si="468"/>
        <v>132</v>
      </c>
      <c r="AJ574" s="25">
        <f t="shared" si="468"/>
        <v>132</v>
      </c>
      <c r="AK574" s="25">
        <f t="shared" si="466"/>
        <v>132</v>
      </c>
      <c r="AL574" s="25">
        <f t="shared" si="466"/>
        <v>132</v>
      </c>
      <c r="AM574" s="25">
        <f t="shared" si="466"/>
        <v>132</v>
      </c>
      <c r="AN574" s="25">
        <f t="shared" si="466"/>
        <v>132</v>
      </c>
      <c r="AO574" s="25">
        <f t="shared" si="466"/>
        <v>132</v>
      </c>
      <c r="AP574" s="25">
        <f t="shared" si="466"/>
        <v>132</v>
      </c>
      <c r="AS574" s="2">
        <f t="shared" si="461"/>
        <v>2021</v>
      </c>
    </row>
    <row r="575" spans="1:58">
      <c r="A575" s="2">
        <f t="shared" si="458"/>
        <v>2022</v>
      </c>
      <c r="B575" s="34">
        <f t="shared" si="467"/>
        <v>404.77052514781542</v>
      </c>
      <c r="C575" s="34">
        <f t="shared" si="464"/>
        <v>382.78491180997707</v>
      </c>
      <c r="D575" s="34">
        <f t="shared" si="464"/>
        <v>332.34595194602684</v>
      </c>
      <c r="E575" s="34">
        <f t="shared" si="464"/>
        <v>198.2279542913368</v>
      </c>
      <c r="F575" s="34">
        <f t="shared" si="464"/>
        <v>216.76394392287409</v>
      </c>
      <c r="G575" s="34">
        <f t="shared" si="464"/>
        <v>226.53582343572225</v>
      </c>
      <c r="H575" s="34">
        <f t="shared" si="464"/>
        <v>226.96645352820747</v>
      </c>
      <c r="I575" s="34">
        <f t="shared" si="464"/>
        <v>232.07538266340975</v>
      </c>
      <c r="J575" s="34">
        <f t="shared" si="464"/>
        <v>221.94870937626933</v>
      </c>
      <c r="K575" s="34">
        <f t="shared" si="464"/>
        <v>197.73039170639765</v>
      </c>
      <c r="L575" s="34">
        <f t="shared" si="464"/>
        <v>289.47808838127139</v>
      </c>
      <c r="M575" s="34">
        <f t="shared" si="464"/>
        <v>348.95163375703373</v>
      </c>
      <c r="N575" s="25">
        <f t="shared" si="469"/>
        <v>273.21498083052848</v>
      </c>
      <c r="P575" s="2">
        <f t="shared" si="459"/>
        <v>2022</v>
      </c>
      <c r="Q575" s="25">
        <f>[28]Total!B29</f>
        <v>1360.1650238998454</v>
      </c>
      <c r="R575" s="25">
        <f>[28]Total!C29</f>
        <v>1301.1891816055233</v>
      </c>
      <c r="S575" s="25">
        <f>[28]Total!D29</f>
        <v>1148.7373150315425</v>
      </c>
      <c r="T575" s="25">
        <f>[28]Total!E29</f>
        <v>734.43921953495055</v>
      </c>
      <c r="U575" s="25">
        <f>[28]Total!F29</f>
        <v>816.59006308194569</v>
      </c>
      <c r="V575" s="25">
        <f>[28]Total!G29</f>
        <v>861.94703340444914</v>
      </c>
      <c r="W575" s="25">
        <f>[28]Total!H29</f>
        <v>875.56625460982491</v>
      </c>
      <c r="X575" s="25">
        <f>[28]Total!I29</f>
        <v>905.12659951600392</v>
      </c>
      <c r="Y575" s="25">
        <f>[28]Total!J29</f>
        <v>873.19628687815907</v>
      </c>
      <c r="Z575" s="25">
        <f>[28]Total!K29</f>
        <v>784.02977844381223</v>
      </c>
      <c r="AA575" s="25">
        <f>[28]Total!L29</f>
        <v>1087.8176098359791</v>
      </c>
      <c r="AB575" s="25">
        <f>[28]Total!M29</f>
        <v>1315.5879022816173</v>
      </c>
      <c r="AC575" s="25"/>
      <c r="AD575" s="2">
        <f t="shared" si="460"/>
        <v>2022</v>
      </c>
      <c r="AE575" s="25">
        <f t="shared" si="468"/>
        <v>132</v>
      </c>
      <c r="AF575" s="25">
        <f t="shared" si="468"/>
        <v>132</v>
      </c>
      <c r="AG575" s="25">
        <f t="shared" si="468"/>
        <v>132</v>
      </c>
      <c r="AH575" s="25">
        <f t="shared" si="468"/>
        <v>132</v>
      </c>
      <c r="AI575" s="25">
        <f t="shared" si="468"/>
        <v>132</v>
      </c>
      <c r="AJ575" s="25">
        <f t="shared" si="468"/>
        <v>132</v>
      </c>
      <c r="AK575" s="25">
        <f t="shared" si="466"/>
        <v>132</v>
      </c>
      <c r="AL575" s="25">
        <f t="shared" si="466"/>
        <v>132</v>
      </c>
      <c r="AM575" s="25">
        <f t="shared" si="466"/>
        <v>132</v>
      </c>
      <c r="AN575" s="25">
        <f t="shared" si="466"/>
        <v>132</v>
      </c>
      <c r="AO575" s="25">
        <f t="shared" si="466"/>
        <v>132</v>
      </c>
      <c r="AP575" s="25">
        <f t="shared" si="466"/>
        <v>132</v>
      </c>
      <c r="AS575" s="2">
        <f t="shared" si="461"/>
        <v>2022</v>
      </c>
    </row>
    <row r="576" spans="1:58">
      <c r="A576" s="2">
        <f t="shared" si="458"/>
        <v>2023</v>
      </c>
      <c r="B576" s="34">
        <f t="shared" si="467"/>
        <v>435.30401203496888</v>
      </c>
      <c r="C576" s="34">
        <f t="shared" si="464"/>
        <v>411.71394331427587</v>
      </c>
      <c r="D576" s="34">
        <f t="shared" si="464"/>
        <v>357.45887572372044</v>
      </c>
      <c r="E576" s="34">
        <f t="shared" si="464"/>
        <v>213.42017605259855</v>
      </c>
      <c r="F576" s="34">
        <f t="shared" si="464"/>
        <v>233.50851760057958</v>
      </c>
      <c r="G576" s="34">
        <f t="shared" si="464"/>
        <v>244.1410618427177</v>
      </c>
      <c r="H576" s="34">
        <f t="shared" si="464"/>
        <v>244.6849655178155</v>
      </c>
      <c r="I576" s="34">
        <f t="shared" si="464"/>
        <v>250.28935373436445</v>
      </c>
      <c r="J576" s="34">
        <f t="shared" si="464"/>
        <v>239.41948511877638</v>
      </c>
      <c r="K576" s="34">
        <f t="shared" si="464"/>
        <v>213.29590348672286</v>
      </c>
      <c r="L576" s="34">
        <f t="shared" si="464"/>
        <v>311.86025530653274</v>
      </c>
      <c r="M576" s="34">
        <f t="shared" si="464"/>
        <v>376.16082355744948</v>
      </c>
      <c r="N576" s="25">
        <f t="shared" si="469"/>
        <v>294.27144777421017</v>
      </c>
      <c r="P576" s="2">
        <f t="shared" si="459"/>
        <v>2023</v>
      </c>
      <c r="Q576" s="25">
        <f>[28]Total!B30</f>
        <v>1390.6985107869989</v>
      </c>
      <c r="R576" s="25">
        <f>[28]Total!C30</f>
        <v>1330.1182131098221</v>
      </c>
      <c r="S576" s="25">
        <f>[28]Total!D30</f>
        <v>1173.8502388092361</v>
      </c>
      <c r="T576" s="25">
        <f>[28]Total!E30</f>
        <v>749.6314412962123</v>
      </c>
      <c r="U576" s="25">
        <f>[28]Total!F30</f>
        <v>833.33463675965118</v>
      </c>
      <c r="V576" s="25">
        <f>[28]Total!G30</f>
        <v>879.5522718114446</v>
      </c>
      <c r="W576" s="25">
        <f>[28]Total!H30</f>
        <v>893.28476659943294</v>
      </c>
      <c r="X576" s="25">
        <f>[28]Total!I30</f>
        <v>923.34057058695862</v>
      </c>
      <c r="Y576" s="25">
        <f>[28]Total!J30</f>
        <v>890.66706262066612</v>
      </c>
      <c r="Z576" s="25">
        <f>[28]Total!K30</f>
        <v>799.59529022413744</v>
      </c>
      <c r="AA576" s="25">
        <f>[28]Total!L30</f>
        <v>1110.1997767612404</v>
      </c>
      <c r="AB576" s="25">
        <f>[28]Total!M30</f>
        <v>1342.797092082033</v>
      </c>
      <c r="AC576" s="25"/>
      <c r="AD576" s="2">
        <f t="shared" si="460"/>
        <v>2023</v>
      </c>
      <c r="AE576" s="25">
        <f t="shared" si="468"/>
        <v>132</v>
      </c>
      <c r="AF576" s="25">
        <f t="shared" si="468"/>
        <v>132</v>
      </c>
      <c r="AG576" s="25">
        <f t="shared" si="468"/>
        <v>132</v>
      </c>
      <c r="AH576" s="25">
        <f t="shared" si="468"/>
        <v>132</v>
      </c>
      <c r="AI576" s="25">
        <f t="shared" si="468"/>
        <v>132</v>
      </c>
      <c r="AJ576" s="25">
        <f t="shared" si="468"/>
        <v>132</v>
      </c>
      <c r="AK576" s="25">
        <f t="shared" si="466"/>
        <v>132</v>
      </c>
      <c r="AL576" s="25">
        <f t="shared" si="466"/>
        <v>132</v>
      </c>
      <c r="AM576" s="25">
        <f t="shared" si="466"/>
        <v>132</v>
      </c>
      <c r="AN576" s="25">
        <f t="shared" si="466"/>
        <v>132</v>
      </c>
      <c r="AO576" s="25">
        <f t="shared" si="466"/>
        <v>132</v>
      </c>
      <c r="AP576" s="25">
        <f t="shared" si="466"/>
        <v>132</v>
      </c>
      <c r="AS576" s="2">
        <f t="shared" si="461"/>
        <v>2023</v>
      </c>
    </row>
    <row r="577" spans="1:45">
      <c r="A577" s="2">
        <f t="shared" si="458"/>
        <v>2024</v>
      </c>
      <c r="B577" s="34">
        <f t="shared" si="467"/>
        <v>465.4395962377672</v>
      </c>
      <c r="C577" s="34">
        <f t="shared" si="464"/>
        <v>440.24833554083011</v>
      </c>
      <c r="D577" s="34">
        <f t="shared" si="464"/>
        <v>382.21368925246179</v>
      </c>
      <c r="E577" s="34">
        <f t="shared" si="464"/>
        <v>228.36080243165804</v>
      </c>
      <c r="F577" s="34">
        <f t="shared" si="464"/>
        <v>249.96935114906955</v>
      </c>
      <c r="G577" s="34">
        <f t="shared" si="464"/>
        <v>261.44113344248444</v>
      </c>
      <c r="H577" s="34">
        <f t="shared" si="464"/>
        <v>262.08938375923742</v>
      </c>
      <c r="I577" s="34">
        <f t="shared" si="464"/>
        <v>268.17320954291267</v>
      </c>
      <c r="J577" s="34">
        <f t="shared" si="464"/>
        <v>256.56659385760383</v>
      </c>
      <c r="K577" s="34">
        <f t="shared" si="464"/>
        <v>228.56671861625898</v>
      </c>
      <c r="L577" s="34">
        <f t="shared" si="464"/>
        <v>333.80525845892271</v>
      </c>
      <c r="M577" s="34">
        <f t="shared" si="464"/>
        <v>402.81945284768904</v>
      </c>
      <c r="N577" s="25">
        <f t="shared" si="469"/>
        <v>314.97446042807474</v>
      </c>
      <c r="P577" s="2">
        <f t="shared" si="459"/>
        <v>2024</v>
      </c>
      <c r="Q577" s="25">
        <f>[28]Total!B31</f>
        <v>1420.8340949897972</v>
      </c>
      <c r="R577" s="25">
        <f>[28]Total!C31</f>
        <v>1358.6526053363764</v>
      </c>
      <c r="S577" s="25">
        <f>[28]Total!D31</f>
        <v>1198.6050523379774</v>
      </c>
      <c r="T577" s="25">
        <f>[28]Total!E31</f>
        <v>764.5720676752718</v>
      </c>
      <c r="U577" s="25">
        <f>[28]Total!F31</f>
        <v>849.79547030814115</v>
      </c>
      <c r="V577" s="25">
        <f>[28]Total!G31</f>
        <v>896.85234341121134</v>
      </c>
      <c r="W577" s="25">
        <f>[28]Total!H31</f>
        <v>910.68918484085486</v>
      </c>
      <c r="X577" s="25">
        <f>[28]Total!I31</f>
        <v>941.22442639550684</v>
      </c>
      <c r="Y577" s="25">
        <f>[28]Total!J31</f>
        <v>907.81417135949357</v>
      </c>
      <c r="Z577" s="25">
        <f>[28]Total!K31</f>
        <v>814.86610535367356</v>
      </c>
      <c r="AA577" s="25">
        <f>[28]Total!L31</f>
        <v>1132.1447799136304</v>
      </c>
      <c r="AB577" s="25">
        <f>[28]Total!M31</f>
        <v>1369.4557213722726</v>
      </c>
      <c r="AC577" s="25"/>
      <c r="AD577" s="2">
        <f t="shared" si="460"/>
        <v>2024</v>
      </c>
      <c r="AE577" s="25">
        <f t="shared" si="468"/>
        <v>132</v>
      </c>
      <c r="AF577" s="25">
        <f t="shared" si="468"/>
        <v>132</v>
      </c>
      <c r="AG577" s="25">
        <f t="shared" si="468"/>
        <v>132</v>
      </c>
      <c r="AH577" s="25">
        <f t="shared" si="468"/>
        <v>132</v>
      </c>
      <c r="AI577" s="25">
        <f t="shared" si="468"/>
        <v>132</v>
      </c>
      <c r="AJ577" s="25">
        <f t="shared" si="468"/>
        <v>132</v>
      </c>
      <c r="AK577" s="25">
        <f t="shared" si="466"/>
        <v>132</v>
      </c>
      <c r="AL577" s="25">
        <f t="shared" si="466"/>
        <v>132</v>
      </c>
      <c r="AM577" s="25">
        <f t="shared" si="466"/>
        <v>132</v>
      </c>
      <c r="AN577" s="25">
        <f t="shared" si="466"/>
        <v>132</v>
      </c>
      <c r="AO577" s="25">
        <f t="shared" si="466"/>
        <v>132</v>
      </c>
      <c r="AP577" s="25">
        <f t="shared" si="466"/>
        <v>132</v>
      </c>
      <c r="AS577" s="2">
        <f t="shared" si="461"/>
        <v>2024</v>
      </c>
    </row>
    <row r="578" spans="1:45">
      <c r="A578" s="2">
        <f t="shared" si="458"/>
        <v>2025</v>
      </c>
      <c r="B578" s="34">
        <f t="shared" si="467"/>
        <v>495.36469045922797</v>
      </c>
      <c r="C578" s="34">
        <f t="shared" si="464"/>
        <v>468.56203968425007</v>
      </c>
      <c r="D578" s="34">
        <f t="shared" si="464"/>
        <v>406.75821729791642</v>
      </c>
      <c r="E578" s="34">
        <f t="shared" si="464"/>
        <v>243.12682903766267</v>
      </c>
      <c r="F578" s="34">
        <f t="shared" si="464"/>
        <v>266.22911570557926</v>
      </c>
      <c r="G578" s="34">
        <f t="shared" si="464"/>
        <v>278.52062844211548</v>
      </c>
      <c r="H578" s="34">
        <f t="shared" si="464"/>
        <v>279.26247134307198</v>
      </c>
      <c r="I578" s="34">
        <f t="shared" si="464"/>
        <v>285.80956240458011</v>
      </c>
      <c r="J578" s="34">
        <f t="shared" si="464"/>
        <v>273.46688584799563</v>
      </c>
      <c r="K578" s="34">
        <f t="shared" si="464"/>
        <v>243.60915188735203</v>
      </c>
      <c r="L578" s="34">
        <f t="shared" si="464"/>
        <v>355.42068514223752</v>
      </c>
      <c r="M578" s="34">
        <f t="shared" si="464"/>
        <v>429.05439692446885</v>
      </c>
      <c r="N578" s="25">
        <f t="shared" si="469"/>
        <v>335.43205618137148</v>
      </c>
      <c r="P578" s="2">
        <f t="shared" si="459"/>
        <v>2025</v>
      </c>
      <c r="Q578" s="25">
        <f>[28]Total!B32</f>
        <v>1450.759189211258</v>
      </c>
      <c r="R578" s="25">
        <f>[28]Total!C32</f>
        <v>1386.9663094797963</v>
      </c>
      <c r="S578" s="25">
        <f>[28]Total!D32</f>
        <v>1223.1495803834321</v>
      </c>
      <c r="T578" s="25">
        <f>[28]Total!E32</f>
        <v>779.33809428127643</v>
      </c>
      <c r="U578" s="25">
        <f>[28]Total!F32</f>
        <v>866.05523486465086</v>
      </c>
      <c r="V578" s="25">
        <f>[28]Total!G32</f>
        <v>913.93183841084237</v>
      </c>
      <c r="W578" s="25">
        <f>[28]Total!H32</f>
        <v>927.86227242468942</v>
      </c>
      <c r="X578" s="25">
        <f>[28]Total!I32</f>
        <v>958.86077925717427</v>
      </c>
      <c r="Y578" s="25">
        <f>[28]Total!J32</f>
        <v>924.71446334988536</v>
      </c>
      <c r="Z578" s="25">
        <f>[28]Total!K32</f>
        <v>829.90853862476661</v>
      </c>
      <c r="AA578" s="25">
        <f>[28]Total!L32</f>
        <v>1153.7602065969452</v>
      </c>
      <c r="AB578" s="25">
        <f>[28]Total!M32</f>
        <v>1395.6906654490524</v>
      </c>
      <c r="AC578" s="25"/>
      <c r="AD578" s="2">
        <f t="shared" si="460"/>
        <v>2025</v>
      </c>
      <c r="AE578" s="25">
        <f t="shared" si="468"/>
        <v>132</v>
      </c>
      <c r="AF578" s="25">
        <f t="shared" si="468"/>
        <v>132</v>
      </c>
      <c r="AG578" s="25">
        <f t="shared" si="468"/>
        <v>132</v>
      </c>
      <c r="AH578" s="25">
        <f t="shared" si="468"/>
        <v>132</v>
      </c>
      <c r="AI578" s="25">
        <f t="shared" si="468"/>
        <v>132</v>
      </c>
      <c r="AJ578" s="25">
        <f t="shared" si="468"/>
        <v>132</v>
      </c>
      <c r="AK578" s="25">
        <f t="shared" si="466"/>
        <v>132</v>
      </c>
      <c r="AL578" s="25">
        <f t="shared" si="466"/>
        <v>132</v>
      </c>
      <c r="AM578" s="25">
        <f t="shared" si="466"/>
        <v>132</v>
      </c>
      <c r="AN578" s="25">
        <f t="shared" si="466"/>
        <v>132</v>
      </c>
      <c r="AO578" s="25">
        <f t="shared" si="466"/>
        <v>132</v>
      </c>
      <c r="AP578" s="25">
        <f t="shared" si="466"/>
        <v>132</v>
      </c>
      <c r="AS578" s="2">
        <f t="shared" si="461"/>
        <v>2025</v>
      </c>
    </row>
    <row r="579" spans="1:45">
      <c r="A579" s="2">
        <f t="shared" si="458"/>
        <v>2026</v>
      </c>
      <c r="B579" s="34">
        <f t="shared" si="467"/>
        <v>523.99936897181931</v>
      </c>
      <c r="C579" s="34">
        <f t="shared" si="464"/>
        <v>495.66091674697304</v>
      </c>
      <c r="D579" s="34">
        <f t="shared" si="464"/>
        <v>430.25501683529387</v>
      </c>
      <c r="E579" s="34">
        <f t="shared" si="464"/>
        <v>257.37736521952911</v>
      </c>
      <c r="F579" s="34">
        <f t="shared" si="464"/>
        <v>281.92600576827635</v>
      </c>
      <c r="G579" s="34">
        <f t="shared" si="464"/>
        <v>295.01394013087463</v>
      </c>
      <c r="H579" s="34">
        <f t="shared" si="464"/>
        <v>295.85132615247232</v>
      </c>
      <c r="I579" s="34">
        <f t="shared" si="464"/>
        <v>302.85129386160054</v>
      </c>
      <c r="J579" s="34">
        <f t="shared" si="464"/>
        <v>289.80258899637602</v>
      </c>
      <c r="K579" s="34">
        <f t="shared" si="464"/>
        <v>258.15376621292876</v>
      </c>
      <c r="L579" s="34">
        <f t="shared" si="464"/>
        <v>376.15434135484088</v>
      </c>
      <c r="M579" s="34">
        <f t="shared" si="464"/>
        <v>454.22583383776032</v>
      </c>
      <c r="N579" s="25">
        <f t="shared" si="469"/>
        <v>355.10598034072876</v>
      </c>
      <c r="P579" s="2">
        <f t="shared" si="459"/>
        <v>2026</v>
      </c>
      <c r="Q579" s="25">
        <f>[28]Total!B33</f>
        <v>1479.3938677238493</v>
      </c>
      <c r="R579" s="25">
        <f>[28]Total!C33</f>
        <v>1414.0651865425193</v>
      </c>
      <c r="S579" s="25">
        <f>[28]Total!D33</f>
        <v>1246.6463799208095</v>
      </c>
      <c r="T579" s="25">
        <f>[28]Total!E33</f>
        <v>793.58863046314286</v>
      </c>
      <c r="U579" s="25">
        <f>[28]Total!F33</f>
        <v>881.75212492734795</v>
      </c>
      <c r="V579" s="25">
        <f>[28]Total!G33</f>
        <v>930.42515009960152</v>
      </c>
      <c r="W579" s="25">
        <f>[28]Total!H33</f>
        <v>944.45112723408977</v>
      </c>
      <c r="X579" s="25">
        <f>[28]Total!I33</f>
        <v>975.9025107141947</v>
      </c>
      <c r="Y579" s="25">
        <f>[28]Total!J33</f>
        <v>941.05016649826575</v>
      </c>
      <c r="Z579" s="25">
        <f>[28]Total!K33</f>
        <v>844.45315295034334</v>
      </c>
      <c r="AA579" s="25">
        <f>[28]Total!L33</f>
        <v>1174.4938628095485</v>
      </c>
      <c r="AB579" s="25">
        <f>[28]Total!M33</f>
        <v>1420.8621023623439</v>
      </c>
      <c r="AC579" s="25"/>
      <c r="AD579" s="2">
        <f t="shared" si="460"/>
        <v>2026</v>
      </c>
      <c r="AE579" s="25">
        <f t="shared" si="468"/>
        <v>132</v>
      </c>
      <c r="AF579" s="25">
        <f t="shared" si="468"/>
        <v>132</v>
      </c>
      <c r="AG579" s="25">
        <f t="shared" si="468"/>
        <v>132</v>
      </c>
      <c r="AH579" s="25">
        <f t="shared" si="468"/>
        <v>132</v>
      </c>
      <c r="AI579" s="25">
        <f t="shared" si="468"/>
        <v>132</v>
      </c>
      <c r="AJ579" s="25">
        <f t="shared" si="468"/>
        <v>132</v>
      </c>
      <c r="AK579" s="25">
        <f t="shared" si="466"/>
        <v>132</v>
      </c>
      <c r="AL579" s="25">
        <f t="shared" si="466"/>
        <v>132</v>
      </c>
      <c r="AM579" s="25">
        <f t="shared" si="466"/>
        <v>132</v>
      </c>
      <c r="AN579" s="25">
        <f t="shared" si="466"/>
        <v>132</v>
      </c>
      <c r="AO579" s="25">
        <f t="shared" si="466"/>
        <v>132</v>
      </c>
      <c r="AP579" s="25">
        <f t="shared" si="466"/>
        <v>132</v>
      </c>
      <c r="AS579" s="2">
        <f t="shared" si="461"/>
        <v>2026</v>
      </c>
    </row>
    <row r="580" spans="1:45">
      <c r="A580" s="2">
        <f t="shared" si="458"/>
        <v>2027</v>
      </c>
      <c r="B580" s="34">
        <f t="shared" si="467"/>
        <v>551.61282924684144</v>
      </c>
      <c r="C580" s="34">
        <f t="shared" si="464"/>
        <v>521.79511301726257</v>
      </c>
      <c r="D580" s="34">
        <f t="shared" si="464"/>
        <v>452.9169195003708</v>
      </c>
      <c r="E580" s="34">
        <f t="shared" si="464"/>
        <v>271.21462594377601</v>
      </c>
      <c r="F580" s="34">
        <f t="shared" si="464"/>
        <v>297.16847344271082</v>
      </c>
      <c r="G580" s="34">
        <f t="shared" si="464"/>
        <v>311.0306223778673</v>
      </c>
      <c r="H580" s="34">
        <f t="shared" si="464"/>
        <v>311.96165525652577</v>
      </c>
      <c r="I580" s="34">
        <f t="shared" si="464"/>
        <v>319.40233534738729</v>
      </c>
      <c r="J580" s="34">
        <f t="shared" si="464"/>
        <v>305.66880426877117</v>
      </c>
      <c r="K580" s="34">
        <f t="shared" si="464"/>
        <v>272.28115577695405</v>
      </c>
      <c r="L580" s="34">
        <f t="shared" si="464"/>
        <v>396.16311224797164</v>
      </c>
      <c r="M580" s="34">
        <f t="shared" si="464"/>
        <v>478.51916867936802</v>
      </c>
      <c r="N580" s="25">
        <f t="shared" si="469"/>
        <v>374.1445679254839</v>
      </c>
      <c r="P580" s="2">
        <f t="shared" si="459"/>
        <v>2027</v>
      </c>
      <c r="Q580" s="25">
        <f>[28]Total!B34</f>
        <v>1507.0073279988715</v>
      </c>
      <c r="R580" s="25">
        <f>[28]Total!C34</f>
        <v>1440.1993828128088</v>
      </c>
      <c r="S580" s="25">
        <f>[28]Total!D34</f>
        <v>1269.3082825858864</v>
      </c>
      <c r="T580" s="25">
        <f>[28]Total!E34</f>
        <v>807.42589118738977</v>
      </c>
      <c r="U580" s="25">
        <f>[28]Total!F34</f>
        <v>896.99459260178241</v>
      </c>
      <c r="V580" s="25">
        <f>[28]Total!G34</f>
        <v>946.4418323465942</v>
      </c>
      <c r="W580" s="25">
        <f>[28]Total!H34</f>
        <v>960.56145633814322</v>
      </c>
      <c r="X580" s="25">
        <f>[28]Total!I34</f>
        <v>992.45355219998146</v>
      </c>
      <c r="Y580" s="25">
        <f>[28]Total!J34</f>
        <v>956.91638177066091</v>
      </c>
      <c r="Z580" s="25">
        <f>[28]Total!K34</f>
        <v>858.58054251436863</v>
      </c>
      <c r="AA580" s="25">
        <f>[28]Total!L34</f>
        <v>1194.5026337026793</v>
      </c>
      <c r="AB580" s="25">
        <f>[28]Total!M34</f>
        <v>1445.1554372039516</v>
      </c>
      <c r="AC580" s="25"/>
      <c r="AD580" s="2">
        <f t="shared" si="460"/>
        <v>2027</v>
      </c>
      <c r="AE580" s="25">
        <f t="shared" si="468"/>
        <v>132</v>
      </c>
      <c r="AF580" s="25">
        <f t="shared" si="468"/>
        <v>132</v>
      </c>
      <c r="AG580" s="25">
        <f t="shared" si="468"/>
        <v>132</v>
      </c>
      <c r="AH580" s="25">
        <f t="shared" si="468"/>
        <v>132</v>
      </c>
      <c r="AI580" s="25">
        <f t="shared" si="468"/>
        <v>132</v>
      </c>
      <c r="AJ580" s="25">
        <f t="shared" si="468"/>
        <v>132</v>
      </c>
      <c r="AK580" s="25">
        <f t="shared" si="466"/>
        <v>132</v>
      </c>
      <c r="AL580" s="25">
        <f t="shared" si="466"/>
        <v>132</v>
      </c>
      <c r="AM580" s="25">
        <f t="shared" si="466"/>
        <v>132</v>
      </c>
      <c r="AN580" s="25">
        <f t="shared" si="466"/>
        <v>132</v>
      </c>
      <c r="AO580" s="25">
        <f t="shared" si="466"/>
        <v>132</v>
      </c>
      <c r="AP580" s="25">
        <f t="shared" si="466"/>
        <v>132</v>
      </c>
      <c r="AS580" s="2">
        <f t="shared" si="461"/>
        <v>2027</v>
      </c>
    </row>
    <row r="581" spans="1:45">
      <c r="A581" s="2">
        <f t="shared" si="458"/>
        <v>2028</v>
      </c>
      <c r="B581" s="34">
        <f t="shared" si="467"/>
        <v>578.36118098466602</v>
      </c>
      <c r="C581" s="34">
        <f t="shared" si="464"/>
        <v>547.11909738538316</v>
      </c>
      <c r="D581" s="34">
        <f t="shared" si="464"/>
        <v>474.88379301369514</v>
      </c>
      <c r="E581" s="34">
        <f t="shared" si="464"/>
        <v>284.69674170577457</v>
      </c>
      <c r="F581" s="34">
        <f t="shared" si="464"/>
        <v>312.02310316308797</v>
      </c>
      <c r="G581" s="34">
        <f t="shared" si="464"/>
        <v>326.64335473565791</v>
      </c>
      <c r="H581" s="34">
        <f t="shared" si="464"/>
        <v>327.6693257728391</v>
      </c>
      <c r="I581" s="34">
        <f t="shared" si="464"/>
        <v>335.54350283050314</v>
      </c>
      <c r="J581" s="34">
        <f t="shared" si="464"/>
        <v>321.14579270676427</v>
      </c>
      <c r="K581" s="34">
        <f t="shared" si="464"/>
        <v>286.06530011432346</v>
      </c>
      <c r="L581" s="34">
        <f t="shared" si="464"/>
        <v>415.61553876255493</v>
      </c>
      <c r="M581" s="34">
        <f t="shared" si="464"/>
        <v>502.14639998433086</v>
      </c>
      <c r="N581" s="25">
        <f t="shared" si="469"/>
        <v>392.65942759663176</v>
      </c>
      <c r="P581" s="2">
        <f t="shared" si="459"/>
        <v>2028</v>
      </c>
      <c r="Q581" s="25">
        <f>[28]Total!B35</f>
        <v>1533.755679736696</v>
      </c>
      <c r="R581" s="25">
        <f>[28]Total!C35</f>
        <v>1465.5233671809294</v>
      </c>
      <c r="S581" s="25">
        <f>[28]Total!D35</f>
        <v>1291.2751560992108</v>
      </c>
      <c r="T581" s="25">
        <f>[28]Total!E35</f>
        <v>820.90800694938832</v>
      </c>
      <c r="U581" s="25">
        <f>[28]Total!F35</f>
        <v>911.84922232215956</v>
      </c>
      <c r="V581" s="25">
        <f>[28]Total!G35</f>
        <v>962.0545647043848</v>
      </c>
      <c r="W581" s="25">
        <f>[28]Total!H35</f>
        <v>976.26912685445654</v>
      </c>
      <c r="X581" s="25">
        <f>[28]Total!I35</f>
        <v>1008.5947196830973</v>
      </c>
      <c r="Y581" s="25">
        <f>[28]Total!J35</f>
        <v>972.39337020865401</v>
      </c>
      <c r="Z581" s="25">
        <f>[28]Total!K35</f>
        <v>872.36468685173804</v>
      </c>
      <c r="AA581" s="25">
        <f>[28]Total!L35</f>
        <v>1213.9550602172626</v>
      </c>
      <c r="AB581" s="25">
        <f>[28]Total!M35</f>
        <v>1468.7826685089144</v>
      </c>
      <c r="AC581" s="25"/>
      <c r="AD581" s="2">
        <f t="shared" si="460"/>
        <v>2028</v>
      </c>
      <c r="AE581" s="25">
        <f t="shared" si="468"/>
        <v>132</v>
      </c>
      <c r="AF581" s="25">
        <f t="shared" si="468"/>
        <v>132</v>
      </c>
      <c r="AG581" s="25">
        <f t="shared" si="468"/>
        <v>132</v>
      </c>
      <c r="AH581" s="25">
        <f t="shared" si="468"/>
        <v>132</v>
      </c>
      <c r="AI581" s="25">
        <f t="shared" si="468"/>
        <v>132</v>
      </c>
      <c r="AJ581" s="25">
        <f t="shared" si="468"/>
        <v>132</v>
      </c>
      <c r="AK581" s="25">
        <f t="shared" si="466"/>
        <v>132</v>
      </c>
      <c r="AL581" s="25">
        <f t="shared" si="466"/>
        <v>132</v>
      </c>
      <c r="AM581" s="25">
        <f t="shared" si="466"/>
        <v>132</v>
      </c>
      <c r="AN581" s="25">
        <f t="shared" si="466"/>
        <v>132</v>
      </c>
      <c r="AO581" s="25">
        <f t="shared" si="466"/>
        <v>132</v>
      </c>
      <c r="AP581" s="25">
        <f t="shared" si="466"/>
        <v>132</v>
      </c>
      <c r="AS581" s="2">
        <f t="shared" si="461"/>
        <v>2028</v>
      </c>
    </row>
    <row r="582" spans="1:45">
      <c r="A582" s="2">
        <f t="shared" si="458"/>
        <v>2029</v>
      </c>
      <c r="B582" s="34">
        <f t="shared" si="467"/>
        <v>604.4282083956117</v>
      </c>
      <c r="C582" s="34">
        <f t="shared" si="464"/>
        <v>571.7941732689917</v>
      </c>
      <c r="D582" s="34">
        <f t="shared" si="464"/>
        <v>496.28437747943281</v>
      </c>
      <c r="E582" s="34">
        <f t="shared" si="464"/>
        <v>297.87103838790563</v>
      </c>
      <c r="F582" s="34">
        <f t="shared" si="464"/>
        <v>326.53754297114597</v>
      </c>
      <c r="G582" s="34">
        <f t="shared" si="464"/>
        <v>341.89743600459155</v>
      </c>
      <c r="H582" s="34">
        <f t="shared" si="464"/>
        <v>343.01504482395944</v>
      </c>
      <c r="I582" s="34">
        <f t="shared" si="464"/>
        <v>351.31156566780817</v>
      </c>
      <c r="J582" s="34">
        <f t="shared" si="464"/>
        <v>336.26389942994501</v>
      </c>
      <c r="K582" s="34">
        <f t="shared" si="464"/>
        <v>299.52879831196083</v>
      </c>
      <c r="L582" s="34">
        <f t="shared" si="464"/>
        <v>434.54061200321621</v>
      </c>
      <c r="M582" s="34">
        <f t="shared" si="464"/>
        <v>525.12887876011223</v>
      </c>
      <c r="N582" s="25">
        <f t="shared" si="469"/>
        <v>410.71679795872336</v>
      </c>
      <c r="P582" s="2">
        <f t="shared" si="459"/>
        <v>2029</v>
      </c>
      <c r="Q582" s="25">
        <f>[28]Total!B36</f>
        <v>1559.8227071476417</v>
      </c>
      <c r="R582" s="25">
        <f>[28]Total!C36</f>
        <v>1490.198443064538</v>
      </c>
      <c r="S582" s="25">
        <f>[28]Total!D36</f>
        <v>1312.6757405649485</v>
      </c>
      <c r="T582" s="25">
        <f>[28]Total!E36</f>
        <v>834.08230363151938</v>
      </c>
      <c r="U582" s="25">
        <f>[28]Total!F36</f>
        <v>926.36366213021756</v>
      </c>
      <c r="V582" s="25">
        <f>[28]Total!G36</f>
        <v>977.30864597331845</v>
      </c>
      <c r="W582" s="25">
        <f>[28]Total!H36</f>
        <v>991.61484590557689</v>
      </c>
      <c r="X582" s="25">
        <f>[28]Total!I36</f>
        <v>1024.3627825204023</v>
      </c>
      <c r="Y582" s="25">
        <f>[28]Total!J36</f>
        <v>987.51147693183475</v>
      </c>
      <c r="Z582" s="25">
        <f>[28]Total!K36</f>
        <v>885.82818504937541</v>
      </c>
      <c r="AA582" s="25">
        <f>[28]Total!L36</f>
        <v>1232.8801334579239</v>
      </c>
      <c r="AB582" s="25">
        <f>[28]Total!M36</f>
        <v>1491.7651472846958</v>
      </c>
      <c r="AC582" s="25"/>
      <c r="AD582" s="2">
        <f t="shared" si="460"/>
        <v>2029</v>
      </c>
      <c r="AE582" s="25">
        <f t="shared" si="468"/>
        <v>132</v>
      </c>
      <c r="AF582" s="25">
        <f t="shared" si="468"/>
        <v>132</v>
      </c>
      <c r="AG582" s="25">
        <f t="shared" si="468"/>
        <v>132</v>
      </c>
      <c r="AH582" s="25">
        <f t="shared" si="468"/>
        <v>132</v>
      </c>
      <c r="AI582" s="25">
        <f t="shared" si="468"/>
        <v>132</v>
      </c>
      <c r="AJ582" s="25">
        <f t="shared" si="468"/>
        <v>132</v>
      </c>
      <c r="AK582" s="25">
        <f t="shared" si="466"/>
        <v>132</v>
      </c>
      <c r="AL582" s="25">
        <f t="shared" si="466"/>
        <v>132</v>
      </c>
      <c r="AM582" s="25">
        <f t="shared" si="466"/>
        <v>132</v>
      </c>
      <c r="AN582" s="25">
        <f t="shared" si="466"/>
        <v>132</v>
      </c>
      <c r="AO582" s="25">
        <f t="shared" si="466"/>
        <v>132</v>
      </c>
      <c r="AP582" s="25">
        <f t="shared" si="466"/>
        <v>132</v>
      </c>
      <c r="AS582" s="2">
        <f t="shared" si="461"/>
        <v>2029</v>
      </c>
    </row>
    <row r="583" spans="1:45">
      <c r="A583" s="2">
        <f t="shared" si="458"/>
        <v>2030</v>
      </c>
      <c r="B583" s="34">
        <f t="shared" si="467"/>
        <v>629.76289558402357</v>
      </c>
      <c r="C583" s="34">
        <f t="shared" ref="C583:C593" si="470">(R583-R$566)+(AF583-AF$566)</f>
        <v>595.77457221087002</v>
      </c>
      <c r="D583" s="34">
        <f t="shared" ref="D583:D593" si="471">(S583-S$566)+(AG583-AG$566)</f>
        <v>517.08120071382996</v>
      </c>
      <c r="E583" s="34">
        <f t="shared" ref="E583:E593" si="472">(T583-T$566)+(AH583-AH$566)</f>
        <v>310.72739572458977</v>
      </c>
      <c r="F583" s="34">
        <f t="shared" ref="F583:F593" si="473">(U583-U$566)+(AI583-AI$566)</f>
        <v>340.70163190592609</v>
      </c>
      <c r="G583" s="34">
        <f t="shared" ref="G583:G593" si="474">(V583-V$566)+(AJ583-AJ$566)</f>
        <v>356.78323901397528</v>
      </c>
      <c r="H583" s="34">
        <f t="shared" ref="H583:H593" si="475">(W583-W$566)+(AK583-AK$566)</f>
        <v>357.99019802082535</v>
      </c>
      <c r="I583" s="34">
        <f t="shared" ref="I583:I593" si="476">(X583-X$566)+(AL583-AL$566)</f>
        <v>366.69878577028942</v>
      </c>
      <c r="J583" s="34">
        <f t="shared" ref="J583:J593" si="477">(Y583-Y$566)+(AM583-AM$566)</f>
        <v>351.01678579030931</v>
      </c>
      <c r="K583" s="34">
        <f t="shared" ref="K583:K593" si="478">(Z583-Z$566)+(AN583-AN$566)</f>
        <v>312.66697946185639</v>
      </c>
      <c r="L583" s="34">
        <f t="shared" ref="L583:L593" si="479">(AA583-AA$566)+(AO583-AO$566)</f>
        <v>452.92209785976615</v>
      </c>
      <c r="M583" s="34">
        <f t="shared" ref="M583:M593" si="480">(AB583-AB$566)+(AP583-AP$566)</f>
        <v>547.44965044329138</v>
      </c>
      <c r="N583" s="25">
        <f t="shared" si="469"/>
        <v>428.29795270829601</v>
      </c>
      <c r="P583" s="2">
        <f t="shared" si="459"/>
        <v>2030</v>
      </c>
      <c r="Q583" s="25">
        <f>[28]Total!B37</f>
        <v>1585.1573943360536</v>
      </c>
      <c r="R583" s="25">
        <f>[28]Total!C37</f>
        <v>1514.1788420064163</v>
      </c>
      <c r="S583" s="25">
        <f>[28]Total!D37</f>
        <v>1333.4725637993456</v>
      </c>
      <c r="T583" s="25">
        <f>[28]Total!E37</f>
        <v>846.93866096820352</v>
      </c>
      <c r="U583" s="25">
        <f>[28]Total!F37</f>
        <v>940.52775106499769</v>
      </c>
      <c r="V583" s="25">
        <f>[28]Total!G37</f>
        <v>992.19444898270217</v>
      </c>
      <c r="W583" s="25">
        <f>[28]Total!H37</f>
        <v>1006.5899991024428</v>
      </c>
      <c r="X583" s="25">
        <f>[28]Total!I37</f>
        <v>1039.7500026228836</v>
      </c>
      <c r="Y583" s="25">
        <f>[28]Total!J37</f>
        <v>1002.2643632921991</v>
      </c>
      <c r="Z583" s="25">
        <f>[28]Total!K37</f>
        <v>898.96636619927096</v>
      </c>
      <c r="AA583" s="25">
        <f>[28]Total!L37</f>
        <v>1251.2616193144738</v>
      </c>
      <c r="AB583" s="25">
        <f>[28]Total!M37</f>
        <v>1514.0859189678749</v>
      </c>
      <c r="AC583" s="25"/>
      <c r="AD583" s="2">
        <f t="shared" si="460"/>
        <v>2030</v>
      </c>
      <c r="AE583" s="25">
        <f t="shared" si="468"/>
        <v>132</v>
      </c>
      <c r="AF583" s="25">
        <f t="shared" si="468"/>
        <v>132</v>
      </c>
      <c r="AG583" s="25">
        <f t="shared" si="468"/>
        <v>132</v>
      </c>
      <c r="AH583" s="25">
        <f t="shared" si="468"/>
        <v>132</v>
      </c>
      <c r="AI583" s="25">
        <f t="shared" si="468"/>
        <v>132</v>
      </c>
      <c r="AJ583" s="25">
        <f t="shared" si="468"/>
        <v>132</v>
      </c>
      <c r="AK583" s="25">
        <f t="shared" si="468"/>
        <v>132</v>
      </c>
      <c r="AL583" s="25">
        <f t="shared" si="468"/>
        <v>132</v>
      </c>
      <c r="AM583" s="25">
        <f t="shared" si="468"/>
        <v>132</v>
      </c>
      <c r="AN583" s="25">
        <f t="shared" si="468"/>
        <v>132</v>
      </c>
      <c r="AO583" s="25">
        <f t="shared" si="468"/>
        <v>132</v>
      </c>
      <c r="AP583" s="25">
        <f t="shared" si="468"/>
        <v>132</v>
      </c>
      <c r="AS583" s="2">
        <f t="shared" si="461"/>
        <v>2030</v>
      </c>
    </row>
    <row r="584" spans="1:45">
      <c r="A584" s="2">
        <f t="shared" si="458"/>
        <v>2031</v>
      </c>
      <c r="B584" s="34">
        <f t="shared" si="467"/>
        <v>654.271309506487</v>
      </c>
      <c r="C584" s="34">
        <f t="shared" si="470"/>
        <v>618.97497621647085</v>
      </c>
      <c r="D584" s="34">
        <f t="shared" si="471"/>
        <v>537.20343708223663</v>
      </c>
      <c r="E584" s="34">
        <f t="shared" si="472"/>
        <v>323.24001259279612</v>
      </c>
      <c r="F584" s="34">
        <f t="shared" si="473"/>
        <v>354.48849922879504</v>
      </c>
      <c r="G584" s="34">
        <f t="shared" si="474"/>
        <v>371.27417746511435</v>
      </c>
      <c r="H584" s="34">
        <f t="shared" si="475"/>
        <v>372.56972302803706</v>
      </c>
      <c r="I584" s="34">
        <f t="shared" si="476"/>
        <v>381.6811619761171</v>
      </c>
      <c r="J584" s="34">
        <f t="shared" si="477"/>
        <v>365.3831391372687</v>
      </c>
      <c r="K584" s="34">
        <f t="shared" si="478"/>
        <v>325.46239522993642</v>
      </c>
      <c r="L584" s="34">
        <f t="shared" si="479"/>
        <v>470.72147436749856</v>
      </c>
      <c r="M584" s="34">
        <f t="shared" si="480"/>
        <v>569.06587109562179</v>
      </c>
      <c r="N584" s="25">
        <f>AVERAGE(B584:M584)</f>
        <v>445.36134807719827</v>
      </c>
      <c r="P584" s="2">
        <f t="shared" si="459"/>
        <v>2031</v>
      </c>
      <c r="Q584" s="25">
        <f>[28]Total!B38</f>
        <v>1609.665808258517</v>
      </c>
      <c r="R584" s="25">
        <f>[28]Total!C38</f>
        <v>1537.3792460120171</v>
      </c>
      <c r="S584" s="25">
        <f>[28]Total!D38</f>
        <v>1353.5948001677523</v>
      </c>
      <c r="T584" s="25">
        <f>[28]Total!E38</f>
        <v>859.45127783640987</v>
      </c>
      <c r="U584" s="25">
        <f>[28]Total!F38</f>
        <v>954.31461838786663</v>
      </c>
      <c r="V584" s="25">
        <f>[28]Total!G38</f>
        <v>1006.6853874338412</v>
      </c>
      <c r="W584" s="25">
        <f>[28]Total!H38</f>
        <v>1021.1695241096545</v>
      </c>
      <c r="X584" s="25">
        <f>[28]Total!I38</f>
        <v>1054.7323788287113</v>
      </c>
      <c r="Y584" s="25">
        <f>[28]Total!J38</f>
        <v>1016.6307166391584</v>
      </c>
      <c r="Z584" s="25">
        <f>[28]Total!K38</f>
        <v>911.761781967351</v>
      </c>
      <c r="AA584" s="25">
        <f>[28]Total!L38</f>
        <v>1269.0609958222062</v>
      </c>
      <c r="AB584" s="25">
        <f>[28]Total!M38</f>
        <v>1535.7021396202053</v>
      </c>
      <c r="AC584" s="25"/>
      <c r="AD584" s="2">
        <f t="shared" si="460"/>
        <v>2031</v>
      </c>
      <c r="AE584" s="25">
        <f t="shared" ref="AE584:AP593" si="481">ROUND((117+5+8)/0.9826,0)</f>
        <v>132</v>
      </c>
      <c r="AF584" s="25">
        <f t="shared" si="481"/>
        <v>132</v>
      </c>
      <c r="AG584" s="25">
        <f t="shared" si="481"/>
        <v>132</v>
      </c>
      <c r="AH584" s="25">
        <f t="shared" si="481"/>
        <v>132</v>
      </c>
      <c r="AI584" s="25">
        <f t="shared" si="481"/>
        <v>132</v>
      </c>
      <c r="AJ584" s="25">
        <f t="shared" si="481"/>
        <v>132</v>
      </c>
      <c r="AK584" s="25">
        <f t="shared" si="481"/>
        <v>132</v>
      </c>
      <c r="AL584" s="25">
        <f t="shared" si="481"/>
        <v>132</v>
      </c>
      <c r="AM584" s="25">
        <f t="shared" si="481"/>
        <v>132</v>
      </c>
      <c r="AN584" s="25">
        <f t="shared" si="481"/>
        <v>132</v>
      </c>
      <c r="AO584" s="25">
        <f t="shared" si="481"/>
        <v>132</v>
      </c>
      <c r="AP584" s="25">
        <f t="shared" si="481"/>
        <v>132</v>
      </c>
      <c r="AR584" s="25"/>
      <c r="AS584" s="2">
        <f t="shared" ref="AS584" si="482">AD584</f>
        <v>2031</v>
      </c>
    </row>
    <row r="585" spans="1:45">
      <c r="A585" s="2">
        <f t="shared" ref="A585:A597" si="483">A545</f>
        <v>2032</v>
      </c>
      <c r="B585" s="34">
        <f t="shared" si="467"/>
        <v>678.03699580272712</v>
      </c>
      <c r="C585" s="34">
        <f t="shared" si="470"/>
        <v>641.47365507178961</v>
      </c>
      <c r="D585" s="34">
        <f t="shared" si="471"/>
        <v>556.71825208022869</v>
      </c>
      <c r="E585" s="34">
        <f t="shared" si="472"/>
        <v>335.43980398454369</v>
      </c>
      <c r="F585" s="34">
        <f t="shared" si="473"/>
        <v>367.9315624584948</v>
      </c>
      <c r="G585" s="34">
        <f t="shared" si="474"/>
        <v>385.40468873348198</v>
      </c>
      <c r="H585" s="34">
        <f t="shared" si="475"/>
        <v>386.78756867085485</v>
      </c>
      <c r="I585" s="34">
        <f t="shared" si="476"/>
        <v>396.29285423673025</v>
      </c>
      <c r="J585" s="34">
        <f t="shared" si="477"/>
        <v>379.39500951997206</v>
      </c>
      <c r="K585" s="34">
        <f t="shared" si="478"/>
        <v>337.94295525766688</v>
      </c>
      <c r="L585" s="34">
        <f t="shared" si="479"/>
        <v>487.99268052835396</v>
      </c>
      <c r="M585" s="34">
        <f t="shared" si="480"/>
        <v>590.04215282097948</v>
      </c>
      <c r="N585" s="25">
        <f t="shared" ref="N585:N593" si="484">AVERAGE(B585:M585)</f>
        <v>461.95484826381863</v>
      </c>
      <c r="P585" s="2">
        <f t="shared" ref="P585:P597" si="485">A585</f>
        <v>2032</v>
      </c>
      <c r="Q585" s="25">
        <f>[28]Total!B39</f>
        <v>1633.4314945547571</v>
      </c>
      <c r="R585" s="25">
        <f>[28]Total!C39</f>
        <v>1559.8779248673359</v>
      </c>
      <c r="S585" s="25">
        <f>[28]Total!D39</f>
        <v>1373.1096151657443</v>
      </c>
      <c r="T585" s="25">
        <f>[28]Total!E39</f>
        <v>871.65106922815744</v>
      </c>
      <c r="U585" s="25">
        <f>[28]Total!F39</f>
        <v>967.75768161756639</v>
      </c>
      <c r="V585" s="25">
        <f>[28]Total!G39</f>
        <v>1020.8158987022089</v>
      </c>
      <c r="W585" s="25">
        <f>[28]Total!H39</f>
        <v>1035.3873697524723</v>
      </c>
      <c r="X585" s="25">
        <f>[28]Total!I39</f>
        <v>1069.3440710893244</v>
      </c>
      <c r="Y585" s="25">
        <f>[28]Total!J39</f>
        <v>1030.6425870218618</v>
      </c>
      <c r="Z585" s="25">
        <f>[28]Total!K39</f>
        <v>924.24234199508146</v>
      </c>
      <c r="AA585" s="25">
        <f>[28]Total!L39</f>
        <v>1286.3322019830616</v>
      </c>
      <c r="AB585" s="25">
        <f>[28]Total!M39</f>
        <v>1556.678421345563</v>
      </c>
      <c r="AC585" s="25"/>
      <c r="AD585" s="2">
        <f t="shared" ref="AD585:AD596" si="486">P585</f>
        <v>2032</v>
      </c>
      <c r="AE585" s="25">
        <f t="shared" si="481"/>
        <v>132</v>
      </c>
      <c r="AF585" s="25">
        <f t="shared" si="481"/>
        <v>132</v>
      </c>
      <c r="AG585" s="25">
        <f t="shared" si="481"/>
        <v>132</v>
      </c>
      <c r="AH585" s="25">
        <f t="shared" si="481"/>
        <v>132</v>
      </c>
      <c r="AI585" s="25">
        <f t="shared" si="481"/>
        <v>132</v>
      </c>
      <c r="AJ585" s="25">
        <f t="shared" si="481"/>
        <v>132</v>
      </c>
      <c r="AK585" s="25">
        <f t="shared" si="481"/>
        <v>132</v>
      </c>
      <c r="AL585" s="25">
        <f t="shared" si="481"/>
        <v>132</v>
      </c>
      <c r="AM585" s="25">
        <f t="shared" si="481"/>
        <v>132</v>
      </c>
      <c r="AN585" s="25">
        <f t="shared" si="481"/>
        <v>132</v>
      </c>
      <c r="AO585" s="25">
        <f t="shared" si="481"/>
        <v>132</v>
      </c>
      <c r="AP585" s="25">
        <f t="shared" si="481"/>
        <v>132</v>
      </c>
      <c r="AR585" s="25"/>
      <c r="AS585" s="2">
        <f t="shared" ref="AS585:AS597" si="487">AD585</f>
        <v>2032</v>
      </c>
    </row>
    <row r="586" spans="1:45">
      <c r="A586" s="2">
        <f t="shared" si="483"/>
        <v>2033</v>
      </c>
      <c r="B586" s="34">
        <f t="shared" si="467"/>
        <v>701.11008278278666</v>
      </c>
      <c r="C586" s="34">
        <f t="shared" si="470"/>
        <v>663.31794079241354</v>
      </c>
      <c r="D586" s="34">
        <f t="shared" si="471"/>
        <v>575.66659129814548</v>
      </c>
      <c r="E586" s="34">
        <f t="shared" si="472"/>
        <v>347.34485089644124</v>
      </c>
      <c r="F586" s="34">
        <f t="shared" si="473"/>
        <v>381.05073288814242</v>
      </c>
      <c r="G586" s="34">
        <f t="shared" si="474"/>
        <v>399.19568922569704</v>
      </c>
      <c r="H586" s="34">
        <f t="shared" si="475"/>
        <v>400.66476729065016</v>
      </c>
      <c r="I586" s="34">
        <f t="shared" si="476"/>
        <v>410.55546363681185</v>
      </c>
      <c r="J586" s="34">
        <f t="shared" si="477"/>
        <v>393.07309782253128</v>
      </c>
      <c r="K586" s="34">
        <f t="shared" si="478"/>
        <v>350.12708596886455</v>
      </c>
      <c r="L586" s="34">
        <f t="shared" si="479"/>
        <v>504.7711250374</v>
      </c>
      <c r="M586" s="34">
        <f t="shared" si="480"/>
        <v>610.42136498541231</v>
      </c>
      <c r="N586" s="25">
        <f t="shared" si="484"/>
        <v>478.10823271877479</v>
      </c>
      <c r="P586" s="2">
        <f t="shared" si="485"/>
        <v>2033</v>
      </c>
      <c r="Q586" s="25">
        <f>[28]Total!B40</f>
        <v>1656.5045815348167</v>
      </c>
      <c r="R586" s="25">
        <f>[28]Total!C40</f>
        <v>1581.7222105879598</v>
      </c>
      <c r="S586" s="25">
        <f>[28]Total!D40</f>
        <v>1392.0579543836611</v>
      </c>
      <c r="T586" s="25">
        <f>[28]Total!E40</f>
        <v>883.556116140055</v>
      </c>
      <c r="U586" s="25">
        <f>[28]Total!F40</f>
        <v>980.87685204721402</v>
      </c>
      <c r="V586" s="25">
        <f>[28]Total!G40</f>
        <v>1034.6068991944239</v>
      </c>
      <c r="W586" s="25">
        <f>[28]Total!H40</f>
        <v>1049.2645683722676</v>
      </c>
      <c r="X586" s="25">
        <f>[28]Total!I40</f>
        <v>1083.606680489406</v>
      </c>
      <c r="Y586" s="25">
        <f>[28]Total!J40</f>
        <v>1044.320675324421</v>
      </c>
      <c r="Z586" s="25">
        <f>[28]Total!K40</f>
        <v>936.42647270627913</v>
      </c>
      <c r="AA586" s="25">
        <f>[28]Total!L40</f>
        <v>1303.1106464921077</v>
      </c>
      <c r="AB586" s="25">
        <f>[28]Total!M40</f>
        <v>1577.0576335099959</v>
      </c>
      <c r="AC586" s="25"/>
      <c r="AD586" s="2">
        <f t="shared" si="486"/>
        <v>2033</v>
      </c>
      <c r="AE586" s="25">
        <f t="shared" si="481"/>
        <v>132</v>
      </c>
      <c r="AF586" s="25">
        <f t="shared" si="481"/>
        <v>132</v>
      </c>
      <c r="AG586" s="25">
        <f t="shared" si="481"/>
        <v>132</v>
      </c>
      <c r="AH586" s="25">
        <f t="shared" si="481"/>
        <v>132</v>
      </c>
      <c r="AI586" s="25">
        <f t="shared" si="481"/>
        <v>132</v>
      </c>
      <c r="AJ586" s="25">
        <f t="shared" si="481"/>
        <v>132</v>
      </c>
      <c r="AK586" s="25">
        <f t="shared" si="481"/>
        <v>132</v>
      </c>
      <c r="AL586" s="25">
        <f t="shared" si="481"/>
        <v>132</v>
      </c>
      <c r="AM586" s="25">
        <f t="shared" si="481"/>
        <v>132</v>
      </c>
      <c r="AN586" s="25">
        <f t="shared" si="481"/>
        <v>132</v>
      </c>
      <c r="AO586" s="25">
        <f t="shared" si="481"/>
        <v>132</v>
      </c>
      <c r="AP586" s="25">
        <f t="shared" si="481"/>
        <v>132</v>
      </c>
      <c r="AR586" s="25"/>
      <c r="AS586" s="2">
        <f t="shared" si="487"/>
        <v>2033</v>
      </c>
    </row>
    <row r="587" spans="1:45">
      <c r="A587" s="2">
        <f t="shared" si="483"/>
        <v>2034</v>
      </c>
      <c r="B587" s="34">
        <f t="shared" si="467"/>
        <v>723.52162210644826</v>
      </c>
      <c r="C587" s="34">
        <f t="shared" si="470"/>
        <v>684.53588075648827</v>
      </c>
      <c r="D587" s="34">
        <f t="shared" si="471"/>
        <v>594.07159434288883</v>
      </c>
      <c r="E587" s="34">
        <f t="shared" si="472"/>
        <v>358.9660254153207</v>
      </c>
      <c r="F587" s="34">
        <f t="shared" si="473"/>
        <v>393.85752064545852</v>
      </c>
      <c r="G587" s="34">
        <f t="shared" si="474"/>
        <v>412.65877798210875</v>
      </c>
      <c r="H587" s="34">
        <f t="shared" si="475"/>
        <v>414.2124809690722</v>
      </c>
      <c r="I587" s="34">
        <f t="shared" si="476"/>
        <v>424.47993258194731</v>
      </c>
      <c r="J587" s="34">
        <f t="shared" si="477"/>
        <v>406.42738410071229</v>
      </c>
      <c r="K587" s="34">
        <f t="shared" si="478"/>
        <v>362.02321422735099</v>
      </c>
      <c r="L587" s="34">
        <f t="shared" si="479"/>
        <v>521.0682527854492</v>
      </c>
      <c r="M587" s="34">
        <f t="shared" si="480"/>
        <v>630.21593370454957</v>
      </c>
      <c r="N587" s="25">
        <f t="shared" si="484"/>
        <v>493.8365516348162</v>
      </c>
      <c r="P587" s="2">
        <f t="shared" si="485"/>
        <v>2034</v>
      </c>
      <c r="Q587" s="25">
        <f>[28]Total!B41</f>
        <v>1678.9161208584783</v>
      </c>
      <c r="R587" s="25">
        <f>[28]Total!C41</f>
        <v>1602.9401505520345</v>
      </c>
      <c r="S587" s="25">
        <f>[28]Total!D41</f>
        <v>1410.4629574284045</v>
      </c>
      <c r="T587" s="25">
        <f>[28]Total!E41</f>
        <v>895.17729065893445</v>
      </c>
      <c r="U587" s="25">
        <f>[28]Total!F41</f>
        <v>993.68363980453012</v>
      </c>
      <c r="V587" s="25">
        <f>[28]Total!G41</f>
        <v>1048.0699879508356</v>
      </c>
      <c r="W587" s="25">
        <f>[28]Total!H41</f>
        <v>1062.8122820506896</v>
      </c>
      <c r="X587" s="25">
        <f>[28]Total!I41</f>
        <v>1097.5311494345415</v>
      </c>
      <c r="Y587" s="25">
        <f>[28]Total!J41</f>
        <v>1057.674961602602</v>
      </c>
      <c r="Z587" s="25">
        <f>[28]Total!K41</f>
        <v>948.32260096476557</v>
      </c>
      <c r="AA587" s="25">
        <f>[28]Total!L41</f>
        <v>1319.4077742401569</v>
      </c>
      <c r="AB587" s="25">
        <f>[28]Total!M41</f>
        <v>1596.8522022291331</v>
      </c>
      <c r="AC587" s="25"/>
      <c r="AD587" s="2">
        <f t="shared" si="486"/>
        <v>2034</v>
      </c>
      <c r="AE587" s="25">
        <f t="shared" si="481"/>
        <v>132</v>
      </c>
      <c r="AF587" s="25">
        <f t="shared" si="481"/>
        <v>132</v>
      </c>
      <c r="AG587" s="25">
        <f t="shared" si="481"/>
        <v>132</v>
      </c>
      <c r="AH587" s="25">
        <f t="shared" si="481"/>
        <v>132</v>
      </c>
      <c r="AI587" s="25">
        <f t="shared" si="481"/>
        <v>132</v>
      </c>
      <c r="AJ587" s="25">
        <f t="shared" si="481"/>
        <v>132</v>
      </c>
      <c r="AK587" s="25">
        <f t="shared" si="481"/>
        <v>132</v>
      </c>
      <c r="AL587" s="25">
        <f t="shared" si="481"/>
        <v>132</v>
      </c>
      <c r="AM587" s="25">
        <f t="shared" si="481"/>
        <v>132</v>
      </c>
      <c r="AN587" s="25">
        <f t="shared" si="481"/>
        <v>132</v>
      </c>
      <c r="AO587" s="25">
        <f t="shared" si="481"/>
        <v>132</v>
      </c>
      <c r="AP587" s="25">
        <f t="shared" si="481"/>
        <v>132</v>
      </c>
      <c r="AR587" s="25"/>
      <c r="AS587" s="2">
        <f t="shared" si="487"/>
        <v>2034</v>
      </c>
    </row>
    <row r="588" spans="1:45">
      <c r="A588" s="2">
        <f t="shared" si="483"/>
        <v>2035</v>
      </c>
      <c r="B588" s="34">
        <f t="shared" si="467"/>
        <v>745.27517357439899</v>
      </c>
      <c r="C588" s="34">
        <f t="shared" si="470"/>
        <v>705.13153625504674</v>
      </c>
      <c r="D588" s="34">
        <f t="shared" si="471"/>
        <v>611.93739273185315</v>
      </c>
      <c r="E588" s="34">
        <f t="shared" si="472"/>
        <v>370.30763794481481</v>
      </c>
      <c r="F588" s="34">
        <f t="shared" si="473"/>
        <v>406.3569310336411</v>
      </c>
      <c r="G588" s="34">
        <f t="shared" si="474"/>
        <v>425.79948808626602</v>
      </c>
      <c r="H588" s="34">
        <f t="shared" si="475"/>
        <v>427.43655368040845</v>
      </c>
      <c r="I588" s="34">
        <f t="shared" si="476"/>
        <v>438.07255462649266</v>
      </c>
      <c r="J588" s="34">
        <f t="shared" si="477"/>
        <v>419.46418269879314</v>
      </c>
      <c r="K588" s="34">
        <f t="shared" si="478"/>
        <v>373.63721589679039</v>
      </c>
      <c r="L588" s="34">
        <f t="shared" si="479"/>
        <v>536.8923503448284</v>
      </c>
      <c r="M588" s="34">
        <f t="shared" si="480"/>
        <v>649.43667861349104</v>
      </c>
      <c r="N588" s="25">
        <f t="shared" si="484"/>
        <v>509.14564129056879</v>
      </c>
      <c r="P588" s="2">
        <f t="shared" si="485"/>
        <v>2035</v>
      </c>
      <c r="Q588" s="25">
        <f>[28]Total!B42</f>
        <v>1700.669672326429</v>
      </c>
      <c r="R588" s="25">
        <f>[28]Total!C42</f>
        <v>1623.535806050593</v>
      </c>
      <c r="S588" s="25">
        <f>[28]Total!D42</f>
        <v>1428.3287558173688</v>
      </c>
      <c r="T588" s="25">
        <f>[28]Total!E42</f>
        <v>906.51890318842857</v>
      </c>
      <c r="U588" s="25">
        <f>[28]Total!F42</f>
        <v>1006.1830501927127</v>
      </c>
      <c r="V588" s="25">
        <f>[28]Total!G42</f>
        <v>1061.2106980549929</v>
      </c>
      <c r="W588" s="25">
        <f>[28]Total!H42</f>
        <v>1076.0363547620259</v>
      </c>
      <c r="X588" s="25">
        <f>[28]Total!I42</f>
        <v>1111.1237714790868</v>
      </c>
      <c r="Y588" s="25">
        <f>[28]Total!J42</f>
        <v>1070.7117602006829</v>
      </c>
      <c r="Z588" s="25">
        <f>[28]Total!K42</f>
        <v>959.93660263420497</v>
      </c>
      <c r="AA588" s="25">
        <f>[28]Total!L42</f>
        <v>1335.2318717995361</v>
      </c>
      <c r="AB588" s="25">
        <f>[28]Total!M42</f>
        <v>1616.0729471380746</v>
      </c>
      <c r="AC588" s="25"/>
      <c r="AD588" s="2">
        <f t="shared" si="486"/>
        <v>2035</v>
      </c>
      <c r="AE588" s="25">
        <f t="shared" si="481"/>
        <v>132</v>
      </c>
      <c r="AF588" s="25">
        <f t="shared" si="481"/>
        <v>132</v>
      </c>
      <c r="AG588" s="25">
        <f t="shared" si="481"/>
        <v>132</v>
      </c>
      <c r="AH588" s="25">
        <f t="shared" si="481"/>
        <v>132</v>
      </c>
      <c r="AI588" s="25">
        <f t="shared" si="481"/>
        <v>132</v>
      </c>
      <c r="AJ588" s="25">
        <f t="shared" si="481"/>
        <v>132</v>
      </c>
      <c r="AK588" s="25">
        <f t="shared" si="481"/>
        <v>132</v>
      </c>
      <c r="AL588" s="25">
        <f t="shared" si="481"/>
        <v>132</v>
      </c>
      <c r="AM588" s="25">
        <f t="shared" si="481"/>
        <v>132</v>
      </c>
      <c r="AN588" s="25">
        <f t="shared" si="481"/>
        <v>132</v>
      </c>
      <c r="AO588" s="25">
        <f t="shared" si="481"/>
        <v>132</v>
      </c>
      <c r="AP588" s="25">
        <f t="shared" si="481"/>
        <v>132</v>
      </c>
      <c r="AR588" s="25"/>
      <c r="AS588" s="2">
        <f t="shared" si="487"/>
        <v>2035</v>
      </c>
    </row>
    <row r="589" spans="1:45">
      <c r="A589" s="2">
        <f t="shared" si="483"/>
        <v>2036</v>
      </c>
      <c r="B589" s="34">
        <f t="shared" si="467"/>
        <v>766.38412061266638</v>
      </c>
      <c r="C589" s="34">
        <f t="shared" si="470"/>
        <v>725.11793793380753</v>
      </c>
      <c r="D589" s="34">
        <f t="shared" si="471"/>
        <v>629.27560664863927</v>
      </c>
      <c r="E589" s="34">
        <f t="shared" si="472"/>
        <v>381.37659640901484</v>
      </c>
      <c r="F589" s="34">
        <f t="shared" si="473"/>
        <v>418.55669928343627</v>
      </c>
      <c r="G589" s="34">
        <f t="shared" si="474"/>
        <v>438.626081467483</v>
      </c>
      <c r="H589" s="34">
        <f t="shared" si="475"/>
        <v>440.34543190434943</v>
      </c>
      <c r="I589" s="34">
        <f t="shared" si="476"/>
        <v>451.3421490206091</v>
      </c>
      <c r="J589" s="34">
        <f t="shared" si="477"/>
        <v>432.19208549966311</v>
      </c>
      <c r="K589" s="34">
        <f t="shared" si="478"/>
        <v>384.97686525974768</v>
      </c>
      <c r="L589" s="34">
        <f t="shared" si="479"/>
        <v>552.25611801071682</v>
      </c>
      <c r="M589" s="34">
        <f t="shared" si="480"/>
        <v>668.09941870306966</v>
      </c>
      <c r="N589" s="25">
        <f t="shared" si="484"/>
        <v>524.04575922943366</v>
      </c>
      <c r="P589" s="2">
        <f t="shared" si="485"/>
        <v>2036</v>
      </c>
      <c r="Q589" s="25">
        <f>[28]Total!B43</f>
        <v>1721.7786193646964</v>
      </c>
      <c r="R589" s="25">
        <f>[28]Total!C43</f>
        <v>1643.5222077293538</v>
      </c>
      <c r="S589" s="25">
        <f>[28]Total!D43</f>
        <v>1445.6669697341549</v>
      </c>
      <c r="T589" s="25">
        <f>[28]Total!E43</f>
        <v>917.58786165262859</v>
      </c>
      <c r="U589" s="25">
        <f>[28]Total!F43</f>
        <v>1018.3828184425079</v>
      </c>
      <c r="V589" s="25">
        <f>[28]Total!G43</f>
        <v>1074.0372914362099</v>
      </c>
      <c r="W589" s="25">
        <f>[28]Total!H43</f>
        <v>1088.9452329859669</v>
      </c>
      <c r="X589" s="25">
        <f>[28]Total!I43</f>
        <v>1124.3933658732033</v>
      </c>
      <c r="Y589" s="25">
        <f>[28]Total!J43</f>
        <v>1083.4396630015528</v>
      </c>
      <c r="Z589" s="25">
        <f>[28]Total!K43</f>
        <v>971.27625199716226</v>
      </c>
      <c r="AA589" s="25">
        <f>[28]Total!L43</f>
        <v>1350.5956394654245</v>
      </c>
      <c r="AB589" s="25">
        <f>[28]Total!M43</f>
        <v>1634.7356872276532</v>
      </c>
      <c r="AC589" s="25"/>
      <c r="AD589" s="2">
        <f t="shared" si="486"/>
        <v>2036</v>
      </c>
      <c r="AE589" s="25">
        <f t="shared" si="481"/>
        <v>132</v>
      </c>
      <c r="AF589" s="25">
        <f t="shared" si="481"/>
        <v>132</v>
      </c>
      <c r="AG589" s="25">
        <f t="shared" si="481"/>
        <v>132</v>
      </c>
      <c r="AH589" s="25">
        <f t="shared" si="481"/>
        <v>132</v>
      </c>
      <c r="AI589" s="25">
        <f t="shared" si="481"/>
        <v>132</v>
      </c>
      <c r="AJ589" s="25">
        <f t="shared" si="481"/>
        <v>132</v>
      </c>
      <c r="AK589" s="25">
        <f t="shared" si="481"/>
        <v>132</v>
      </c>
      <c r="AL589" s="25">
        <f t="shared" si="481"/>
        <v>132</v>
      </c>
      <c r="AM589" s="25">
        <f t="shared" si="481"/>
        <v>132</v>
      </c>
      <c r="AN589" s="25">
        <f t="shared" si="481"/>
        <v>132</v>
      </c>
      <c r="AO589" s="25">
        <f t="shared" si="481"/>
        <v>132</v>
      </c>
      <c r="AP589" s="25">
        <f t="shared" si="481"/>
        <v>132</v>
      </c>
      <c r="AR589" s="25"/>
      <c r="AS589" s="2">
        <f t="shared" si="487"/>
        <v>2036</v>
      </c>
    </row>
    <row r="590" spans="1:45">
      <c r="A590" s="2">
        <f t="shared" si="483"/>
        <v>2037</v>
      </c>
      <c r="B590" s="34">
        <f t="shared" si="467"/>
        <v>786.88116361177879</v>
      </c>
      <c r="C590" s="34">
        <f t="shared" si="470"/>
        <v>744.52581919373756</v>
      </c>
      <c r="D590" s="34">
        <f t="shared" si="471"/>
        <v>646.11269652413398</v>
      </c>
      <c r="E590" s="34">
        <f t="shared" si="472"/>
        <v>392.18569636049369</v>
      </c>
      <c r="F590" s="34">
        <f t="shared" si="473"/>
        <v>430.47078970007806</v>
      </c>
      <c r="G590" s="34">
        <f t="shared" si="474"/>
        <v>451.15309273611376</v>
      </c>
      <c r="H590" s="34">
        <f t="shared" si="475"/>
        <v>452.95359370730193</v>
      </c>
      <c r="I590" s="34">
        <f t="shared" si="476"/>
        <v>464.30344268861757</v>
      </c>
      <c r="J590" s="34">
        <f t="shared" si="477"/>
        <v>444.62506720223701</v>
      </c>
      <c r="K590" s="34">
        <f t="shared" si="478"/>
        <v>396.05447666978296</v>
      </c>
      <c r="L590" s="34">
        <f t="shared" si="479"/>
        <v>567.18147608507297</v>
      </c>
      <c r="M590" s="34">
        <f t="shared" si="480"/>
        <v>686.23053229135303</v>
      </c>
      <c r="N590" s="25">
        <f t="shared" si="484"/>
        <v>538.55648723089178</v>
      </c>
      <c r="P590" s="2">
        <f t="shared" si="485"/>
        <v>2037</v>
      </c>
      <c r="Q590" s="25">
        <f>[28]Total!B44</f>
        <v>1742.2756623638088</v>
      </c>
      <c r="R590" s="25">
        <f>[28]Total!C44</f>
        <v>1662.9300889892838</v>
      </c>
      <c r="S590" s="25">
        <f>[28]Total!D44</f>
        <v>1462.5040596096496</v>
      </c>
      <c r="T590" s="25">
        <f>[28]Total!E44</f>
        <v>928.39696160410745</v>
      </c>
      <c r="U590" s="25">
        <f>[28]Total!F44</f>
        <v>1030.2969088591497</v>
      </c>
      <c r="V590" s="25">
        <f>[28]Total!G44</f>
        <v>1086.5643027048407</v>
      </c>
      <c r="W590" s="25">
        <f>[28]Total!H44</f>
        <v>1101.5533947889194</v>
      </c>
      <c r="X590" s="25">
        <f>[28]Total!I44</f>
        <v>1137.3546595412117</v>
      </c>
      <c r="Y590" s="25">
        <f>[28]Total!J44</f>
        <v>1095.8726447041267</v>
      </c>
      <c r="Z590" s="25">
        <f>[28]Total!K44</f>
        <v>982.35386340719754</v>
      </c>
      <c r="AA590" s="25">
        <f>[28]Total!L44</f>
        <v>1365.5209975397806</v>
      </c>
      <c r="AB590" s="25">
        <f>[28]Total!M44</f>
        <v>1652.8668008159366</v>
      </c>
      <c r="AC590" s="25"/>
      <c r="AD590" s="2">
        <f t="shared" si="486"/>
        <v>2037</v>
      </c>
      <c r="AE590" s="25">
        <f t="shared" si="481"/>
        <v>132</v>
      </c>
      <c r="AF590" s="25">
        <f t="shared" si="481"/>
        <v>132</v>
      </c>
      <c r="AG590" s="25">
        <f t="shared" si="481"/>
        <v>132</v>
      </c>
      <c r="AH590" s="25">
        <f t="shared" si="481"/>
        <v>132</v>
      </c>
      <c r="AI590" s="25">
        <f t="shared" si="481"/>
        <v>132</v>
      </c>
      <c r="AJ590" s="25">
        <f t="shared" si="481"/>
        <v>132</v>
      </c>
      <c r="AK590" s="25">
        <f t="shared" si="481"/>
        <v>132</v>
      </c>
      <c r="AL590" s="25">
        <f t="shared" si="481"/>
        <v>132</v>
      </c>
      <c r="AM590" s="25">
        <f t="shared" si="481"/>
        <v>132</v>
      </c>
      <c r="AN590" s="25">
        <f t="shared" si="481"/>
        <v>132</v>
      </c>
      <c r="AO590" s="25">
        <f t="shared" si="481"/>
        <v>132</v>
      </c>
      <c r="AP590" s="25">
        <f t="shared" si="481"/>
        <v>132</v>
      </c>
      <c r="AR590" s="25"/>
      <c r="AS590" s="2">
        <f t="shared" si="487"/>
        <v>2037</v>
      </c>
    </row>
    <row r="591" spans="1:45">
      <c r="A591" s="2">
        <f t="shared" si="483"/>
        <v>2038</v>
      </c>
      <c r="B591" s="34">
        <f t="shared" si="467"/>
        <v>806.78985081740791</v>
      </c>
      <c r="C591" s="34">
        <f t="shared" si="470"/>
        <v>763.37735688649741</v>
      </c>
      <c r="D591" s="34">
        <f t="shared" si="471"/>
        <v>662.46779587757919</v>
      </c>
      <c r="E591" s="34">
        <f t="shared" si="472"/>
        <v>402.74447185272402</v>
      </c>
      <c r="F591" s="34">
        <f t="shared" si="473"/>
        <v>442.10966501036955</v>
      </c>
      <c r="G591" s="34">
        <f t="shared" si="474"/>
        <v>463.3914740047918</v>
      </c>
      <c r="H591" s="34">
        <f t="shared" si="475"/>
        <v>465.27201241907846</v>
      </c>
      <c r="I591" s="34">
        <f t="shared" si="476"/>
        <v>476.96766460995752</v>
      </c>
      <c r="J591" s="34">
        <f t="shared" si="477"/>
        <v>456.7738489423873</v>
      </c>
      <c r="K591" s="34">
        <f t="shared" si="478"/>
        <v>406.87955732863304</v>
      </c>
      <c r="L591" s="34">
        <f t="shared" si="479"/>
        <v>581.68458150385959</v>
      </c>
      <c r="M591" s="34">
        <f t="shared" si="480"/>
        <v>703.84951561496291</v>
      </c>
      <c r="N591" s="25">
        <f t="shared" si="484"/>
        <v>552.69231623902078</v>
      </c>
      <c r="P591" s="2">
        <f t="shared" si="485"/>
        <v>2038</v>
      </c>
      <c r="Q591" s="25">
        <f>[28]Total!B45</f>
        <v>1762.1843495694379</v>
      </c>
      <c r="R591" s="25">
        <f>[28]Total!C45</f>
        <v>1681.7816266820437</v>
      </c>
      <c r="S591" s="25">
        <f>[28]Total!D45</f>
        <v>1478.8591589630948</v>
      </c>
      <c r="T591" s="25">
        <f>[28]Total!E45</f>
        <v>938.95573709633777</v>
      </c>
      <c r="U591" s="25">
        <f>[28]Total!F45</f>
        <v>1041.9357841694411</v>
      </c>
      <c r="V591" s="25">
        <f>[28]Total!G45</f>
        <v>1098.8026839735187</v>
      </c>
      <c r="W591" s="25">
        <f>[28]Total!H45</f>
        <v>1113.8718135006959</v>
      </c>
      <c r="X591" s="25">
        <f>[28]Total!I45</f>
        <v>1150.0188814625517</v>
      </c>
      <c r="Y591" s="25">
        <f>[28]Total!J45</f>
        <v>1108.021426444277</v>
      </c>
      <c r="Z591" s="25">
        <f>[28]Total!K45</f>
        <v>993.17894406604762</v>
      </c>
      <c r="AA591" s="25">
        <f>[28]Total!L45</f>
        <v>1380.0241029585673</v>
      </c>
      <c r="AB591" s="25">
        <f>[28]Total!M45</f>
        <v>1670.4857841395465</v>
      </c>
      <c r="AC591" s="25"/>
      <c r="AD591" s="2">
        <f t="shared" si="486"/>
        <v>2038</v>
      </c>
      <c r="AE591" s="25">
        <f t="shared" si="481"/>
        <v>132</v>
      </c>
      <c r="AF591" s="25">
        <f t="shared" si="481"/>
        <v>132</v>
      </c>
      <c r="AG591" s="25">
        <f t="shared" si="481"/>
        <v>132</v>
      </c>
      <c r="AH591" s="25">
        <f t="shared" si="481"/>
        <v>132</v>
      </c>
      <c r="AI591" s="25">
        <f t="shared" si="481"/>
        <v>132</v>
      </c>
      <c r="AJ591" s="25">
        <f t="shared" si="481"/>
        <v>132</v>
      </c>
      <c r="AK591" s="25">
        <f t="shared" si="481"/>
        <v>132</v>
      </c>
      <c r="AL591" s="25">
        <f t="shared" si="481"/>
        <v>132</v>
      </c>
      <c r="AM591" s="25">
        <f t="shared" si="481"/>
        <v>132</v>
      </c>
      <c r="AN591" s="25">
        <f t="shared" si="481"/>
        <v>132</v>
      </c>
      <c r="AO591" s="25">
        <f t="shared" si="481"/>
        <v>132</v>
      </c>
      <c r="AP591" s="25">
        <f t="shared" si="481"/>
        <v>132</v>
      </c>
      <c r="AR591" s="25"/>
      <c r="AS591" s="2">
        <f t="shared" si="487"/>
        <v>2038</v>
      </c>
    </row>
    <row r="592" spans="1:45">
      <c r="A592" s="2">
        <f t="shared" si="483"/>
        <v>2039</v>
      </c>
      <c r="B592" s="34">
        <f t="shared" si="467"/>
        <v>826.12894606363977</v>
      </c>
      <c r="C592" s="34">
        <f t="shared" si="470"/>
        <v>781.69019993424149</v>
      </c>
      <c r="D592" s="34">
        <f t="shared" si="471"/>
        <v>678.35611205541954</v>
      </c>
      <c r="E592" s="34">
        <f t="shared" si="472"/>
        <v>413.06091848941446</v>
      </c>
      <c r="F592" s="34">
        <f t="shared" si="473"/>
        <v>453.48208719917693</v>
      </c>
      <c r="G592" s="34">
        <f t="shared" si="474"/>
        <v>475.35038381323318</v>
      </c>
      <c r="H592" s="34">
        <f t="shared" si="475"/>
        <v>477.3098507474117</v>
      </c>
      <c r="I592" s="34">
        <f t="shared" si="476"/>
        <v>489.34417678512375</v>
      </c>
      <c r="J592" s="34">
        <f t="shared" si="477"/>
        <v>468.64735550130445</v>
      </c>
      <c r="K592" s="34">
        <f t="shared" si="478"/>
        <v>417.46000897806061</v>
      </c>
      <c r="L592" s="34">
        <f t="shared" si="479"/>
        <v>595.77812588639949</v>
      </c>
      <c r="M592" s="34">
        <f t="shared" si="480"/>
        <v>720.97165774722498</v>
      </c>
      <c r="N592" s="25">
        <f t="shared" si="484"/>
        <v>566.46498526672087</v>
      </c>
      <c r="P592" s="2">
        <f t="shared" si="485"/>
        <v>2039</v>
      </c>
      <c r="Q592" s="25">
        <f>[28]Total!B46</f>
        <v>1781.5234448156698</v>
      </c>
      <c r="R592" s="25">
        <f>[28]Total!C46</f>
        <v>1700.0944697297878</v>
      </c>
      <c r="S592" s="25">
        <f>[28]Total!D46</f>
        <v>1494.7474751409352</v>
      </c>
      <c r="T592" s="25">
        <f>[28]Total!E46</f>
        <v>949.27218373302821</v>
      </c>
      <c r="U592" s="25">
        <f>[28]Total!F46</f>
        <v>1053.3082063582485</v>
      </c>
      <c r="V592" s="25">
        <f>[28]Total!G46</f>
        <v>1110.7615937819601</v>
      </c>
      <c r="W592" s="25">
        <f>[28]Total!H46</f>
        <v>1125.9096518290291</v>
      </c>
      <c r="X592" s="25">
        <f>[28]Total!I46</f>
        <v>1162.3953936377179</v>
      </c>
      <c r="Y592" s="25">
        <f>[28]Total!J46</f>
        <v>1119.8949330031942</v>
      </c>
      <c r="Z592" s="25">
        <f>[28]Total!K46</f>
        <v>1003.7593957154752</v>
      </c>
      <c r="AA592" s="25">
        <f>[28]Total!L46</f>
        <v>1394.1176473411072</v>
      </c>
      <c r="AB592" s="25">
        <f>[28]Total!M46</f>
        <v>1687.6079262718085</v>
      </c>
      <c r="AC592" s="25"/>
      <c r="AD592" s="2">
        <f t="shared" si="486"/>
        <v>2039</v>
      </c>
      <c r="AE592" s="25">
        <f t="shared" si="481"/>
        <v>132</v>
      </c>
      <c r="AF592" s="25">
        <f t="shared" si="481"/>
        <v>132</v>
      </c>
      <c r="AG592" s="25">
        <f t="shared" si="481"/>
        <v>132</v>
      </c>
      <c r="AH592" s="25">
        <f t="shared" si="481"/>
        <v>132</v>
      </c>
      <c r="AI592" s="25">
        <f t="shared" si="481"/>
        <v>132</v>
      </c>
      <c r="AJ592" s="25">
        <f t="shared" si="481"/>
        <v>132</v>
      </c>
      <c r="AK592" s="25">
        <f t="shared" si="481"/>
        <v>132</v>
      </c>
      <c r="AL592" s="25">
        <f t="shared" si="481"/>
        <v>132</v>
      </c>
      <c r="AM592" s="25">
        <f t="shared" si="481"/>
        <v>132</v>
      </c>
      <c r="AN592" s="25">
        <f t="shared" si="481"/>
        <v>132</v>
      </c>
      <c r="AO592" s="25">
        <f t="shared" si="481"/>
        <v>132</v>
      </c>
      <c r="AP592" s="25">
        <f t="shared" si="481"/>
        <v>132</v>
      </c>
      <c r="AR592" s="25"/>
      <c r="AS592" s="2">
        <f t="shared" si="487"/>
        <v>2039</v>
      </c>
    </row>
    <row r="593" spans="1:119">
      <c r="A593" s="2">
        <f t="shared" si="483"/>
        <v>2040</v>
      </c>
      <c r="B593" s="34">
        <f t="shared" si="467"/>
        <v>844.91500137593414</v>
      </c>
      <c r="C593" s="34">
        <f t="shared" si="470"/>
        <v>799.48012553704621</v>
      </c>
      <c r="D593" s="34">
        <f t="shared" si="471"/>
        <v>693.79142459721743</v>
      </c>
      <c r="E593" s="34">
        <f t="shared" si="472"/>
        <v>423.14251410731072</v>
      </c>
      <c r="F593" s="34">
        <f t="shared" si="473"/>
        <v>464.59632358565273</v>
      </c>
      <c r="G593" s="34">
        <f t="shared" si="474"/>
        <v>487.03854141104023</v>
      </c>
      <c r="H593" s="34">
        <f t="shared" si="475"/>
        <v>489.07591151272891</v>
      </c>
      <c r="I593" s="34">
        <f t="shared" si="476"/>
        <v>501.44205674169541</v>
      </c>
      <c r="J593" s="34">
        <f t="shared" si="477"/>
        <v>480.25432171075386</v>
      </c>
      <c r="K593" s="34">
        <f t="shared" si="478"/>
        <v>427.80363883785753</v>
      </c>
      <c r="L593" s="34">
        <f t="shared" si="479"/>
        <v>609.4750252631477</v>
      </c>
      <c r="M593" s="34">
        <f t="shared" si="480"/>
        <v>737.61276309384925</v>
      </c>
      <c r="N593" s="25">
        <f t="shared" si="484"/>
        <v>579.8856373145195</v>
      </c>
      <c r="P593" s="2">
        <f t="shared" si="485"/>
        <v>2040</v>
      </c>
      <c r="Q593" s="25">
        <f>[28]Total!B47</f>
        <v>1800.3095001279642</v>
      </c>
      <c r="R593" s="25">
        <f>[28]Total!C47</f>
        <v>1717.8843953325925</v>
      </c>
      <c r="S593" s="25">
        <f>[28]Total!D47</f>
        <v>1510.1827876827331</v>
      </c>
      <c r="T593" s="25">
        <f>[28]Total!E47</f>
        <v>959.35377935092447</v>
      </c>
      <c r="U593" s="25">
        <f>[28]Total!F47</f>
        <v>1064.4224427447243</v>
      </c>
      <c r="V593" s="25">
        <f>[28]Total!G47</f>
        <v>1122.4497513797671</v>
      </c>
      <c r="W593" s="25">
        <f>[28]Total!H47</f>
        <v>1137.6757125943464</v>
      </c>
      <c r="X593" s="25">
        <f>[28]Total!I47</f>
        <v>1174.4932735942896</v>
      </c>
      <c r="Y593" s="25">
        <f>[28]Total!J47</f>
        <v>1131.5018992126436</v>
      </c>
      <c r="Z593" s="25">
        <f>[28]Total!K47</f>
        <v>1014.1030255752721</v>
      </c>
      <c r="AA593" s="25">
        <f>[28]Total!L47</f>
        <v>1407.8145467178554</v>
      </c>
      <c r="AB593" s="25">
        <f>[28]Total!M47</f>
        <v>1704.2490316184328</v>
      </c>
      <c r="AC593" s="25"/>
      <c r="AD593" s="2">
        <f t="shared" si="486"/>
        <v>2040</v>
      </c>
      <c r="AE593" s="25">
        <f t="shared" si="481"/>
        <v>132</v>
      </c>
      <c r="AF593" s="25">
        <f t="shared" si="481"/>
        <v>132</v>
      </c>
      <c r="AG593" s="25">
        <f t="shared" si="481"/>
        <v>132</v>
      </c>
      <c r="AH593" s="25">
        <f t="shared" si="481"/>
        <v>132</v>
      </c>
      <c r="AI593" s="25">
        <f t="shared" si="481"/>
        <v>132</v>
      </c>
      <c r="AJ593" s="25">
        <f t="shared" si="481"/>
        <v>132</v>
      </c>
      <c r="AK593" s="25">
        <f t="shared" si="481"/>
        <v>132</v>
      </c>
      <c r="AL593" s="25">
        <f t="shared" si="481"/>
        <v>132</v>
      </c>
      <c r="AM593" s="25">
        <f t="shared" si="481"/>
        <v>132</v>
      </c>
      <c r="AN593" s="25">
        <f t="shared" si="481"/>
        <v>132</v>
      </c>
      <c r="AO593" s="25">
        <f t="shared" si="481"/>
        <v>132</v>
      </c>
      <c r="AP593" s="25">
        <f t="shared" si="481"/>
        <v>132</v>
      </c>
      <c r="AR593" s="25"/>
      <c r="AS593" s="2">
        <f t="shared" si="487"/>
        <v>2040</v>
      </c>
    </row>
    <row r="594" spans="1:119">
      <c r="A594" s="2">
        <f t="shared" si="483"/>
        <v>2041</v>
      </c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25"/>
      <c r="P594" s="2">
        <f t="shared" si="485"/>
        <v>2041</v>
      </c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">
        <f t="shared" si="486"/>
        <v>2041</v>
      </c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R594" s="25"/>
      <c r="AS594" s="2">
        <f t="shared" si="487"/>
        <v>2041</v>
      </c>
    </row>
    <row r="595" spans="1:119">
      <c r="A595" s="2">
        <f t="shared" si="483"/>
        <v>2042</v>
      </c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25"/>
      <c r="P595" s="2">
        <f t="shared" si="485"/>
        <v>2042</v>
      </c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">
        <f t="shared" si="486"/>
        <v>2042</v>
      </c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R595" s="25"/>
      <c r="AS595" s="2">
        <f t="shared" si="487"/>
        <v>2042</v>
      </c>
    </row>
    <row r="596" spans="1:119">
      <c r="A596" s="2">
        <f t="shared" si="483"/>
        <v>2043</v>
      </c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25"/>
      <c r="P596" s="2">
        <f t="shared" si="485"/>
        <v>2043</v>
      </c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">
        <f t="shared" si="486"/>
        <v>2043</v>
      </c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R596" s="25"/>
      <c r="AS596" s="2">
        <f t="shared" si="487"/>
        <v>2043</v>
      </c>
    </row>
    <row r="597" spans="1:119">
      <c r="A597" s="2">
        <f t="shared" si="483"/>
        <v>2044</v>
      </c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25"/>
      <c r="P597" s="2">
        <f t="shared" si="485"/>
        <v>2044</v>
      </c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">
        <f>P597</f>
        <v>2044</v>
      </c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R597" s="25"/>
      <c r="AS597" s="2">
        <f t="shared" si="487"/>
        <v>2044</v>
      </c>
    </row>
    <row r="598" spans="1:119">
      <c r="A598" s="2">
        <f>A558</f>
        <v>2045</v>
      </c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25"/>
      <c r="P598" s="2">
        <f>A598</f>
        <v>2045</v>
      </c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">
        <f t="shared" ref="AD598" si="488">P598</f>
        <v>2045</v>
      </c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R598" s="25"/>
      <c r="AS598" s="2">
        <f t="shared" ref="AS598" si="489">AD598</f>
        <v>2045</v>
      </c>
    </row>
    <row r="599" spans="1:119"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25"/>
      <c r="AC599" s="25"/>
      <c r="AR599" s="25"/>
    </row>
    <row r="600" spans="1:119"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25"/>
      <c r="AC600" s="25"/>
      <c r="AR600" s="25"/>
    </row>
    <row r="601" spans="1:119" s="30" customFormat="1">
      <c r="A601" s="31" t="s">
        <v>145</v>
      </c>
      <c r="P601" s="31" t="s">
        <v>146</v>
      </c>
      <c r="Y601" s="328" t="s">
        <v>553</v>
      </c>
      <c r="AE601" s="29" t="s">
        <v>54</v>
      </c>
      <c r="AI601" s="1615" t="s">
        <v>437</v>
      </c>
      <c r="AJ601" s="1616"/>
      <c r="AK601" s="1616"/>
      <c r="AL601" s="1616"/>
      <c r="AM601" s="1616"/>
      <c r="AN601" s="1616"/>
      <c r="AO601" s="1617"/>
      <c r="AT601" s="31" t="s">
        <v>265</v>
      </c>
      <c r="AZ601" s="194" t="str">
        <f>Z561</f>
        <v>Updated 7/20/13 DSM Scenario</v>
      </c>
      <c r="BI601" s="31" t="s">
        <v>67</v>
      </c>
      <c r="BO601" s="194" t="str">
        <f>AZ601</f>
        <v>Updated 7/20/13 DSM Scenario</v>
      </c>
      <c r="BX601" s="31" t="s">
        <v>68</v>
      </c>
      <c r="CD601" s="194" t="str">
        <f>BO601</f>
        <v>Updated 7/20/13 DSM Scenario</v>
      </c>
      <c r="CM601" s="31"/>
      <c r="DB601" s="31"/>
    </row>
    <row r="602" spans="1:119" s="27" customFormat="1">
      <c r="A602" s="27" t="str">
        <f t="shared" ref="A602:N602" si="490">A562</f>
        <v>YEAR</v>
      </c>
      <c r="B602" s="715" t="str">
        <f t="shared" si="490"/>
        <v>Jan/Winter</v>
      </c>
      <c r="C602" s="27" t="str">
        <f t="shared" si="490"/>
        <v>FEB</v>
      </c>
      <c r="D602" s="27" t="str">
        <f t="shared" si="490"/>
        <v>MAR</v>
      </c>
      <c r="E602" s="27" t="str">
        <f t="shared" si="490"/>
        <v>APR</v>
      </c>
      <c r="F602" s="27" t="str">
        <f t="shared" si="490"/>
        <v>MAY</v>
      </c>
      <c r="G602" s="27" t="str">
        <f t="shared" si="490"/>
        <v>JUN</v>
      </c>
      <c r="H602" s="27" t="str">
        <f t="shared" si="490"/>
        <v>JUL</v>
      </c>
      <c r="I602" s="714" t="str">
        <f t="shared" si="490"/>
        <v>Aug/Sum</v>
      </c>
      <c r="J602" s="27" t="str">
        <f t="shared" si="490"/>
        <v>SEP</v>
      </c>
      <c r="K602" s="27" t="str">
        <f t="shared" si="490"/>
        <v>OCT</v>
      </c>
      <c r="L602" s="27" t="str">
        <f t="shared" si="490"/>
        <v>NOV</v>
      </c>
      <c r="M602" s="27" t="str">
        <f t="shared" si="490"/>
        <v>DEC</v>
      </c>
      <c r="N602" s="27" t="str">
        <f t="shared" si="490"/>
        <v>AVG</v>
      </c>
      <c r="P602" s="27" t="str">
        <f t="shared" ref="P602:AC602" si="491">A602</f>
        <v>YEAR</v>
      </c>
      <c r="Q602" s="27" t="str">
        <f t="shared" si="491"/>
        <v>Jan/Winter</v>
      </c>
      <c r="R602" s="27" t="str">
        <f t="shared" si="491"/>
        <v>FEB</v>
      </c>
      <c r="S602" s="27" t="str">
        <f t="shared" si="491"/>
        <v>MAR</v>
      </c>
      <c r="T602" s="27" t="str">
        <f t="shared" si="491"/>
        <v>APR</v>
      </c>
      <c r="U602" s="27" t="str">
        <f t="shared" si="491"/>
        <v>MAY</v>
      </c>
      <c r="V602" s="27" t="str">
        <f t="shared" si="491"/>
        <v>JUN</v>
      </c>
      <c r="W602" s="27" t="str">
        <f t="shared" si="491"/>
        <v>JUL</v>
      </c>
      <c r="X602" s="27" t="str">
        <f t="shared" si="491"/>
        <v>Aug/Sum</v>
      </c>
      <c r="Y602" s="27" t="str">
        <f t="shared" si="491"/>
        <v>SEP</v>
      </c>
      <c r="Z602" s="27" t="str">
        <f t="shared" si="491"/>
        <v>OCT</v>
      </c>
      <c r="AA602" s="27" t="str">
        <f t="shared" si="491"/>
        <v>NOV</v>
      </c>
      <c r="AB602" s="27" t="str">
        <f t="shared" si="491"/>
        <v>DEC</v>
      </c>
      <c r="AC602" s="27" t="str">
        <f t="shared" si="491"/>
        <v>AVG</v>
      </c>
      <c r="AE602" s="27" t="str">
        <f t="shared" ref="AE602:AR602" si="492">P602</f>
        <v>YEAR</v>
      </c>
      <c r="AF602" s="27" t="str">
        <f t="shared" si="492"/>
        <v>Jan/Winter</v>
      </c>
      <c r="AG602" s="27" t="str">
        <f t="shared" si="492"/>
        <v>FEB</v>
      </c>
      <c r="AH602" s="27" t="str">
        <f t="shared" si="492"/>
        <v>MAR</v>
      </c>
      <c r="AI602" s="724" t="str">
        <f t="shared" si="492"/>
        <v>APR</v>
      </c>
      <c r="AJ602" s="27" t="str">
        <f t="shared" si="492"/>
        <v>MAY</v>
      </c>
      <c r="AK602" s="27" t="str">
        <f t="shared" si="492"/>
        <v>JUN</v>
      </c>
      <c r="AL602" s="27" t="str">
        <f t="shared" si="492"/>
        <v>JUL</v>
      </c>
      <c r="AM602" s="27" t="str">
        <f t="shared" si="492"/>
        <v>Aug/Sum</v>
      </c>
      <c r="AN602" s="27" t="str">
        <f t="shared" si="492"/>
        <v>SEP</v>
      </c>
      <c r="AO602" s="1111" t="str">
        <f t="shared" si="492"/>
        <v>OCT</v>
      </c>
      <c r="AP602" s="27" t="str">
        <f t="shared" si="492"/>
        <v>NOV</v>
      </c>
      <c r="AQ602" s="27" t="str">
        <f t="shared" si="492"/>
        <v>DEC</v>
      </c>
      <c r="AR602" s="27" t="str">
        <f t="shared" si="492"/>
        <v>AVG</v>
      </c>
      <c r="AT602" s="27" t="str">
        <f t="shared" ref="AT602:BG602" si="493">AE602</f>
        <v>YEAR</v>
      </c>
      <c r="AU602" s="27" t="str">
        <f t="shared" si="493"/>
        <v>Jan/Winter</v>
      </c>
      <c r="AV602" s="27" t="str">
        <f t="shared" si="493"/>
        <v>FEB</v>
      </c>
      <c r="AW602" s="27" t="str">
        <f t="shared" si="493"/>
        <v>MAR</v>
      </c>
      <c r="AX602" s="27" t="str">
        <f t="shared" si="493"/>
        <v>APR</v>
      </c>
      <c r="AY602" s="27" t="str">
        <f t="shared" si="493"/>
        <v>MAY</v>
      </c>
      <c r="AZ602" s="27" t="str">
        <f t="shared" si="493"/>
        <v>JUN</v>
      </c>
      <c r="BA602" s="27" t="str">
        <f t="shared" si="493"/>
        <v>JUL</v>
      </c>
      <c r="BB602" s="27" t="str">
        <f t="shared" si="493"/>
        <v>Aug/Sum</v>
      </c>
      <c r="BC602" s="27" t="str">
        <f t="shared" si="493"/>
        <v>SEP</v>
      </c>
      <c r="BD602" s="27" t="str">
        <f t="shared" si="493"/>
        <v>OCT</v>
      </c>
      <c r="BE602" s="27" t="str">
        <f t="shared" si="493"/>
        <v>NOV</v>
      </c>
      <c r="BF602" s="27" t="str">
        <f t="shared" si="493"/>
        <v>DEC</v>
      </c>
      <c r="BG602" s="27" t="str">
        <f t="shared" si="493"/>
        <v>AVG</v>
      </c>
      <c r="BI602" s="27" t="str">
        <f t="shared" ref="BI602:BV602" si="494">AT602</f>
        <v>YEAR</v>
      </c>
      <c r="BJ602" s="27" t="str">
        <f t="shared" si="494"/>
        <v>Jan/Winter</v>
      </c>
      <c r="BK602" s="27" t="str">
        <f t="shared" si="494"/>
        <v>FEB</v>
      </c>
      <c r="BL602" s="27" t="str">
        <f t="shared" si="494"/>
        <v>MAR</v>
      </c>
      <c r="BM602" s="27" t="str">
        <f t="shared" si="494"/>
        <v>APR</v>
      </c>
      <c r="BN602" s="27" t="str">
        <f t="shared" si="494"/>
        <v>MAY</v>
      </c>
      <c r="BO602" s="27" t="str">
        <f t="shared" si="494"/>
        <v>JUN</v>
      </c>
      <c r="BP602" s="27" t="str">
        <f t="shared" si="494"/>
        <v>JUL</v>
      </c>
      <c r="BQ602" s="27" t="str">
        <f t="shared" si="494"/>
        <v>Aug/Sum</v>
      </c>
      <c r="BR602" s="27" t="str">
        <f t="shared" si="494"/>
        <v>SEP</v>
      </c>
      <c r="BS602" s="27" t="str">
        <f t="shared" si="494"/>
        <v>OCT</v>
      </c>
      <c r="BT602" s="27" t="str">
        <f t="shared" si="494"/>
        <v>NOV</v>
      </c>
      <c r="BU602" s="27" t="str">
        <f t="shared" si="494"/>
        <v>DEC</v>
      </c>
      <c r="BV602" s="27" t="str">
        <f t="shared" si="494"/>
        <v>AVG</v>
      </c>
      <c r="BX602" s="27" t="str">
        <f t="shared" ref="BX602:CK602" si="495">BI602</f>
        <v>YEAR</v>
      </c>
      <c r="BY602" s="27" t="str">
        <f t="shared" si="495"/>
        <v>Jan/Winter</v>
      </c>
      <c r="BZ602" s="27" t="str">
        <f t="shared" si="495"/>
        <v>FEB</v>
      </c>
      <c r="CA602" s="27" t="str">
        <f t="shared" si="495"/>
        <v>MAR</v>
      </c>
      <c r="CB602" s="27" t="str">
        <f t="shared" si="495"/>
        <v>APR</v>
      </c>
      <c r="CC602" s="27" t="str">
        <f t="shared" si="495"/>
        <v>MAY</v>
      </c>
      <c r="CD602" s="27" t="str">
        <f t="shared" si="495"/>
        <v>JUN</v>
      </c>
      <c r="CE602" s="27" t="str">
        <f t="shared" si="495"/>
        <v>JUL</v>
      </c>
      <c r="CF602" s="27" t="str">
        <f t="shared" si="495"/>
        <v>Aug/Sum</v>
      </c>
      <c r="CG602" s="27" t="str">
        <f t="shared" si="495"/>
        <v>SEP</v>
      </c>
      <c r="CH602" s="27" t="str">
        <f t="shared" si="495"/>
        <v>OCT</v>
      </c>
      <c r="CI602" s="27" t="str">
        <f t="shared" si="495"/>
        <v>NOV</v>
      </c>
      <c r="CJ602" s="27" t="str">
        <f t="shared" si="495"/>
        <v>DEC</v>
      </c>
      <c r="CK602" s="27" t="str">
        <f t="shared" si="495"/>
        <v>AVG</v>
      </c>
      <c r="CM602" s="27" t="str">
        <f t="shared" ref="CM602:CZ602" si="496">BX602</f>
        <v>YEAR</v>
      </c>
      <c r="CN602" s="27" t="str">
        <f t="shared" si="496"/>
        <v>Jan/Winter</v>
      </c>
      <c r="CO602" s="27" t="str">
        <f t="shared" si="496"/>
        <v>FEB</v>
      </c>
      <c r="CP602" s="27" t="str">
        <f t="shared" si="496"/>
        <v>MAR</v>
      </c>
      <c r="CQ602" s="27" t="str">
        <f t="shared" si="496"/>
        <v>APR</v>
      </c>
      <c r="CR602" s="27" t="str">
        <f t="shared" si="496"/>
        <v>MAY</v>
      </c>
      <c r="CS602" s="27" t="str">
        <f t="shared" si="496"/>
        <v>JUN</v>
      </c>
      <c r="CT602" s="27" t="str">
        <f t="shared" si="496"/>
        <v>JUL</v>
      </c>
      <c r="CU602" s="27" t="str">
        <f t="shared" si="496"/>
        <v>Aug/Sum</v>
      </c>
      <c r="CV602" s="27" t="str">
        <f t="shared" si="496"/>
        <v>SEP</v>
      </c>
      <c r="CW602" s="27" t="str">
        <f t="shared" si="496"/>
        <v>OCT</v>
      </c>
      <c r="CX602" s="27" t="str">
        <f t="shared" si="496"/>
        <v>NOV</v>
      </c>
      <c r="CY602" s="27" t="str">
        <f t="shared" si="496"/>
        <v>DEC</v>
      </c>
      <c r="CZ602" s="27" t="str">
        <f t="shared" si="496"/>
        <v>AVG</v>
      </c>
    </row>
    <row r="603" spans="1:119">
      <c r="A603" s="2">
        <f>A563</f>
        <v>2010</v>
      </c>
      <c r="B603" s="880">
        <f t="shared" ref="B603:B624" si="497">Q603+AF603</f>
        <v>863</v>
      </c>
      <c r="C603" s="880">
        <f t="shared" ref="C603:C624" si="498">R603+AG603</f>
        <v>777</v>
      </c>
      <c r="D603" s="880">
        <f t="shared" ref="D603:D624" si="499">S603+AH603</f>
        <v>637</v>
      </c>
      <c r="E603" s="34">
        <f t="shared" ref="E603:E623" si="500">T603</f>
        <v>277</v>
      </c>
      <c r="F603" s="34">
        <f t="shared" ref="F603:F623" si="501">U603</f>
        <v>328</v>
      </c>
      <c r="G603" s="34">
        <f t="shared" ref="G603:G623" si="502">V603</f>
        <v>389</v>
      </c>
      <c r="H603" s="34">
        <f t="shared" ref="H603:H623" si="503">W603</f>
        <v>385</v>
      </c>
      <c r="I603" s="34">
        <f t="shared" ref="I603:I623" si="504">X603</f>
        <v>400</v>
      </c>
      <c r="J603" s="34">
        <f t="shared" ref="J603:J623" si="505">Y603</f>
        <v>382</v>
      </c>
      <c r="K603" s="34">
        <f t="shared" ref="K603:K623" si="506">Z603</f>
        <v>251</v>
      </c>
      <c r="L603" s="880">
        <f t="shared" ref="L603:L624" si="507">AA603+AP603</f>
        <v>494</v>
      </c>
      <c r="M603" s="880">
        <f t="shared" ref="M603:M624" si="508">AB603+AQ603</f>
        <v>621</v>
      </c>
      <c r="N603" s="25">
        <f t="shared" ref="N603:N613" si="509">AVERAGE(B603:M603)</f>
        <v>483.66666666666669</v>
      </c>
      <c r="P603" s="2">
        <f t="shared" ref="P603:P624" si="510">A603</f>
        <v>2010</v>
      </c>
      <c r="Q603" s="438">
        <f t="shared" ref="Q603:Q613" si="511">ROUND(AU603+BJ603+BY603,0)</f>
        <v>731</v>
      </c>
      <c r="R603" s="25">
        <f t="shared" ref="R603:R613" si="512">ROUND(AV603+BK603+BZ603,0)</f>
        <v>622</v>
      </c>
      <c r="S603" s="25">
        <f t="shared" ref="S603:S613" si="513">ROUND(AW603+BL603+CA603,0)</f>
        <v>494</v>
      </c>
      <c r="T603" s="25">
        <f t="shared" ref="T603:T613" si="514">ROUND(AX603+BM603+CB603,0)</f>
        <v>277</v>
      </c>
      <c r="U603" s="25">
        <f t="shared" ref="U603:U613" si="515">ROUND(AY603+BN603+CC603,0)</f>
        <v>328</v>
      </c>
      <c r="V603" s="25">
        <f t="shared" ref="V603:V613" si="516">ROUND(AZ603+BO603+CD603,0)</f>
        <v>389</v>
      </c>
      <c r="W603" s="25">
        <f t="shared" ref="W603:W613" si="517">ROUND(BA603+BP603+CE603,0)</f>
        <v>385</v>
      </c>
      <c r="X603" s="438">
        <f t="shared" ref="X603:X613" si="518">ROUND(BB603+BQ603+CF603,0)</f>
        <v>400</v>
      </c>
      <c r="Y603" s="25">
        <f t="shared" ref="Y603:Y613" si="519">ROUND(BC603+BR603+CG603,0)</f>
        <v>382</v>
      </c>
      <c r="Z603" s="25">
        <f t="shared" ref="Z603:Z613" si="520">ROUND(BD603+BS603+CH603,0)</f>
        <v>251</v>
      </c>
      <c r="AA603" s="25">
        <f t="shared" ref="AA603:AA613" si="521">ROUND(BE603+BT603+CI603,0)</f>
        <v>381</v>
      </c>
      <c r="AB603" s="25">
        <f t="shared" ref="AB603:AB613" si="522">ROUND(BF603+BU603+CJ603,0)</f>
        <v>445</v>
      </c>
      <c r="AC603" s="25">
        <f t="shared" ref="AC603:AC613" si="523">ROUND(BG603+BV603+CK603,0)</f>
        <v>424</v>
      </c>
      <c r="AE603" s="2">
        <f t="shared" ref="AE603:AE617" si="524">P603</f>
        <v>2010</v>
      </c>
      <c r="AF603" s="887">
        <f t="shared" ref="AF603:AF633" si="525">ROUND((B83)*0.0125,0)</f>
        <v>132</v>
      </c>
      <c r="AG603" s="887">
        <f t="shared" ref="AG603:AQ603" si="526">ROUND((C83)*0.02,0)</f>
        <v>155</v>
      </c>
      <c r="AH603" s="887">
        <f t="shared" si="526"/>
        <v>143</v>
      </c>
      <c r="AI603" s="1112">
        <f t="shared" si="526"/>
        <v>113</v>
      </c>
      <c r="AJ603" s="25">
        <f t="shared" si="526"/>
        <v>149</v>
      </c>
      <c r="AK603" s="25">
        <f t="shared" si="526"/>
        <v>165</v>
      </c>
      <c r="AL603" s="25">
        <f t="shared" si="526"/>
        <v>164</v>
      </c>
      <c r="AM603" s="25">
        <f t="shared" si="526"/>
        <v>164</v>
      </c>
      <c r="AN603" s="25">
        <f t="shared" si="526"/>
        <v>155</v>
      </c>
      <c r="AO603" s="1113">
        <f t="shared" si="526"/>
        <v>138</v>
      </c>
      <c r="AP603" s="887">
        <f t="shared" si="526"/>
        <v>113</v>
      </c>
      <c r="AQ603" s="887">
        <f t="shared" si="526"/>
        <v>176</v>
      </c>
      <c r="AR603" s="25">
        <f t="shared" ref="AR603:AR613" si="527">AVERAGE(AF603:AQ603)</f>
        <v>147.25</v>
      </c>
      <c r="AT603" s="2">
        <f t="shared" ref="AT603:AT617" si="528">AE603</f>
        <v>2010</v>
      </c>
      <c r="AU603" s="887">
        <f>[29]Breakdown!B79+[29]Breakdown!B116</f>
        <v>651</v>
      </c>
      <c r="AV603" s="887">
        <f>[29]Breakdown!C79+[29]Breakdown!C116</f>
        <v>540.53878437035632</v>
      </c>
      <c r="AW603" s="887">
        <f>[29]Breakdown!D79+[29]Breakdown!D116</f>
        <v>411.81848272217275</v>
      </c>
      <c r="AX603" s="887">
        <f>[29]Breakdown!E79+[29]Breakdown!E116</f>
        <v>187.31348021331985</v>
      </c>
      <c r="AY603" s="887">
        <f>[29]Breakdown!F79+[29]Breakdown!F116</f>
        <v>235.5344824526959</v>
      </c>
      <c r="AZ603" s="887">
        <f>[29]Breakdown!G79+[29]Breakdown!G116</f>
        <v>294.85269178186104</v>
      </c>
      <c r="BA603" s="887">
        <f>[29]Breakdown!H79+[29]Breakdown!H116</f>
        <v>290.37967302455246</v>
      </c>
      <c r="BB603" s="887">
        <f>[29]Breakdown!I79+[29]Breakdown!I116</f>
        <v>304</v>
      </c>
      <c r="BC603" s="887">
        <f>[29]Breakdown!J79+[29]Breakdown!J116</f>
        <v>284.12567641370856</v>
      </c>
      <c r="BD603" s="887">
        <f>[29]Breakdown!K79+[29]Breakdown!K116</f>
        <v>153.68902190188868</v>
      </c>
      <c r="BE603" s="887">
        <f>[29]Breakdown!L79+[29]Breakdown!L116</f>
        <v>289.02068202840951</v>
      </c>
      <c r="BF603" s="887">
        <f>[29]Breakdown!M79+[29]Breakdown!M116</f>
        <v>352.09302413932369</v>
      </c>
      <c r="BG603" s="25">
        <f t="shared" ref="BG603:BG624" si="529">AVERAGE(AU603:BF603)</f>
        <v>332.86383325402403</v>
      </c>
      <c r="BI603" s="2">
        <f t="shared" ref="BI603:BI617" si="530">AT603</f>
        <v>2010</v>
      </c>
      <c r="BJ603" s="887">
        <f>[29]Breakdown!B153</f>
        <v>0</v>
      </c>
      <c r="BK603" s="887">
        <f>[29]Breakdown!C153</f>
        <v>0</v>
      </c>
      <c r="BL603" s="887">
        <f>[29]Breakdown!D153</f>
        <v>0</v>
      </c>
      <c r="BM603" s="887">
        <f>[29]Breakdown!E153</f>
        <v>6.2949128098225211</v>
      </c>
      <c r="BN603" s="887">
        <f>[29]Breakdown!F153</f>
        <v>7.3812657438403431</v>
      </c>
      <c r="BO603" s="887">
        <f>[29]Breakdown!G153</f>
        <v>7.7462539554946748</v>
      </c>
      <c r="BP603" s="887">
        <f>[29]Breakdown!H153</f>
        <v>7.9516610404094346</v>
      </c>
      <c r="BQ603" s="887">
        <f>[29]Breakdown!I153</f>
        <v>8.0119943737427679</v>
      </c>
      <c r="BR603" s="887">
        <f>[29]Breakdown!J153</f>
        <v>8.4384777151556136</v>
      </c>
      <c r="BS603" s="887">
        <f>[29]Breakdown!K153</f>
        <v>6.6238940239625874</v>
      </c>
      <c r="BT603" s="887">
        <f>[29]Breakdown!L153</f>
        <v>0</v>
      </c>
      <c r="BU603" s="887">
        <f>[29]Breakdown!M153</f>
        <v>0</v>
      </c>
      <c r="BV603" s="25">
        <f t="shared" ref="BV603:BV618" si="531">AVERAGE(BJ603:BU603)</f>
        <v>4.370704971868995</v>
      </c>
      <c r="BX603" s="2">
        <f t="shared" ref="BX603:BX617" si="532">BI603</f>
        <v>2010</v>
      </c>
      <c r="BY603" s="887">
        <f>[29]Breakdown!B190</f>
        <v>80</v>
      </c>
      <c r="BZ603" s="887">
        <f>[29]Breakdown!C190</f>
        <v>81.191666666666663</v>
      </c>
      <c r="CA603" s="887">
        <f>[29]Breakdown!D190</f>
        <v>82.383333333333326</v>
      </c>
      <c r="CB603" s="887">
        <f>[29]Breakdown!E190</f>
        <v>83.574999999999989</v>
      </c>
      <c r="CC603" s="887">
        <f>[29]Breakdown!F190</f>
        <v>84.766666666666652</v>
      </c>
      <c r="CD603" s="887">
        <f>[29]Breakdown!G190</f>
        <v>85.958333333333314</v>
      </c>
      <c r="CE603" s="887">
        <f>[29]Breakdown!H190</f>
        <v>87.149999999999977</v>
      </c>
      <c r="CF603" s="887">
        <f>[29]Breakdown!I190</f>
        <v>88.34166666666664</v>
      </c>
      <c r="CG603" s="887">
        <f>[29]Breakdown!J190</f>
        <v>89.533333333333303</v>
      </c>
      <c r="CH603" s="887">
        <f>[29]Breakdown!K190</f>
        <v>90.724999999999966</v>
      </c>
      <c r="CI603" s="887">
        <f>[29]Breakdown!L190</f>
        <v>91.916666666666629</v>
      </c>
      <c r="CJ603" s="887">
        <f>[29]Breakdown!M190</f>
        <v>93.108333333333292</v>
      </c>
      <c r="CK603" s="25">
        <f t="shared" ref="CK603:CK623" si="533">AVERAGE(BY603:CJ603)</f>
        <v>86.554166666666632</v>
      </c>
      <c r="CM603" s="2">
        <f t="shared" ref="CM603:CM617" si="534">BX603</f>
        <v>2010</v>
      </c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5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5"/>
    </row>
    <row r="604" spans="1:119">
      <c r="A604" s="2">
        <f t="shared" ref="A604:A638" si="535">A564</f>
        <v>2011</v>
      </c>
      <c r="B604" s="880">
        <f t="shared" si="497"/>
        <v>866</v>
      </c>
      <c r="C604" s="880">
        <f t="shared" si="498"/>
        <v>724</v>
      </c>
      <c r="D604" s="880">
        <f t="shared" si="499"/>
        <v>578</v>
      </c>
      <c r="E604" s="34">
        <f t="shared" si="500"/>
        <v>292</v>
      </c>
      <c r="F604" s="34">
        <f t="shared" si="501"/>
        <v>342</v>
      </c>
      <c r="G604" s="34">
        <f t="shared" si="502"/>
        <v>404</v>
      </c>
      <c r="H604" s="34">
        <f t="shared" si="503"/>
        <v>400</v>
      </c>
      <c r="I604" s="34">
        <f t="shared" si="504"/>
        <v>414</v>
      </c>
      <c r="J604" s="34">
        <f t="shared" si="505"/>
        <v>393</v>
      </c>
      <c r="K604" s="34">
        <f t="shared" si="506"/>
        <v>258</v>
      </c>
      <c r="L604" s="880">
        <f t="shared" si="507"/>
        <v>452</v>
      </c>
      <c r="M604" s="880">
        <f t="shared" si="508"/>
        <v>508</v>
      </c>
      <c r="N604" s="25">
        <f t="shared" si="509"/>
        <v>469.25</v>
      </c>
      <c r="P604" s="2">
        <f t="shared" si="510"/>
        <v>2011</v>
      </c>
      <c r="Q604" s="438">
        <f t="shared" si="511"/>
        <v>755</v>
      </c>
      <c r="R604" s="25">
        <f t="shared" si="512"/>
        <v>642</v>
      </c>
      <c r="S604" s="25">
        <f t="shared" si="513"/>
        <v>511</v>
      </c>
      <c r="T604" s="25">
        <f t="shared" si="514"/>
        <v>292</v>
      </c>
      <c r="U604" s="25">
        <f t="shared" si="515"/>
        <v>342</v>
      </c>
      <c r="V604" s="25">
        <f t="shared" si="516"/>
        <v>404</v>
      </c>
      <c r="W604" s="25">
        <f t="shared" si="517"/>
        <v>400</v>
      </c>
      <c r="X604" s="438">
        <f t="shared" si="518"/>
        <v>414</v>
      </c>
      <c r="Y604" s="25">
        <f t="shared" si="519"/>
        <v>393</v>
      </c>
      <c r="Z604" s="25">
        <f t="shared" si="520"/>
        <v>258</v>
      </c>
      <c r="AA604" s="25">
        <f t="shared" si="521"/>
        <v>385</v>
      </c>
      <c r="AB604" s="25">
        <f t="shared" si="522"/>
        <v>448</v>
      </c>
      <c r="AC604" s="25">
        <f t="shared" si="523"/>
        <v>437</v>
      </c>
      <c r="AE604" s="2">
        <f t="shared" si="524"/>
        <v>2011</v>
      </c>
      <c r="AF604" s="887">
        <f t="shared" si="525"/>
        <v>111</v>
      </c>
      <c r="AG604" s="887">
        <f t="shared" ref="AG604:AG633" si="536">ROUND((C84)*0.0125,0)</f>
        <v>82</v>
      </c>
      <c r="AH604" s="887">
        <f t="shared" ref="AH604:AH633" si="537">ROUND((D84)*0.0125,0)</f>
        <v>67</v>
      </c>
      <c r="AI604" s="1112">
        <f t="shared" ref="AI604:AI633" si="538">ROUND((E84)*0.0125,0)</f>
        <v>91</v>
      </c>
      <c r="AJ604" s="25">
        <f t="shared" ref="AJ604:AJ633" si="539">ROUND((F84)*0.0125,0)</f>
        <v>93</v>
      </c>
      <c r="AK604" s="25">
        <f t="shared" ref="AK604:AK633" si="540">ROUND((G84)*0.0125,0)</f>
        <v>103</v>
      </c>
      <c r="AL604" s="25">
        <f t="shared" ref="AL604:AL633" si="541">ROUND((H84)*0.0125,0)</f>
        <v>99</v>
      </c>
      <c r="AM604" s="25">
        <f t="shared" ref="AM604:AM633" si="542">ROUND((I84)*0.0125,0)</f>
        <v>103</v>
      </c>
      <c r="AN604" s="25">
        <f t="shared" ref="AN604:AN633" si="543">ROUND((J84)*0.0125,0)</f>
        <v>92</v>
      </c>
      <c r="AO604" s="1113">
        <f t="shared" ref="AO604:AO633" si="544">ROUND((K84)*0.0125,0)</f>
        <v>79</v>
      </c>
      <c r="AP604" s="887">
        <f t="shared" ref="AP604:AP633" si="545">ROUND((L84)*0.0125,0)</f>
        <v>67</v>
      </c>
      <c r="AQ604" s="887">
        <f t="shared" ref="AQ604:AQ633" si="546">ROUND((M84)*0.0125,0)</f>
        <v>60</v>
      </c>
      <c r="AR604" s="25">
        <f t="shared" si="527"/>
        <v>87.25</v>
      </c>
      <c r="AT604" s="2">
        <f t="shared" si="528"/>
        <v>2011</v>
      </c>
      <c r="AU604" s="887">
        <f>[29]Breakdown!B80+[29]Breakdown!B117</f>
        <v>661</v>
      </c>
      <c r="AV604" s="887">
        <f>[29]Breakdown!C80+[29]Breakdown!C117</f>
        <v>548.02551041229117</v>
      </c>
      <c r="AW604" s="887">
        <f>[29]Breakdown!D80+[29]Breakdown!D117</f>
        <v>416.66770129710528</v>
      </c>
      <c r="AX604" s="887">
        <f>[29]Breakdown!E80+[29]Breakdown!E117</f>
        <v>195.32359614349463</v>
      </c>
      <c r="AY604" s="887">
        <f>[29]Breakdown!F80+[29]Breakdown!F117</f>
        <v>245.60668071547559</v>
      </c>
      <c r="AZ604" s="887">
        <f>[29]Breakdown!G80+[29]Breakdown!G117</f>
        <v>307.46152399621695</v>
      </c>
      <c r="BA604" s="887">
        <f>[29]Breakdown!H80+[29]Breakdown!H117</f>
        <v>302.79722483152335</v>
      </c>
      <c r="BB604" s="887">
        <f>[29]Breakdown!I80+[29]Breakdown!I117</f>
        <v>317</v>
      </c>
      <c r="BC604" s="887">
        <f>[29]Breakdown!J80+[29]Breakdown!J117</f>
        <v>296.27578757613691</v>
      </c>
      <c r="BD604" s="887">
        <f>[29]Breakdown!K80+[29]Breakdown!K117</f>
        <v>160.26124981216674</v>
      </c>
      <c r="BE604" s="887">
        <f>[29]Breakdown!L80+[29]Breakdown!L117</f>
        <v>289.11610877434219</v>
      </c>
      <c r="BF604" s="887">
        <f>[29]Breakdown!M80+[29]Breakdown!M117</f>
        <v>352.17902374165055</v>
      </c>
      <c r="BG604" s="25">
        <f t="shared" si="529"/>
        <v>340.97620060836692</v>
      </c>
      <c r="BI604" s="2">
        <f t="shared" si="530"/>
        <v>2011</v>
      </c>
      <c r="BJ604" s="887">
        <f>[29]Breakdown!B154</f>
        <v>0</v>
      </c>
      <c r="BK604" s="887">
        <f>[29]Breakdown!C154</f>
        <v>0</v>
      </c>
      <c r="BL604" s="887">
        <f>[29]Breakdown!D154</f>
        <v>0</v>
      </c>
      <c r="BM604" s="887">
        <f>[29]Breakdown!E154</f>
        <v>2</v>
      </c>
      <c r="BN604" s="887">
        <f>[29]Breakdown!F154</f>
        <v>2</v>
      </c>
      <c r="BO604" s="887">
        <f>[29]Breakdown!G154</f>
        <v>2</v>
      </c>
      <c r="BP604" s="887">
        <f>[29]Breakdown!H154</f>
        <v>2</v>
      </c>
      <c r="BQ604" s="887">
        <f>[29]Breakdown!I154</f>
        <v>2</v>
      </c>
      <c r="BR604" s="887">
        <f>[29]Breakdown!J154</f>
        <v>2</v>
      </c>
      <c r="BS604" s="887">
        <f>[29]Breakdown!K154</f>
        <v>2</v>
      </c>
      <c r="BT604" s="887">
        <f>[29]Breakdown!L154</f>
        <v>0</v>
      </c>
      <c r="BU604" s="887">
        <f>[29]Breakdown!M154</f>
        <v>0</v>
      </c>
      <c r="BV604" s="25">
        <f t="shared" si="531"/>
        <v>1.1666666666666667</v>
      </c>
      <c r="BX604" s="2">
        <f t="shared" si="532"/>
        <v>2011</v>
      </c>
      <c r="BY604" s="887">
        <f>[29]Breakdown!B191</f>
        <v>94.309399999999997</v>
      </c>
      <c r="BZ604" s="887">
        <f>[29]Breakdown!C191</f>
        <v>94.421399999999991</v>
      </c>
      <c r="CA604" s="887">
        <f>[29]Breakdown!D191</f>
        <v>94.533399999999986</v>
      </c>
      <c r="CB604" s="887">
        <f>[29]Breakdown!E191</f>
        <v>94.645399999999981</v>
      </c>
      <c r="CC604" s="887">
        <f>[29]Breakdown!F191</f>
        <v>94.757399999999976</v>
      </c>
      <c r="CD604" s="887">
        <f>[29]Breakdown!G191</f>
        <v>94.86939999999997</v>
      </c>
      <c r="CE604" s="887">
        <f>[29]Breakdown!H191</f>
        <v>94.981399999999965</v>
      </c>
      <c r="CF604" s="887">
        <f>[29]Breakdown!I191</f>
        <v>95.09339999999996</v>
      </c>
      <c r="CG604" s="887">
        <f>[29]Breakdown!J191</f>
        <v>95.205399999999955</v>
      </c>
      <c r="CH604" s="887">
        <f>[29]Breakdown!K191</f>
        <v>95.31739999999995</v>
      </c>
      <c r="CI604" s="887">
        <f>[29]Breakdown!L191</f>
        <v>95.429399999999944</v>
      </c>
      <c r="CJ604" s="887">
        <f>[29]Breakdown!M191</f>
        <v>95.541399999999939</v>
      </c>
      <c r="CK604" s="25">
        <f t="shared" si="533"/>
        <v>94.925399999999954</v>
      </c>
      <c r="CM604" s="2">
        <f t="shared" si="534"/>
        <v>2011</v>
      </c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</row>
    <row r="605" spans="1:119">
      <c r="A605" s="2">
        <f t="shared" si="535"/>
        <v>2012</v>
      </c>
      <c r="B605" s="880">
        <f t="shared" si="497"/>
        <v>833</v>
      </c>
      <c r="C605" s="880">
        <f t="shared" si="498"/>
        <v>722</v>
      </c>
      <c r="D605" s="880">
        <f t="shared" si="499"/>
        <v>571</v>
      </c>
      <c r="E605" s="34">
        <f t="shared" si="500"/>
        <v>300</v>
      </c>
      <c r="F605" s="34">
        <f t="shared" si="501"/>
        <v>352</v>
      </c>
      <c r="G605" s="34">
        <f t="shared" si="502"/>
        <v>416</v>
      </c>
      <c r="H605" s="34">
        <f t="shared" si="503"/>
        <v>411</v>
      </c>
      <c r="I605" s="34">
        <f t="shared" si="504"/>
        <v>426</v>
      </c>
      <c r="J605" s="34">
        <f t="shared" si="505"/>
        <v>404</v>
      </c>
      <c r="K605" s="34">
        <f t="shared" si="506"/>
        <v>264</v>
      </c>
      <c r="L605" s="880">
        <f t="shared" si="507"/>
        <v>438</v>
      </c>
      <c r="M605" s="880">
        <f t="shared" si="508"/>
        <v>511</v>
      </c>
      <c r="N605" s="25">
        <f t="shared" si="509"/>
        <v>470.66666666666669</v>
      </c>
      <c r="P605" s="2">
        <f t="shared" si="510"/>
        <v>2012</v>
      </c>
      <c r="Q605" s="438">
        <f t="shared" si="511"/>
        <v>737</v>
      </c>
      <c r="R605" s="25">
        <f t="shared" si="512"/>
        <v>628</v>
      </c>
      <c r="S605" s="25">
        <f t="shared" si="513"/>
        <v>500</v>
      </c>
      <c r="T605" s="25">
        <f t="shared" si="514"/>
        <v>300</v>
      </c>
      <c r="U605" s="25">
        <f t="shared" si="515"/>
        <v>352</v>
      </c>
      <c r="V605" s="25">
        <f t="shared" si="516"/>
        <v>416</v>
      </c>
      <c r="W605" s="25">
        <f t="shared" si="517"/>
        <v>411</v>
      </c>
      <c r="X605" s="438">
        <f t="shared" si="518"/>
        <v>426</v>
      </c>
      <c r="Y605" s="25">
        <f t="shared" si="519"/>
        <v>404</v>
      </c>
      <c r="Z605" s="25">
        <f t="shared" si="520"/>
        <v>264</v>
      </c>
      <c r="AA605" s="25">
        <f t="shared" si="521"/>
        <v>377</v>
      </c>
      <c r="AB605" s="25">
        <f t="shared" si="522"/>
        <v>439</v>
      </c>
      <c r="AC605" s="25">
        <f t="shared" si="523"/>
        <v>438</v>
      </c>
      <c r="AE605" s="2">
        <f t="shared" si="524"/>
        <v>2012</v>
      </c>
      <c r="AF605" s="887">
        <f t="shared" si="525"/>
        <v>96</v>
      </c>
      <c r="AG605" s="887">
        <f t="shared" si="536"/>
        <v>94</v>
      </c>
      <c r="AH605" s="887">
        <f t="shared" si="537"/>
        <v>71</v>
      </c>
      <c r="AI605" s="1112">
        <f t="shared" si="538"/>
        <v>81</v>
      </c>
      <c r="AJ605" s="25">
        <f t="shared" si="539"/>
        <v>92</v>
      </c>
      <c r="AK605" s="25">
        <f t="shared" si="540"/>
        <v>96</v>
      </c>
      <c r="AL605" s="25">
        <f t="shared" si="541"/>
        <v>98</v>
      </c>
      <c r="AM605" s="25">
        <f t="shared" si="542"/>
        <v>98</v>
      </c>
      <c r="AN605" s="25">
        <f t="shared" si="543"/>
        <v>93</v>
      </c>
      <c r="AO605" s="1113">
        <f t="shared" si="544"/>
        <v>88</v>
      </c>
      <c r="AP605" s="887">
        <f t="shared" si="545"/>
        <v>61</v>
      </c>
      <c r="AQ605" s="887">
        <f t="shared" si="546"/>
        <v>72</v>
      </c>
      <c r="AR605" s="25">
        <f t="shared" si="527"/>
        <v>86.666666666666671</v>
      </c>
      <c r="AT605" s="2">
        <f t="shared" si="528"/>
        <v>2012</v>
      </c>
      <c r="AU605" s="887">
        <f>[29]Breakdown!B81+[29]Breakdown!B118</f>
        <v>641.178</v>
      </c>
      <c r="AV605" s="887">
        <f>[29]Breakdown!C81+[29]Breakdown!C118</f>
        <v>531.57409598732602</v>
      </c>
      <c r="AW605" s="887">
        <f>[29]Breakdown!D81+[29]Breakdown!D118</f>
        <v>403.96444572370905</v>
      </c>
      <c r="AX605" s="887">
        <f>[29]Breakdown!E81+[29]Breakdown!E118</f>
        <v>201.5708704062674</v>
      </c>
      <c r="AY605" s="887">
        <f>[29]Breakdown!F81+[29]Breakdown!F118</f>
        <v>253.46222057596225</v>
      </c>
      <c r="AZ605" s="887">
        <f>[29]Breakdown!G81+[29]Breakdown!G118</f>
        <v>317.29544321324443</v>
      </c>
      <c r="BA605" s="887">
        <f>[29]Breakdown!H81+[29]Breakdown!H118</f>
        <v>312.48196004466791</v>
      </c>
      <c r="BB605" s="887">
        <f>[29]Breakdown!I81+[29]Breakdown!I118</f>
        <v>327.13900000000001</v>
      </c>
      <c r="BC605" s="887">
        <f>[29]Breakdown!J81+[29]Breakdown!J118</f>
        <v>305.75193965889548</v>
      </c>
      <c r="BD605" s="887">
        <f>[29]Breakdown!K81+[29]Breakdown!K118</f>
        <v>165.38708202619065</v>
      </c>
      <c r="BE605" s="887">
        <f>[29]Breakdown!L81+[29]Breakdown!L118</f>
        <v>280.33891010529123</v>
      </c>
      <c r="BF605" s="887">
        <f>[29]Breakdown!M81+[29]Breakdown!M118</f>
        <v>341.91315701741786</v>
      </c>
      <c r="BG605" s="25">
        <f t="shared" si="529"/>
        <v>340.17142706324768</v>
      </c>
      <c r="BI605" s="2">
        <f t="shared" si="530"/>
        <v>2012</v>
      </c>
      <c r="BJ605" s="887">
        <f>[29]Breakdown!B155</f>
        <v>0.18633333333333332</v>
      </c>
      <c r="BK605" s="887">
        <f>[29]Breakdown!C155</f>
        <v>0.37266666666666665</v>
      </c>
      <c r="BL605" s="887">
        <f>[29]Breakdown!D155</f>
        <v>0</v>
      </c>
      <c r="BM605" s="887">
        <f>[29]Breakdown!E155</f>
        <v>2</v>
      </c>
      <c r="BN605" s="887">
        <f>[29]Breakdown!F155</f>
        <v>2</v>
      </c>
      <c r="BO605" s="887">
        <f>[29]Breakdown!G155</f>
        <v>2</v>
      </c>
      <c r="BP605" s="887">
        <f>[29]Breakdown!H155</f>
        <v>2</v>
      </c>
      <c r="BQ605" s="887">
        <f>[29]Breakdown!I155</f>
        <v>2</v>
      </c>
      <c r="BR605" s="887">
        <f>[29]Breakdown!J155</f>
        <v>2</v>
      </c>
      <c r="BS605" s="887">
        <f>[29]Breakdown!K155</f>
        <v>2</v>
      </c>
      <c r="BT605" s="887">
        <f>[29]Breakdown!L155</f>
        <v>0</v>
      </c>
      <c r="BU605" s="887">
        <f>[29]Breakdown!M155</f>
        <v>0</v>
      </c>
      <c r="BV605" s="25">
        <f t="shared" si="531"/>
        <v>1.2132500000000002</v>
      </c>
      <c r="BX605" s="2">
        <f t="shared" si="532"/>
        <v>2012</v>
      </c>
      <c r="BY605" s="887">
        <f>[29]Breakdown!B192</f>
        <v>95.653399999999991</v>
      </c>
      <c r="BZ605" s="887">
        <f>[29]Breakdown!C192</f>
        <v>95.765616666666659</v>
      </c>
      <c r="CA605" s="887">
        <f>[29]Breakdown!D192</f>
        <v>95.877833333333328</v>
      </c>
      <c r="CB605" s="887">
        <f>[29]Breakdown!E192</f>
        <v>95.990049999999997</v>
      </c>
      <c r="CC605" s="887">
        <f>[29]Breakdown!F192</f>
        <v>96.102266666666665</v>
      </c>
      <c r="CD605" s="887">
        <f>[29]Breakdown!G192</f>
        <v>96.214483333333334</v>
      </c>
      <c r="CE605" s="887">
        <f>[29]Breakdown!H192</f>
        <v>96.326700000000002</v>
      </c>
      <c r="CF605" s="887">
        <f>[29]Breakdown!I192</f>
        <v>96.438916666666671</v>
      </c>
      <c r="CG605" s="887">
        <f>[29]Breakdown!J192</f>
        <v>96.55113333333334</v>
      </c>
      <c r="CH605" s="887">
        <f>[29]Breakdown!K192</f>
        <v>96.663350000000008</v>
      </c>
      <c r="CI605" s="887">
        <f>[29]Breakdown!L192</f>
        <v>96.775566666666677</v>
      </c>
      <c r="CJ605" s="887">
        <f>[29]Breakdown!M192</f>
        <v>96.887783333333346</v>
      </c>
      <c r="CK605" s="25">
        <f t="shared" si="533"/>
        <v>96.270591666666675</v>
      </c>
      <c r="CM605" s="2">
        <f t="shared" si="534"/>
        <v>2012</v>
      </c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</row>
    <row r="606" spans="1:119">
      <c r="A606" s="2">
        <f t="shared" si="535"/>
        <v>2013</v>
      </c>
      <c r="B606" s="880">
        <f t="shared" si="497"/>
        <v>818</v>
      </c>
      <c r="C606" s="880">
        <f t="shared" si="498"/>
        <v>726</v>
      </c>
      <c r="D606" s="880">
        <f t="shared" si="499"/>
        <v>594</v>
      </c>
      <c r="E606" s="34">
        <f t="shared" si="500"/>
        <v>305</v>
      </c>
      <c r="F606" s="34">
        <f t="shared" si="501"/>
        <v>358</v>
      </c>
      <c r="G606" s="34">
        <f t="shared" si="502"/>
        <v>423</v>
      </c>
      <c r="H606" s="34">
        <f t="shared" si="503"/>
        <v>418</v>
      </c>
      <c r="I606" s="34">
        <f t="shared" si="504"/>
        <v>433</v>
      </c>
      <c r="J606" s="34">
        <f t="shared" si="505"/>
        <v>412</v>
      </c>
      <c r="K606" s="34">
        <f t="shared" si="506"/>
        <v>270</v>
      </c>
      <c r="L606" s="880">
        <f t="shared" si="507"/>
        <v>457</v>
      </c>
      <c r="M606" s="880">
        <f t="shared" si="508"/>
        <v>540</v>
      </c>
      <c r="N606" s="25">
        <f t="shared" si="509"/>
        <v>479.5</v>
      </c>
      <c r="P606" s="2">
        <f t="shared" si="510"/>
        <v>2013</v>
      </c>
      <c r="Q606" s="438">
        <f t="shared" si="511"/>
        <v>749</v>
      </c>
      <c r="R606" s="25">
        <f t="shared" si="512"/>
        <v>638</v>
      </c>
      <c r="S606" s="25">
        <f t="shared" si="513"/>
        <v>508</v>
      </c>
      <c r="T606" s="25">
        <f t="shared" si="514"/>
        <v>305</v>
      </c>
      <c r="U606" s="25">
        <f t="shared" si="515"/>
        <v>358</v>
      </c>
      <c r="V606" s="25">
        <f t="shared" si="516"/>
        <v>423</v>
      </c>
      <c r="W606" s="25">
        <f t="shared" si="517"/>
        <v>418</v>
      </c>
      <c r="X606" s="438">
        <f t="shared" si="518"/>
        <v>433</v>
      </c>
      <c r="Y606" s="25">
        <f t="shared" si="519"/>
        <v>412</v>
      </c>
      <c r="Z606" s="25">
        <f t="shared" si="520"/>
        <v>270</v>
      </c>
      <c r="AA606" s="25">
        <f t="shared" si="521"/>
        <v>385</v>
      </c>
      <c r="AB606" s="25">
        <f t="shared" si="522"/>
        <v>449</v>
      </c>
      <c r="AC606" s="25">
        <f t="shared" si="523"/>
        <v>446</v>
      </c>
      <c r="AE606" s="2">
        <f t="shared" si="524"/>
        <v>2013</v>
      </c>
      <c r="AF606" s="887">
        <f t="shared" si="525"/>
        <v>69</v>
      </c>
      <c r="AG606" s="887">
        <f t="shared" si="536"/>
        <v>88</v>
      </c>
      <c r="AH606" s="887">
        <f t="shared" si="537"/>
        <v>86</v>
      </c>
      <c r="AI606" s="1112">
        <f t="shared" si="538"/>
        <v>80</v>
      </c>
      <c r="AJ606" s="25">
        <f t="shared" si="539"/>
        <v>89</v>
      </c>
      <c r="AK606" s="25">
        <f t="shared" si="540"/>
        <v>96</v>
      </c>
      <c r="AL606" s="25">
        <f t="shared" si="541"/>
        <v>104</v>
      </c>
      <c r="AM606" s="25">
        <f t="shared" si="542"/>
        <v>106</v>
      </c>
      <c r="AN606" s="25">
        <f t="shared" si="543"/>
        <v>97</v>
      </c>
      <c r="AO606" s="1113">
        <f t="shared" si="544"/>
        <v>89</v>
      </c>
      <c r="AP606" s="887">
        <f t="shared" si="545"/>
        <v>72</v>
      </c>
      <c r="AQ606" s="887">
        <f t="shared" si="546"/>
        <v>91</v>
      </c>
      <c r="AR606" s="25">
        <f t="shared" si="527"/>
        <v>88.916666666666671</v>
      </c>
      <c r="AT606" s="2">
        <f t="shared" si="528"/>
        <v>2013</v>
      </c>
      <c r="AU606" s="887">
        <f>[29]Breakdown!B82+[29]Breakdown!B119</f>
        <v>651.80399999999997</v>
      </c>
      <c r="AV606" s="887">
        <f>[29]Breakdown!C82+[29]Breakdown!C119</f>
        <v>540.36736105190744</v>
      </c>
      <c r="AW606" s="887">
        <f>[29]Breakdown!D82+[29]Breakdown!D119</f>
        <v>410.4626276352858</v>
      </c>
      <c r="AX606" s="887">
        <f>[29]Breakdown!E82+[29]Breakdown!E119</f>
        <v>204.56603760138881</v>
      </c>
      <c r="AY606" s="887">
        <f>[29]Breakdown!F82+[29]Breakdown!F119</f>
        <v>257.2284479417599</v>
      </c>
      <c r="AZ606" s="887">
        <f>[29]Breakdown!G82+[29]Breakdown!G119</f>
        <v>322.01017655124303</v>
      </c>
      <c r="BA606" s="887">
        <f>[29]Breakdown!H82+[29]Breakdown!H119</f>
        <v>317.12516922418229</v>
      </c>
      <c r="BB606" s="887">
        <f>[29]Breakdown!I82+[29]Breakdown!I119</f>
        <v>332</v>
      </c>
      <c r="BC606" s="887">
        <f>[29]Breakdown!J82+[29]Breakdown!J119</f>
        <v>310.29514660970813</v>
      </c>
      <c r="BD606" s="887">
        <f>[29]Breakdown!K82+[29]Breakdown!K119</f>
        <v>167.84458970864162</v>
      </c>
      <c r="BE606" s="887">
        <f>[29]Breakdown!L82+[29]Breakdown!L119</f>
        <v>284.88366897646864</v>
      </c>
      <c r="BF606" s="887">
        <f>[29]Breakdown!M82+[29]Breakdown!M119</f>
        <v>347.85821026665013</v>
      </c>
      <c r="BG606" s="25">
        <f t="shared" si="529"/>
        <v>345.53711963060294</v>
      </c>
      <c r="BI606" s="2">
        <f t="shared" si="530"/>
        <v>2013</v>
      </c>
      <c r="BJ606" s="887">
        <f>[29]Breakdown!B156</f>
        <v>0</v>
      </c>
      <c r="BK606" s="887">
        <f>[29]Breakdown!C156</f>
        <v>0</v>
      </c>
      <c r="BL606" s="887">
        <f>[29]Breakdown!D156</f>
        <v>0</v>
      </c>
      <c r="BM606" s="887">
        <f>[29]Breakdown!E156</f>
        <v>2</v>
      </c>
      <c r="BN606" s="887">
        <f>[29]Breakdown!F156</f>
        <v>2</v>
      </c>
      <c r="BO606" s="887">
        <f>[29]Breakdown!G156</f>
        <v>2</v>
      </c>
      <c r="BP606" s="887">
        <f>[29]Breakdown!H156</f>
        <v>2</v>
      </c>
      <c r="BQ606" s="887">
        <f>[29]Breakdown!I156</f>
        <v>2</v>
      </c>
      <c r="BR606" s="887">
        <f>[29]Breakdown!J156</f>
        <v>2</v>
      </c>
      <c r="BS606" s="887">
        <f>[29]Breakdown!K156</f>
        <v>2</v>
      </c>
      <c r="BT606" s="887">
        <f>[29]Breakdown!L156</f>
        <v>0</v>
      </c>
      <c r="BU606" s="887">
        <f>[29]Breakdown!M156</f>
        <v>0</v>
      </c>
      <c r="BV606" s="25">
        <f t="shared" si="531"/>
        <v>1.1666666666666667</v>
      </c>
      <c r="BX606" s="2">
        <f t="shared" si="532"/>
        <v>2013</v>
      </c>
      <c r="BY606" s="887">
        <f>[29]Breakdown!B193</f>
        <v>97</v>
      </c>
      <c r="BZ606" s="887">
        <f>[29]Breakdown!C193</f>
        <v>97.353028810681238</v>
      </c>
      <c r="CA606" s="887">
        <f>[29]Breakdown!D193</f>
        <v>97.706057621362476</v>
      </c>
      <c r="CB606" s="887">
        <f>[29]Breakdown!E193</f>
        <v>98.059086432043713</v>
      </c>
      <c r="CC606" s="887">
        <f>[29]Breakdown!F193</f>
        <v>98.412115242724951</v>
      </c>
      <c r="CD606" s="887">
        <f>[29]Breakdown!G193</f>
        <v>98.765144053406189</v>
      </c>
      <c r="CE606" s="887">
        <f>[29]Breakdown!H193</f>
        <v>99.118172864087427</v>
      </c>
      <c r="CF606" s="887">
        <f>[29]Breakdown!I193</f>
        <v>99.471201674768665</v>
      </c>
      <c r="CG606" s="887">
        <f>[29]Breakdown!J193</f>
        <v>99.824230485449903</v>
      </c>
      <c r="CH606" s="887">
        <f>[29]Breakdown!K193</f>
        <v>100.17725929613114</v>
      </c>
      <c r="CI606" s="887">
        <f>[29]Breakdown!L193</f>
        <v>100.53028810681238</v>
      </c>
      <c r="CJ606" s="887">
        <f>[29]Breakdown!M193</f>
        <v>100.88331691749362</v>
      </c>
      <c r="CK606" s="25">
        <f t="shared" si="533"/>
        <v>98.941658458746815</v>
      </c>
      <c r="CM606" s="2">
        <f t="shared" si="534"/>
        <v>2013</v>
      </c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</row>
    <row r="607" spans="1:119">
      <c r="A607" s="2">
        <f t="shared" si="535"/>
        <v>2014</v>
      </c>
      <c r="B607" s="880">
        <f t="shared" si="497"/>
        <v>866</v>
      </c>
      <c r="C607" s="880">
        <f t="shared" si="498"/>
        <v>744</v>
      </c>
      <c r="D607" s="880">
        <f t="shared" si="499"/>
        <v>600</v>
      </c>
      <c r="E607" s="34">
        <f t="shared" si="500"/>
        <v>312</v>
      </c>
      <c r="F607" s="34">
        <f t="shared" si="501"/>
        <v>366</v>
      </c>
      <c r="G607" s="34">
        <f t="shared" si="502"/>
        <v>432</v>
      </c>
      <c r="H607" s="34">
        <f t="shared" si="503"/>
        <v>427</v>
      </c>
      <c r="I607" s="34">
        <f t="shared" si="504"/>
        <v>443</v>
      </c>
      <c r="J607" s="34">
        <f t="shared" si="505"/>
        <v>421</v>
      </c>
      <c r="K607" s="34">
        <f t="shared" si="506"/>
        <v>277</v>
      </c>
      <c r="L607" s="880">
        <f t="shared" si="507"/>
        <v>468</v>
      </c>
      <c r="M607" s="880">
        <f t="shared" si="508"/>
        <v>550</v>
      </c>
      <c r="N607" s="25">
        <f t="shared" si="509"/>
        <v>492.16666666666669</v>
      </c>
      <c r="P607" s="2">
        <f t="shared" si="510"/>
        <v>2014</v>
      </c>
      <c r="Q607" s="438">
        <f t="shared" si="511"/>
        <v>762</v>
      </c>
      <c r="R607" s="25">
        <f t="shared" si="512"/>
        <v>650</v>
      </c>
      <c r="S607" s="25">
        <f t="shared" si="513"/>
        <v>518</v>
      </c>
      <c r="T607" s="25">
        <f t="shared" si="514"/>
        <v>312</v>
      </c>
      <c r="U607" s="25">
        <f t="shared" si="515"/>
        <v>366</v>
      </c>
      <c r="V607" s="25">
        <f t="shared" si="516"/>
        <v>432</v>
      </c>
      <c r="W607" s="25">
        <f t="shared" si="517"/>
        <v>427</v>
      </c>
      <c r="X607" s="438">
        <f t="shared" si="518"/>
        <v>443</v>
      </c>
      <c r="Y607" s="25">
        <f t="shared" si="519"/>
        <v>421</v>
      </c>
      <c r="Z607" s="25">
        <f t="shared" si="520"/>
        <v>277</v>
      </c>
      <c r="AA607" s="25">
        <f t="shared" si="521"/>
        <v>394</v>
      </c>
      <c r="AB607" s="25">
        <f t="shared" si="522"/>
        <v>458</v>
      </c>
      <c r="AC607" s="25">
        <f t="shared" si="523"/>
        <v>455</v>
      </c>
      <c r="AE607" s="2">
        <f t="shared" si="524"/>
        <v>2014</v>
      </c>
      <c r="AF607" s="887">
        <f>ROUND((B87-700)*0.0125,0)</f>
        <v>104</v>
      </c>
      <c r="AG607" s="887">
        <f t="shared" si="536"/>
        <v>94</v>
      </c>
      <c r="AH607" s="887">
        <f t="shared" si="537"/>
        <v>82</v>
      </c>
      <c r="AI607" s="1112">
        <f t="shared" si="538"/>
        <v>84</v>
      </c>
      <c r="AJ607" s="25">
        <f t="shared" si="539"/>
        <v>96</v>
      </c>
      <c r="AK607" s="25">
        <f t="shared" si="540"/>
        <v>102</v>
      </c>
      <c r="AL607" s="25">
        <f t="shared" si="541"/>
        <v>106</v>
      </c>
      <c r="AM607" s="25">
        <f t="shared" si="542"/>
        <v>109</v>
      </c>
      <c r="AN607" s="25">
        <f t="shared" si="543"/>
        <v>100</v>
      </c>
      <c r="AO607" s="1113">
        <f t="shared" si="544"/>
        <v>92</v>
      </c>
      <c r="AP607" s="887">
        <f t="shared" si="545"/>
        <v>74</v>
      </c>
      <c r="AQ607" s="887">
        <f t="shared" si="546"/>
        <v>92</v>
      </c>
      <c r="AR607" s="25">
        <f t="shared" si="527"/>
        <v>94.583333333333329</v>
      </c>
      <c r="AT607" s="2">
        <f t="shared" si="528"/>
        <v>2014</v>
      </c>
      <c r="AU607" s="887">
        <f>[29]Breakdown!B83+[29]Breakdown!B120</f>
        <v>661</v>
      </c>
      <c r="AV607" s="887">
        <f>[29]Breakdown!C83+[29]Breakdown!C120</f>
        <v>547.97586252794258</v>
      </c>
      <c r="AW607" s="887">
        <f>[29]Breakdown!D83+[29]Breakdown!D120</f>
        <v>416.06938176871796</v>
      </c>
      <c r="AX607" s="887">
        <f>[29]Breakdown!E83+[29]Breakdown!E120</f>
        <v>207.64685142068677</v>
      </c>
      <c r="AY607" s="887">
        <f>[29]Breakdown!F83+[29]Breakdown!F120</f>
        <v>261.10237035052148</v>
      </c>
      <c r="AZ607" s="887">
        <f>[29]Breakdown!G83+[29]Breakdown!G120</f>
        <v>326.85972740291845</v>
      </c>
      <c r="BA607" s="887">
        <f>[29]Breakdown!H83+[29]Breakdown!H120</f>
        <v>321.9011506884018</v>
      </c>
      <c r="BB607" s="887">
        <f>[29]Breakdown!I83+[29]Breakdown!I120</f>
        <v>337</v>
      </c>
      <c r="BC607" s="887">
        <f>[29]Breakdown!J83+[29]Breakdown!J120</f>
        <v>314.96826628756526</v>
      </c>
      <c r="BD607" s="887">
        <f>[29]Breakdown!K83+[29]Breakdown!K120</f>
        <v>170.37236967413324</v>
      </c>
      <c r="BE607" s="887">
        <f>[29]Breakdown!L83+[29]Breakdown!L120</f>
        <v>288.80809825239487</v>
      </c>
      <c r="BF607" s="887">
        <f>[29]Breakdown!M83+[29]Breakdown!M120</f>
        <v>353.02720646701414</v>
      </c>
      <c r="BG607" s="25">
        <f t="shared" si="529"/>
        <v>350.56094040335802</v>
      </c>
      <c r="BI607" s="2">
        <f t="shared" si="530"/>
        <v>2014</v>
      </c>
      <c r="BJ607" s="887">
        <f>[29]Breakdown!B157</f>
        <v>0</v>
      </c>
      <c r="BK607" s="887">
        <f>[29]Breakdown!C157</f>
        <v>0</v>
      </c>
      <c r="BL607" s="887">
        <f>[29]Breakdown!D157</f>
        <v>0</v>
      </c>
      <c r="BM607" s="887">
        <f>[29]Breakdown!E157</f>
        <v>2</v>
      </c>
      <c r="BN607" s="887">
        <f>[29]Breakdown!F157</f>
        <v>2</v>
      </c>
      <c r="BO607" s="887">
        <f>[29]Breakdown!G157</f>
        <v>2</v>
      </c>
      <c r="BP607" s="887">
        <f>[29]Breakdown!H157</f>
        <v>2</v>
      </c>
      <c r="BQ607" s="887">
        <f>[29]Breakdown!I157</f>
        <v>2</v>
      </c>
      <c r="BR607" s="887">
        <f>[29]Breakdown!J157</f>
        <v>2</v>
      </c>
      <c r="BS607" s="887">
        <f>[29]Breakdown!K157</f>
        <v>2</v>
      </c>
      <c r="BT607" s="887">
        <f>[29]Breakdown!L157</f>
        <v>0</v>
      </c>
      <c r="BU607" s="887">
        <f>[29]Breakdown!M157</f>
        <v>0</v>
      </c>
      <c r="BV607" s="25">
        <f t="shared" si="531"/>
        <v>1.1666666666666667</v>
      </c>
      <c r="BX607" s="2">
        <f t="shared" si="532"/>
        <v>2014</v>
      </c>
      <c r="BY607" s="887">
        <f>[29]Breakdown!B194</f>
        <v>101.23634572817488</v>
      </c>
      <c r="BZ607" s="887">
        <f>[29]Breakdown!C194</f>
        <v>101.58937453885612</v>
      </c>
      <c r="CA607" s="887">
        <f>[29]Breakdown!D194</f>
        <v>101.94240334953736</v>
      </c>
      <c r="CB607" s="887">
        <f>[29]Breakdown!E194</f>
        <v>102.2954321602186</v>
      </c>
      <c r="CC607" s="887">
        <f>[29]Breakdown!F194</f>
        <v>102.64846097089983</v>
      </c>
      <c r="CD607" s="887">
        <f>[29]Breakdown!G194</f>
        <v>103.00148978158107</v>
      </c>
      <c r="CE607" s="887">
        <f>[29]Breakdown!H194</f>
        <v>103.35451859226231</v>
      </c>
      <c r="CF607" s="887">
        <f>[29]Breakdown!I194</f>
        <v>103.70754740294355</v>
      </c>
      <c r="CG607" s="887">
        <f>[29]Breakdown!J194</f>
        <v>104.06057621362478</v>
      </c>
      <c r="CH607" s="887">
        <f>[29]Breakdown!K194</f>
        <v>104.41360502430602</v>
      </c>
      <c r="CI607" s="887">
        <f>[29]Breakdown!L194</f>
        <v>104.76663383498726</v>
      </c>
      <c r="CJ607" s="887">
        <f>[29]Breakdown!M194</f>
        <v>105.1196626456685</v>
      </c>
      <c r="CK607" s="25">
        <f t="shared" si="533"/>
        <v>103.17800418692168</v>
      </c>
      <c r="CM607" s="2">
        <f t="shared" si="534"/>
        <v>2014</v>
      </c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</row>
    <row r="608" spans="1:119">
      <c r="A608" s="2">
        <f t="shared" si="535"/>
        <v>2015</v>
      </c>
      <c r="B608" s="880">
        <f t="shared" si="497"/>
        <v>886</v>
      </c>
      <c r="C608" s="880">
        <f t="shared" si="498"/>
        <v>758</v>
      </c>
      <c r="D608" s="880">
        <f t="shared" si="499"/>
        <v>613</v>
      </c>
      <c r="E608" s="34">
        <f t="shared" si="500"/>
        <v>319</v>
      </c>
      <c r="F608" s="34">
        <f t="shared" si="501"/>
        <v>374</v>
      </c>
      <c r="G608" s="34">
        <f t="shared" si="502"/>
        <v>441</v>
      </c>
      <c r="H608" s="34">
        <f t="shared" si="503"/>
        <v>436</v>
      </c>
      <c r="I608" s="34">
        <f t="shared" si="504"/>
        <v>452</v>
      </c>
      <c r="J608" s="34">
        <f t="shared" si="505"/>
        <v>430</v>
      </c>
      <c r="K608" s="34">
        <f t="shared" si="506"/>
        <v>284</v>
      </c>
      <c r="L608" s="880">
        <f t="shared" si="507"/>
        <v>479</v>
      </c>
      <c r="M608" s="880">
        <f t="shared" si="508"/>
        <v>561</v>
      </c>
      <c r="N608" s="25">
        <f t="shared" si="509"/>
        <v>502.75</v>
      </c>
      <c r="P608" s="2">
        <f t="shared" si="510"/>
        <v>2015</v>
      </c>
      <c r="Q608" s="438">
        <f t="shared" si="511"/>
        <v>775</v>
      </c>
      <c r="R608" s="25">
        <f t="shared" si="512"/>
        <v>661</v>
      </c>
      <c r="S608" s="25">
        <f t="shared" si="513"/>
        <v>528</v>
      </c>
      <c r="T608" s="25">
        <f t="shared" si="514"/>
        <v>319</v>
      </c>
      <c r="U608" s="25">
        <f t="shared" si="515"/>
        <v>374</v>
      </c>
      <c r="V608" s="25">
        <f t="shared" si="516"/>
        <v>441</v>
      </c>
      <c r="W608" s="25">
        <f t="shared" si="517"/>
        <v>436</v>
      </c>
      <c r="X608" s="438">
        <f t="shared" si="518"/>
        <v>452</v>
      </c>
      <c r="Y608" s="25">
        <f t="shared" si="519"/>
        <v>430</v>
      </c>
      <c r="Z608" s="25">
        <f t="shared" si="520"/>
        <v>284</v>
      </c>
      <c r="AA608" s="25">
        <f t="shared" si="521"/>
        <v>402</v>
      </c>
      <c r="AB608" s="25">
        <f t="shared" si="522"/>
        <v>467</v>
      </c>
      <c r="AC608" s="25">
        <f t="shared" si="523"/>
        <v>464</v>
      </c>
      <c r="AE608" s="2">
        <f t="shared" si="524"/>
        <v>2015</v>
      </c>
      <c r="AF608" s="887">
        <f t="shared" si="525"/>
        <v>111</v>
      </c>
      <c r="AG608" s="887">
        <f t="shared" si="536"/>
        <v>97</v>
      </c>
      <c r="AH608" s="887">
        <f t="shared" si="537"/>
        <v>85</v>
      </c>
      <c r="AI608" s="1112">
        <f t="shared" si="538"/>
        <v>87</v>
      </c>
      <c r="AJ608" s="25">
        <f t="shared" si="539"/>
        <v>98</v>
      </c>
      <c r="AK608" s="25">
        <f t="shared" si="540"/>
        <v>105</v>
      </c>
      <c r="AL608" s="25">
        <f t="shared" si="541"/>
        <v>109</v>
      </c>
      <c r="AM608" s="25">
        <f t="shared" si="542"/>
        <v>111</v>
      </c>
      <c r="AN608" s="25">
        <f t="shared" si="543"/>
        <v>102</v>
      </c>
      <c r="AO608" s="1113">
        <f t="shared" si="544"/>
        <v>96</v>
      </c>
      <c r="AP608" s="887">
        <f t="shared" si="545"/>
        <v>77</v>
      </c>
      <c r="AQ608" s="887">
        <f t="shared" si="546"/>
        <v>94</v>
      </c>
      <c r="AR608" s="25">
        <f t="shared" si="527"/>
        <v>97.666666666666671</v>
      </c>
      <c r="AT608" s="2">
        <f t="shared" si="528"/>
        <v>2015</v>
      </c>
      <c r="AU608" s="887">
        <f>[29]Breakdown!B84+[29]Breakdown!B121</f>
        <v>670</v>
      </c>
      <c r="AV608" s="887">
        <f>[29]Breakdown!C84+[29]Breakdown!C121</f>
        <v>555.42268612922669</v>
      </c>
      <c r="AW608" s="887">
        <f>[29]Breakdown!D84+[29]Breakdown!D121</f>
        <v>421.56250218009126</v>
      </c>
      <c r="AX608" s="887">
        <f>[29]Breakdown!E84+[29]Breakdown!E121</f>
        <v>210.72766523998484</v>
      </c>
      <c r="AY608" s="887">
        <f>[29]Breakdown!F84+[29]Breakdown!F121</f>
        <v>264.9762927592829</v>
      </c>
      <c r="AZ608" s="887">
        <f>[29]Breakdown!G84+[29]Breakdown!G121</f>
        <v>331.70927825459376</v>
      </c>
      <c r="BA608" s="887">
        <f>[29]Breakdown!H84+[29]Breakdown!H121</f>
        <v>326.67713215262143</v>
      </c>
      <c r="BB608" s="887">
        <f>[29]Breakdown!I84+[29]Breakdown!I121</f>
        <v>342</v>
      </c>
      <c r="BC608" s="887">
        <f>[29]Breakdown!J84+[29]Breakdown!J121</f>
        <v>319.6413859654221</v>
      </c>
      <c r="BD608" s="887">
        <f>[29]Breakdown!K84+[29]Breakdown!K121</f>
        <v>172.90014963962474</v>
      </c>
      <c r="BE608" s="887">
        <f>[29]Breakdown!L84+[29]Breakdown!L121</f>
        <v>292.6519037735082</v>
      </c>
      <c r="BF608" s="887">
        <f>[29]Breakdown!M84+[29]Breakdown!M121</f>
        <v>358.0777163111145</v>
      </c>
      <c r="BG608" s="25">
        <f t="shared" si="529"/>
        <v>355.52889270045597</v>
      </c>
      <c r="BI608" s="2">
        <f t="shared" si="530"/>
        <v>2015</v>
      </c>
      <c r="BJ608" s="887">
        <f>[29]Breakdown!B158</f>
        <v>0</v>
      </c>
      <c r="BK608" s="887">
        <f>[29]Breakdown!C158</f>
        <v>0</v>
      </c>
      <c r="BL608" s="887">
        <f>[29]Breakdown!D158</f>
        <v>0</v>
      </c>
      <c r="BM608" s="887">
        <f>[29]Breakdown!E158</f>
        <v>2</v>
      </c>
      <c r="BN608" s="887">
        <f>[29]Breakdown!F158</f>
        <v>2</v>
      </c>
      <c r="BO608" s="887">
        <f>[29]Breakdown!G158</f>
        <v>2</v>
      </c>
      <c r="BP608" s="887">
        <f>[29]Breakdown!H158</f>
        <v>2</v>
      </c>
      <c r="BQ608" s="887">
        <f>[29]Breakdown!I158</f>
        <v>2</v>
      </c>
      <c r="BR608" s="887">
        <f>[29]Breakdown!J158</f>
        <v>2</v>
      </c>
      <c r="BS608" s="887">
        <f>[29]Breakdown!K158</f>
        <v>2</v>
      </c>
      <c r="BT608" s="887">
        <f>[29]Breakdown!L158</f>
        <v>0</v>
      </c>
      <c r="BU608" s="887">
        <f>[29]Breakdown!M158</f>
        <v>0</v>
      </c>
      <c r="BV608" s="25">
        <f t="shared" si="531"/>
        <v>1.1666666666666667</v>
      </c>
      <c r="BX608" s="2">
        <f t="shared" si="532"/>
        <v>2015</v>
      </c>
      <c r="BY608" s="887">
        <f>[29]Breakdown!B195</f>
        <v>105.47269145634976</v>
      </c>
      <c r="BZ608" s="887">
        <f>[29]Breakdown!C195</f>
        <v>105.825720267031</v>
      </c>
      <c r="CA608" s="887">
        <f>[29]Breakdown!D195</f>
        <v>106.17874907771224</v>
      </c>
      <c r="CB608" s="887">
        <f>[29]Breakdown!E195</f>
        <v>106.53177788839348</v>
      </c>
      <c r="CC608" s="887">
        <f>[29]Breakdown!F195</f>
        <v>106.88480669907472</v>
      </c>
      <c r="CD608" s="887">
        <f>[29]Breakdown!G195</f>
        <v>107.23783550975595</v>
      </c>
      <c r="CE608" s="887">
        <f>[29]Breakdown!H195</f>
        <v>107.59086432043719</v>
      </c>
      <c r="CF608" s="887">
        <f>[29]Breakdown!I195</f>
        <v>107.94389313111843</v>
      </c>
      <c r="CG608" s="887">
        <f>[29]Breakdown!J195</f>
        <v>108.29692194179967</v>
      </c>
      <c r="CH608" s="887">
        <f>[29]Breakdown!K195</f>
        <v>108.6499507524809</v>
      </c>
      <c r="CI608" s="887">
        <f>[29]Breakdown!L195</f>
        <v>109.00297956316214</v>
      </c>
      <c r="CJ608" s="887">
        <f>[29]Breakdown!M195</f>
        <v>109.35600837384338</v>
      </c>
      <c r="CK608" s="25">
        <f t="shared" si="533"/>
        <v>107.41434991509658</v>
      </c>
      <c r="CM608" s="2">
        <f t="shared" si="534"/>
        <v>2015</v>
      </c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</row>
    <row r="609" spans="1:119">
      <c r="A609" s="2">
        <f t="shared" si="535"/>
        <v>2016</v>
      </c>
      <c r="B609" s="880">
        <f t="shared" si="497"/>
        <v>903</v>
      </c>
      <c r="C609" s="880">
        <f t="shared" si="498"/>
        <v>772</v>
      </c>
      <c r="D609" s="880">
        <f t="shared" si="499"/>
        <v>625</v>
      </c>
      <c r="E609" s="34">
        <f t="shared" si="500"/>
        <v>327</v>
      </c>
      <c r="F609" s="34">
        <f t="shared" si="501"/>
        <v>382</v>
      </c>
      <c r="G609" s="34">
        <f t="shared" si="502"/>
        <v>450</v>
      </c>
      <c r="H609" s="34">
        <f t="shared" si="503"/>
        <v>445</v>
      </c>
      <c r="I609" s="34">
        <f t="shared" si="504"/>
        <v>461</v>
      </c>
      <c r="J609" s="34">
        <f t="shared" si="505"/>
        <v>439</v>
      </c>
      <c r="K609" s="34">
        <f t="shared" si="506"/>
        <v>290</v>
      </c>
      <c r="L609" s="880">
        <f t="shared" si="507"/>
        <v>489</v>
      </c>
      <c r="M609" s="880">
        <f t="shared" si="508"/>
        <v>572</v>
      </c>
      <c r="N609" s="25">
        <f t="shared" si="509"/>
        <v>512.91666666666663</v>
      </c>
      <c r="P609" s="2">
        <f t="shared" si="510"/>
        <v>2016</v>
      </c>
      <c r="Q609" s="438">
        <f t="shared" si="511"/>
        <v>789</v>
      </c>
      <c r="R609" s="25">
        <f t="shared" si="512"/>
        <v>673</v>
      </c>
      <c r="S609" s="25">
        <f t="shared" si="513"/>
        <v>537</v>
      </c>
      <c r="T609" s="25">
        <f t="shared" si="514"/>
        <v>327</v>
      </c>
      <c r="U609" s="25">
        <f t="shared" si="515"/>
        <v>382</v>
      </c>
      <c r="V609" s="25">
        <f t="shared" si="516"/>
        <v>450</v>
      </c>
      <c r="W609" s="25">
        <f t="shared" si="517"/>
        <v>445</v>
      </c>
      <c r="X609" s="438">
        <f t="shared" si="518"/>
        <v>461</v>
      </c>
      <c r="Y609" s="25">
        <f t="shared" si="519"/>
        <v>439</v>
      </c>
      <c r="Z609" s="25">
        <f t="shared" si="520"/>
        <v>290</v>
      </c>
      <c r="AA609" s="25">
        <f t="shared" si="521"/>
        <v>410</v>
      </c>
      <c r="AB609" s="25">
        <f t="shared" si="522"/>
        <v>477</v>
      </c>
      <c r="AC609" s="25">
        <f t="shared" si="523"/>
        <v>473</v>
      </c>
      <c r="AE609" s="2">
        <f t="shared" si="524"/>
        <v>2016</v>
      </c>
      <c r="AF609" s="887">
        <f t="shared" si="525"/>
        <v>114</v>
      </c>
      <c r="AG609" s="887">
        <f t="shared" si="536"/>
        <v>99</v>
      </c>
      <c r="AH609" s="887">
        <f t="shared" si="537"/>
        <v>88</v>
      </c>
      <c r="AI609" s="1112">
        <f t="shared" si="538"/>
        <v>91</v>
      </c>
      <c r="AJ609" s="25">
        <f t="shared" si="539"/>
        <v>102</v>
      </c>
      <c r="AK609" s="25">
        <f t="shared" si="540"/>
        <v>108</v>
      </c>
      <c r="AL609" s="25">
        <f t="shared" si="541"/>
        <v>112</v>
      </c>
      <c r="AM609" s="25">
        <f t="shared" si="542"/>
        <v>115</v>
      </c>
      <c r="AN609" s="25">
        <f t="shared" si="543"/>
        <v>105</v>
      </c>
      <c r="AO609" s="1113">
        <f t="shared" si="544"/>
        <v>99</v>
      </c>
      <c r="AP609" s="887">
        <f t="shared" si="545"/>
        <v>79</v>
      </c>
      <c r="AQ609" s="887">
        <f t="shared" si="546"/>
        <v>95</v>
      </c>
      <c r="AR609" s="25">
        <f t="shared" si="527"/>
        <v>100.58333333333333</v>
      </c>
      <c r="AT609" s="2">
        <f t="shared" si="528"/>
        <v>2016</v>
      </c>
      <c r="AU609" s="887">
        <f>[29]Breakdown!B85+[29]Breakdown!B122</f>
        <v>679</v>
      </c>
      <c r="AV609" s="887">
        <f>[29]Breakdown!C85+[29]Breakdown!C122</f>
        <v>562.86906505448985</v>
      </c>
      <c r="AW609" s="887">
        <f>[29]Breakdown!D85+[29]Breakdown!D122</f>
        <v>427.05026368543167</v>
      </c>
      <c r="AX609" s="887">
        <f>[29]Breakdown!E85+[29]Breakdown!E122</f>
        <v>213.80847905928283</v>
      </c>
      <c r="AY609" s="887">
        <f>[29]Breakdown!F85+[29]Breakdown!F122</f>
        <v>268.85021516804426</v>
      </c>
      <c r="AZ609" s="887">
        <f>[29]Breakdown!G85+[29]Breakdown!G122</f>
        <v>336.558829106269</v>
      </c>
      <c r="BA609" s="887">
        <f>[29]Breakdown!H85+[29]Breakdown!H122</f>
        <v>331.45311361684122</v>
      </c>
      <c r="BB609" s="887">
        <f>[29]Breakdown!I85+[29]Breakdown!I122</f>
        <v>347</v>
      </c>
      <c r="BC609" s="887">
        <f>[29]Breakdown!J85+[29]Breakdown!J122</f>
        <v>324.31450564327884</v>
      </c>
      <c r="BD609" s="887">
        <f>[29]Breakdown!K85+[29]Breakdown!K122</f>
        <v>175.42792960511622</v>
      </c>
      <c r="BE609" s="887">
        <f>[29]Breakdown!L85+[29]Breakdown!L122</f>
        <v>296.49295056894749</v>
      </c>
      <c r="BF609" s="887">
        <f>[29]Breakdown!M85+[29]Breakdown!M122</f>
        <v>363.13582298484891</v>
      </c>
      <c r="BG609" s="25">
        <f t="shared" si="529"/>
        <v>360.49676454104588</v>
      </c>
      <c r="BI609" s="2">
        <f t="shared" si="530"/>
        <v>2016</v>
      </c>
      <c r="BJ609" s="887">
        <f>[29]Breakdown!B159</f>
        <v>0</v>
      </c>
      <c r="BK609" s="887">
        <f>[29]Breakdown!C159</f>
        <v>0</v>
      </c>
      <c r="BL609" s="887">
        <f>[29]Breakdown!D159</f>
        <v>0</v>
      </c>
      <c r="BM609" s="887">
        <f>[29]Breakdown!E159</f>
        <v>2</v>
      </c>
      <c r="BN609" s="887">
        <f>[29]Breakdown!F159</f>
        <v>2</v>
      </c>
      <c r="BO609" s="887">
        <f>[29]Breakdown!G159</f>
        <v>2</v>
      </c>
      <c r="BP609" s="887">
        <f>[29]Breakdown!H159</f>
        <v>2</v>
      </c>
      <c r="BQ609" s="887">
        <f>[29]Breakdown!I159</f>
        <v>2</v>
      </c>
      <c r="BR609" s="887">
        <f>[29]Breakdown!J159</f>
        <v>2</v>
      </c>
      <c r="BS609" s="887">
        <f>[29]Breakdown!K159</f>
        <v>2</v>
      </c>
      <c r="BT609" s="887">
        <f>[29]Breakdown!L159</f>
        <v>0</v>
      </c>
      <c r="BU609" s="887">
        <f>[29]Breakdown!M159</f>
        <v>0</v>
      </c>
      <c r="BV609" s="25">
        <f t="shared" si="531"/>
        <v>1.1666666666666667</v>
      </c>
      <c r="BX609" s="2">
        <f t="shared" si="532"/>
        <v>2016</v>
      </c>
      <c r="BY609" s="887">
        <f>[29]Breakdown!B196</f>
        <v>109.70903718452465</v>
      </c>
      <c r="BZ609" s="887">
        <f>[29]Breakdown!C196</f>
        <v>110.06206599520588</v>
      </c>
      <c r="CA609" s="887">
        <f>[29]Breakdown!D196</f>
        <v>110.41509480588712</v>
      </c>
      <c r="CB609" s="887">
        <f>[29]Breakdown!E196</f>
        <v>110.76812361656836</v>
      </c>
      <c r="CC609" s="887">
        <f>[29]Breakdown!F196</f>
        <v>111.1211524272496</v>
      </c>
      <c r="CD609" s="887">
        <f>[29]Breakdown!G196</f>
        <v>111.47418123793084</v>
      </c>
      <c r="CE609" s="887">
        <f>[29]Breakdown!H196</f>
        <v>111.82721004861207</v>
      </c>
      <c r="CF609" s="887">
        <f>[29]Breakdown!I196</f>
        <v>112.18023885929331</v>
      </c>
      <c r="CG609" s="887">
        <f>[29]Breakdown!J196</f>
        <v>112.53326766997455</v>
      </c>
      <c r="CH609" s="887">
        <f>[29]Breakdown!K196</f>
        <v>112.88629648065579</v>
      </c>
      <c r="CI609" s="887">
        <f>[29]Breakdown!L196</f>
        <v>113.23932529133702</v>
      </c>
      <c r="CJ609" s="887">
        <f>[29]Breakdown!M196</f>
        <v>113.59235410201826</v>
      </c>
      <c r="CK609" s="25">
        <f t="shared" si="533"/>
        <v>111.65069564327145</v>
      </c>
      <c r="CM609" s="2">
        <f t="shared" si="534"/>
        <v>2016</v>
      </c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</row>
    <row r="610" spans="1:119">
      <c r="A610" s="2">
        <f t="shared" si="535"/>
        <v>2017</v>
      </c>
      <c r="B610" s="880">
        <f t="shared" si="497"/>
        <v>937</v>
      </c>
      <c r="C610" s="880">
        <f t="shared" si="498"/>
        <v>802</v>
      </c>
      <c r="D610" s="880">
        <f t="shared" si="499"/>
        <v>648</v>
      </c>
      <c r="E610" s="34">
        <f t="shared" si="500"/>
        <v>353</v>
      </c>
      <c r="F610" s="34">
        <f t="shared" si="501"/>
        <v>414</v>
      </c>
      <c r="G610" s="34">
        <f t="shared" si="502"/>
        <v>489</v>
      </c>
      <c r="H610" s="34">
        <f t="shared" si="503"/>
        <v>484</v>
      </c>
      <c r="I610" s="34">
        <f t="shared" si="504"/>
        <v>501</v>
      </c>
      <c r="J610" s="34">
        <f t="shared" si="505"/>
        <v>476</v>
      </c>
      <c r="K610" s="34">
        <f t="shared" si="506"/>
        <v>313</v>
      </c>
      <c r="L610" s="880">
        <f t="shared" si="507"/>
        <v>508</v>
      </c>
      <c r="M610" s="880">
        <f t="shared" si="508"/>
        <v>592</v>
      </c>
      <c r="N610" s="25">
        <f t="shared" si="509"/>
        <v>543.08333333333337</v>
      </c>
      <c r="P610" s="2">
        <f t="shared" si="510"/>
        <v>2017</v>
      </c>
      <c r="Q610" s="438">
        <f t="shared" si="511"/>
        <v>820</v>
      </c>
      <c r="R610" s="25">
        <f t="shared" si="512"/>
        <v>700</v>
      </c>
      <c r="S610" s="25">
        <f t="shared" si="513"/>
        <v>559</v>
      </c>
      <c r="T610" s="25">
        <f t="shared" si="514"/>
        <v>353</v>
      </c>
      <c r="U610" s="25">
        <f t="shared" si="515"/>
        <v>414</v>
      </c>
      <c r="V610" s="25">
        <f t="shared" si="516"/>
        <v>489</v>
      </c>
      <c r="W610" s="25">
        <f t="shared" si="517"/>
        <v>484</v>
      </c>
      <c r="X610" s="438">
        <f t="shared" si="518"/>
        <v>501</v>
      </c>
      <c r="Y610" s="25">
        <f t="shared" si="519"/>
        <v>476</v>
      </c>
      <c r="Z610" s="25">
        <f t="shared" si="520"/>
        <v>313</v>
      </c>
      <c r="AA610" s="25">
        <f t="shared" si="521"/>
        <v>426</v>
      </c>
      <c r="AB610" s="25">
        <f t="shared" si="522"/>
        <v>496</v>
      </c>
      <c r="AC610" s="25">
        <f t="shared" si="523"/>
        <v>502</v>
      </c>
      <c r="AE610" s="2">
        <f t="shared" si="524"/>
        <v>2017</v>
      </c>
      <c r="AF610" s="887">
        <f t="shared" si="525"/>
        <v>117</v>
      </c>
      <c r="AG610" s="887">
        <f t="shared" si="536"/>
        <v>102</v>
      </c>
      <c r="AH610" s="887">
        <f t="shared" si="537"/>
        <v>89</v>
      </c>
      <c r="AI610" s="1112">
        <f t="shared" si="538"/>
        <v>94</v>
      </c>
      <c r="AJ610" s="25">
        <f t="shared" si="539"/>
        <v>106</v>
      </c>
      <c r="AK610" s="25">
        <f t="shared" si="540"/>
        <v>111</v>
      </c>
      <c r="AL610" s="25">
        <f t="shared" si="541"/>
        <v>115</v>
      </c>
      <c r="AM610" s="25">
        <f t="shared" si="542"/>
        <v>118</v>
      </c>
      <c r="AN610" s="25">
        <f t="shared" si="543"/>
        <v>107</v>
      </c>
      <c r="AO610" s="1113">
        <f t="shared" si="544"/>
        <v>103</v>
      </c>
      <c r="AP610" s="887">
        <f t="shared" si="545"/>
        <v>82</v>
      </c>
      <c r="AQ610" s="887">
        <f t="shared" si="546"/>
        <v>96</v>
      </c>
      <c r="AR610" s="25">
        <f t="shared" si="527"/>
        <v>103.33333333333333</v>
      </c>
      <c r="AT610" s="2">
        <f t="shared" si="528"/>
        <v>2017</v>
      </c>
      <c r="AU610" s="887">
        <f>[29]Breakdown!B86+[29]Breakdown!B123</f>
        <v>706.0314140000678</v>
      </c>
      <c r="AV610" s="887">
        <f>[29]Breakdown!C86+[29]Breakdown!C123</f>
        <v>585.26208884109133</v>
      </c>
      <c r="AW610" s="887">
        <f>[29]Breakdown!D86+[29]Breakdown!D123</f>
        <v>443.86888291520648</v>
      </c>
      <c r="AX610" s="887">
        <f>[29]Breakdown!E86+[29]Breakdown!E123</f>
        <v>235.78212762327101</v>
      </c>
      <c r="AY610" s="887">
        <f>[29]Breakdown!F86+[29]Breakdown!F123</f>
        <v>296.4806448425249</v>
      </c>
      <c r="AZ610" s="887">
        <f>[29]Breakdown!G86+[29]Breakdown!G123</f>
        <v>371.14784757937605</v>
      </c>
      <c r="BA610" s="887">
        <f>[29]Breakdown!H86+[29]Breakdown!H123</f>
        <v>365.51740454721477</v>
      </c>
      <c r="BB610" s="887">
        <f>[29]Breakdown!I86+[29]Breakdown!I123</f>
        <v>382.66208452186652</v>
      </c>
      <c r="BC610" s="887">
        <f>[29]Breakdown!J86+[29]Breakdown!J123</f>
        <v>357.64514342978566</v>
      </c>
      <c r="BD610" s="887">
        <f>[29]Breakdown!K86+[29]Breakdown!K123</f>
        <v>193.45711016152438</v>
      </c>
      <c r="BE610" s="887">
        <f>[29]Breakdown!L86+[29]Breakdown!L123</f>
        <v>308.20256091697752</v>
      </c>
      <c r="BF610" s="887">
        <f>[29]Breakdown!M86+[29]Breakdown!M123</f>
        <v>377.85122650880862</v>
      </c>
      <c r="BG610" s="25">
        <f t="shared" si="529"/>
        <v>385.32571132397624</v>
      </c>
      <c r="BI610" s="2">
        <f t="shared" si="530"/>
        <v>2017</v>
      </c>
      <c r="BJ610" s="887">
        <f>[29]Breakdown!B160</f>
        <v>0</v>
      </c>
      <c r="BK610" s="887">
        <f>[29]Breakdown!C160</f>
        <v>0</v>
      </c>
      <c r="BL610" s="887">
        <f>[29]Breakdown!D160</f>
        <v>0</v>
      </c>
      <c r="BM610" s="887">
        <f>[29]Breakdown!E160</f>
        <v>2</v>
      </c>
      <c r="BN610" s="887">
        <f>[29]Breakdown!F160</f>
        <v>2</v>
      </c>
      <c r="BO610" s="887">
        <f>[29]Breakdown!G160</f>
        <v>2</v>
      </c>
      <c r="BP610" s="887">
        <f>[29]Breakdown!H160</f>
        <v>2</v>
      </c>
      <c r="BQ610" s="887">
        <f>[29]Breakdown!I160</f>
        <v>2</v>
      </c>
      <c r="BR610" s="887">
        <f>[29]Breakdown!J160</f>
        <v>2</v>
      </c>
      <c r="BS610" s="887">
        <f>[29]Breakdown!K160</f>
        <v>2</v>
      </c>
      <c r="BT610" s="887">
        <f>[29]Breakdown!L160</f>
        <v>0</v>
      </c>
      <c r="BU610" s="887">
        <f>[29]Breakdown!M160</f>
        <v>0</v>
      </c>
      <c r="BV610" s="25">
        <f t="shared" si="531"/>
        <v>1.1666666666666667</v>
      </c>
      <c r="BX610" s="2">
        <f t="shared" si="532"/>
        <v>2017</v>
      </c>
      <c r="BY610" s="887">
        <f>[29]Breakdown!B197</f>
        <v>113.94538291269953</v>
      </c>
      <c r="BZ610" s="887">
        <f>[29]Breakdown!C197</f>
        <v>114.29841172338077</v>
      </c>
      <c r="CA610" s="887">
        <f>[29]Breakdown!D197</f>
        <v>114.651440534062</v>
      </c>
      <c r="CB610" s="887">
        <f>[29]Breakdown!E197</f>
        <v>115.00446934474324</v>
      </c>
      <c r="CC610" s="887">
        <f>[29]Breakdown!F197</f>
        <v>115.35749815542448</v>
      </c>
      <c r="CD610" s="887">
        <f>[29]Breakdown!G197</f>
        <v>115.71052696610572</v>
      </c>
      <c r="CE610" s="887">
        <f>[29]Breakdown!H197</f>
        <v>116.06355577678696</v>
      </c>
      <c r="CF610" s="887">
        <f>[29]Breakdown!I197</f>
        <v>116.41658458746819</v>
      </c>
      <c r="CG610" s="887">
        <f>[29]Breakdown!J197</f>
        <v>116.76961339814943</v>
      </c>
      <c r="CH610" s="887">
        <f>[29]Breakdown!K197</f>
        <v>117.12264220883067</v>
      </c>
      <c r="CI610" s="887">
        <f>[29]Breakdown!L197</f>
        <v>117.47567101951191</v>
      </c>
      <c r="CJ610" s="887">
        <f>[29]Breakdown!M197</f>
        <v>117.82869983019314</v>
      </c>
      <c r="CK610" s="25">
        <f t="shared" si="533"/>
        <v>115.88704137144634</v>
      </c>
      <c r="CM610" s="2">
        <f t="shared" si="534"/>
        <v>2017</v>
      </c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</row>
    <row r="611" spans="1:119">
      <c r="A611" s="2">
        <f t="shared" si="535"/>
        <v>2018</v>
      </c>
      <c r="B611" s="880">
        <f t="shared" si="497"/>
        <v>953</v>
      </c>
      <c r="C611" s="880">
        <f t="shared" si="498"/>
        <v>814</v>
      </c>
      <c r="D611" s="880">
        <f t="shared" si="499"/>
        <v>658</v>
      </c>
      <c r="E611" s="34">
        <f t="shared" si="500"/>
        <v>360</v>
      </c>
      <c r="F611" s="34">
        <f t="shared" si="501"/>
        <v>422</v>
      </c>
      <c r="G611" s="34">
        <f t="shared" si="502"/>
        <v>498</v>
      </c>
      <c r="H611" s="34">
        <f t="shared" si="503"/>
        <v>493</v>
      </c>
      <c r="I611" s="34">
        <f t="shared" si="504"/>
        <v>511</v>
      </c>
      <c r="J611" s="34">
        <f t="shared" si="505"/>
        <v>486</v>
      </c>
      <c r="K611" s="34">
        <f t="shared" si="506"/>
        <v>320</v>
      </c>
      <c r="L611" s="880">
        <f t="shared" si="507"/>
        <v>517</v>
      </c>
      <c r="M611" s="880">
        <f t="shared" si="508"/>
        <v>602</v>
      </c>
      <c r="N611" s="25">
        <f t="shared" si="509"/>
        <v>552.83333333333337</v>
      </c>
      <c r="P611" s="2">
        <f t="shared" si="510"/>
        <v>2018</v>
      </c>
      <c r="Q611" s="438">
        <f t="shared" si="511"/>
        <v>833</v>
      </c>
      <c r="R611" s="25">
        <f t="shared" si="512"/>
        <v>711</v>
      </c>
      <c r="S611" s="25">
        <f t="shared" si="513"/>
        <v>568</v>
      </c>
      <c r="T611" s="25">
        <f t="shared" si="514"/>
        <v>360</v>
      </c>
      <c r="U611" s="25">
        <f t="shared" si="515"/>
        <v>422</v>
      </c>
      <c r="V611" s="25">
        <f t="shared" si="516"/>
        <v>498</v>
      </c>
      <c r="W611" s="25">
        <f t="shared" si="517"/>
        <v>493</v>
      </c>
      <c r="X611" s="438">
        <f t="shared" si="518"/>
        <v>511</v>
      </c>
      <c r="Y611" s="25">
        <f t="shared" si="519"/>
        <v>486</v>
      </c>
      <c r="Z611" s="25">
        <f t="shared" si="520"/>
        <v>320</v>
      </c>
      <c r="AA611" s="25">
        <f t="shared" si="521"/>
        <v>434</v>
      </c>
      <c r="AB611" s="25">
        <f t="shared" si="522"/>
        <v>505</v>
      </c>
      <c r="AC611" s="25">
        <f t="shared" si="523"/>
        <v>512</v>
      </c>
      <c r="AE611" s="2">
        <f t="shared" si="524"/>
        <v>2018</v>
      </c>
      <c r="AF611" s="887">
        <f t="shared" si="525"/>
        <v>120</v>
      </c>
      <c r="AG611" s="887">
        <f t="shared" si="536"/>
        <v>103</v>
      </c>
      <c r="AH611" s="887">
        <f t="shared" si="537"/>
        <v>90</v>
      </c>
      <c r="AI611" s="1112">
        <f t="shared" si="538"/>
        <v>97</v>
      </c>
      <c r="AJ611" s="25">
        <f t="shared" si="539"/>
        <v>110</v>
      </c>
      <c r="AK611" s="25">
        <f t="shared" si="540"/>
        <v>114</v>
      </c>
      <c r="AL611" s="25">
        <f t="shared" si="541"/>
        <v>117</v>
      </c>
      <c r="AM611" s="25">
        <f t="shared" si="542"/>
        <v>120</v>
      </c>
      <c r="AN611" s="25">
        <f t="shared" si="543"/>
        <v>109</v>
      </c>
      <c r="AO611" s="1113">
        <f t="shared" si="544"/>
        <v>104</v>
      </c>
      <c r="AP611" s="887">
        <f t="shared" si="545"/>
        <v>83</v>
      </c>
      <c r="AQ611" s="887">
        <f t="shared" si="546"/>
        <v>97</v>
      </c>
      <c r="AR611" s="25">
        <f t="shared" si="527"/>
        <v>105.33333333333333</v>
      </c>
      <c r="AT611" s="2">
        <f t="shared" si="528"/>
        <v>2018</v>
      </c>
      <c r="AU611" s="887">
        <f>[29]Breakdown!B87+[29]Breakdown!B124</f>
        <v>715</v>
      </c>
      <c r="AV611" s="887">
        <f>[29]Breakdown!C87+[29]Breakdown!C124</f>
        <v>592.68120225975463</v>
      </c>
      <c r="AW611" s="887">
        <f>[29]Breakdown!D87+[29]Breakdown!D124</f>
        <v>449.32213235722168</v>
      </c>
      <c r="AX611" s="887">
        <f>[29]Breakdown!E87+[29]Breakdown!E124</f>
        <v>239.07115237752683</v>
      </c>
      <c r="AY611" s="887">
        <f>[29]Breakdown!F87+[29]Breakdown!F124</f>
        <v>300.61637891988812</v>
      </c>
      <c r="AZ611" s="887">
        <f>[29]Breakdown!G87+[29]Breakdown!G124</f>
        <v>376.32514609000674</v>
      </c>
      <c r="BA611" s="887">
        <f>[29]Breakdown!H87+[29]Breakdown!H124</f>
        <v>370.61616162344222</v>
      </c>
      <c r="BB611" s="887">
        <f>[29]Breakdown!I87+[29]Breakdown!I124</f>
        <v>388</v>
      </c>
      <c r="BC611" s="887">
        <f>[29]Breakdown!J87+[29]Breakdown!J124</f>
        <v>362.63408700170589</v>
      </c>
      <c r="BD611" s="887">
        <f>[29]Breakdown!K87+[29]Breakdown!K124</f>
        <v>196.15572532214679</v>
      </c>
      <c r="BE611" s="887">
        <f>[29]Breakdown!L87+[29]Breakdown!L124</f>
        <v>312.02229490724449</v>
      </c>
      <c r="BF611" s="887">
        <f>[29]Breakdown!M87+[29]Breakdown!M124</f>
        <v>382.91344882992587</v>
      </c>
      <c r="BG611" s="25">
        <f t="shared" si="529"/>
        <v>390.44647747407197</v>
      </c>
      <c r="BI611" s="2">
        <f t="shared" si="530"/>
        <v>2018</v>
      </c>
      <c r="BJ611" s="887">
        <f>[29]Breakdown!B161</f>
        <v>0</v>
      </c>
      <c r="BK611" s="887">
        <f>[29]Breakdown!C161</f>
        <v>0</v>
      </c>
      <c r="BL611" s="887">
        <f>[29]Breakdown!D161</f>
        <v>0</v>
      </c>
      <c r="BM611" s="887">
        <f>[29]Breakdown!E161</f>
        <v>2</v>
      </c>
      <c r="BN611" s="887">
        <f>[29]Breakdown!F161</f>
        <v>2</v>
      </c>
      <c r="BO611" s="887">
        <f>[29]Breakdown!G161</f>
        <v>2</v>
      </c>
      <c r="BP611" s="887">
        <f>[29]Breakdown!H161</f>
        <v>2</v>
      </c>
      <c r="BQ611" s="887">
        <f>[29]Breakdown!I161</f>
        <v>2</v>
      </c>
      <c r="BR611" s="887">
        <f>[29]Breakdown!J161</f>
        <v>2</v>
      </c>
      <c r="BS611" s="887">
        <f>[29]Breakdown!K161</f>
        <v>2</v>
      </c>
      <c r="BT611" s="887">
        <f>[29]Breakdown!L161</f>
        <v>0</v>
      </c>
      <c r="BU611" s="887">
        <f>[29]Breakdown!M161</f>
        <v>0</v>
      </c>
      <c r="BV611" s="25">
        <f t="shared" si="531"/>
        <v>1.1666666666666667</v>
      </c>
      <c r="BX611" s="2">
        <f t="shared" si="532"/>
        <v>2018</v>
      </c>
      <c r="BY611" s="887">
        <f>[29]Breakdown!B198</f>
        <v>118.18172864087441</v>
      </c>
      <c r="BZ611" s="887">
        <f>[29]Breakdown!C198</f>
        <v>118.53475745155565</v>
      </c>
      <c r="CA611" s="887">
        <f>[29]Breakdown!D198</f>
        <v>118.88778626223689</v>
      </c>
      <c r="CB611" s="887">
        <f>[29]Breakdown!E198</f>
        <v>119.24081507291812</v>
      </c>
      <c r="CC611" s="887">
        <f>[29]Breakdown!F198</f>
        <v>119.59384388359936</v>
      </c>
      <c r="CD611" s="887">
        <f>[29]Breakdown!G198</f>
        <v>119.9468726942806</v>
      </c>
      <c r="CE611" s="887">
        <f>[29]Breakdown!H198</f>
        <v>120.29990150496184</v>
      </c>
      <c r="CF611" s="887">
        <f>[29]Breakdown!I198</f>
        <v>120.65293031564308</v>
      </c>
      <c r="CG611" s="887">
        <f>[29]Breakdown!J198</f>
        <v>121.00595912632431</v>
      </c>
      <c r="CH611" s="887">
        <f>[29]Breakdown!K198</f>
        <v>121.35898793700555</v>
      </c>
      <c r="CI611" s="887">
        <f>[29]Breakdown!L198</f>
        <v>121.71201674768679</v>
      </c>
      <c r="CJ611" s="887">
        <f>[29]Breakdown!M198</f>
        <v>122.06504555836803</v>
      </c>
      <c r="CK611" s="25">
        <f t="shared" si="533"/>
        <v>120.12338709962124</v>
      </c>
      <c r="CM611" s="2">
        <f t="shared" si="534"/>
        <v>2018</v>
      </c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</row>
    <row r="612" spans="1:119">
      <c r="A612" s="2">
        <f t="shared" si="535"/>
        <v>2019</v>
      </c>
      <c r="B612" s="880">
        <f t="shared" si="497"/>
        <v>968</v>
      </c>
      <c r="C612" s="880">
        <f t="shared" si="498"/>
        <v>828</v>
      </c>
      <c r="D612" s="880">
        <f t="shared" si="499"/>
        <v>670</v>
      </c>
      <c r="E612" s="34">
        <f t="shared" si="500"/>
        <v>368</v>
      </c>
      <c r="F612" s="34">
        <f t="shared" si="501"/>
        <v>430</v>
      </c>
      <c r="G612" s="34">
        <f t="shared" si="502"/>
        <v>507</v>
      </c>
      <c r="H612" s="34">
        <f t="shared" si="503"/>
        <v>502</v>
      </c>
      <c r="I612" s="34">
        <f t="shared" si="504"/>
        <v>520</v>
      </c>
      <c r="J612" s="34">
        <f t="shared" si="505"/>
        <v>495</v>
      </c>
      <c r="K612" s="34">
        <f t="shared" si="506"/>
        <v>326</v>
      </c>
      <c r="L612" s="880">
        <f t="shared" si="507"/>
        <v>526</v>
      </c>
      <c r="M612" s="880">
        <f t="shared" si="508"/>
        <v>612</v>
      </c>
      <c r="N612" s="25">
        <f t="shared" si="509"/>
        <v>562.66666666666663</v>
      </c>
      <c r="P612" s="2">
        <f t="shared" si="510"/>
        <v>2019</v>
      </c>
      <c r="Q612" s="438">
        <f t="shared" si="511"/>
        <v>846</v>
      </c>
      <c r="R612" s="25">
        <f t="shared" si="512"/>
        <v>723</v>
      </c>
      <c r="S612" s="25">
        <f t="shared" si="513"/>
        <v>578</v>
      </c>
      <c r="T612" s="25">
        <f t="shared" si="514"/>
        <v>368</v>
      </c>
      <c r="U612" s="25">
        <f t="shared" si="515"/>
        <v>430</v>
      </c>
      <c r="V612" s="25">
        <f t="shared" si="516"/>
        <v>507</v>
      </c>
      <c r="W612" s="25">
        <f t="shared" si="517"/>
        <v>502</v>
      </c>
      <c r="X612" s="438">
        <f t="shared" si="518"/>
        <v>520</v>
      </c>
      <c r="Y612" s="25">
        <f t="shared" si="519"/>
        <v>495</v>
      </c>
      <c r="Z612" s="25">
        <f t="shared" si="520"/>
        <v>326</v>
      </c>
      <c r="AA612" s="25">
        <f t="shared" si="521"/>
        <v>442</v>
      </c>
      <c r="AB612" s="25">
        <f t="shared" si="522"/>
        <v>514</v>
      </c>
      <c r="AC612" s="25">
        <f t="shared" si="523"/>
        <v>521</v>
      </c>
      <c r="AE612" s="2">
        <f t="shared" si="524"/>
        <v>2019</v>
      </c>
      <c r="AF612" s="887">
        <f t="shared" si="525"/>
        <v>122</v>
      </c>
      <c r="AG612" s="887">
        <f t="shared" si="536"/>
        <v>105</v>
      </c>
      <c r="AH612" s="887">
        <f t="shared" si="537"/>
        <v>92</v>
      </c>
      <c r="AI612" s="1112">
        <f t="shared" si="538"/>
        <v>99</v>
      </c>
      <c r="AJ612" s="25">
        <f t="shared" si="539"/>
        <v>115</v>
      </c>
      <c r="AK612" s="25">
        <f t="shared" si="540"/>
        <v>116</v>
      </c>
      <c r="AL612" s="25">
        <f t="shared" si="541"/>
        <v>119</v>
      </c>
      <c r="AM612" s="25">
        <f t="shared" si="542"/>
        <v>122</v>
      </c>
      <c r="AN612" s="25">
        <f t="shared" si="543"/>
        <v>111</v>
      </c>
      <c r="AO612" s="1113">
        <f t="shared" si="544"/>
        <v>106</v>
      </c>
      <c r="AP612" s="887">
        <f t="shared" si="545"/>
        <v>84</v>
      </c>
      <c r="AQ612" s="887">
        <f t="shared" si="546"/>
        <v>98</v>
      </c>
      <c r="AR612" s="25">
        <f t="shared" si="527"/>
        <v>107.41666666666667</v>
      </c>
      <c r="AT612" s="2">
        <f t="shared" si="528"/>
        <v>2019</v>
      </c>
      <c r="AU612" s="887">
        <f>[29]Breakdown!B88+[29]Breakdown!B125</f>
        <v>724</v>
      </c>
      <c r="AV612" s="887">
        <f>[29]Breakdown!C88+[29]Breakdown!C125</f>
        <v>600.12596487386554</v>
      </c>
      <c r="AW612" s="887">
        <f>[29]Breakdown!D88+[29]Breakdown!D125</f>
        <v>454.79041527774115</v>
      </c>
      <c r="AX612" s="887">
        <f>[29]Breakdown!E88+[29]Breakdown!E125</f>
        <v>242.1519661968249</v>
      </c>
      <c r="AY612" s="887">
        <f>[29]Breakdown!F88+[29]Breakdown!F125</f>
        <v>304.49030132864954</v>
      </c>
      <c r="AZ612" s="887">
        <f>[29]Breakdown!G88+[29]Breakdown!G125</f>
        <v>381.17469694168204</v>
      </c>
      <c r="BA612" s="887">
        <f>[29]Breakdown!H88+[29]Breakdown!H125</f>
        <v>375.39214308766202</v>
      </c>
      <c r="BB612" s="887">
        <f>[29]Breakdown!I88+[29]Breakdown!I125</f>
        <v>393</v>
      </c>
      <c r="BC612" s="887">
        <f>[29]Breakdown!J88+[29]Breakdown!J125</f>
        <v>367.30720667956234</v>
      </c>
      <c r="BD612" s="887">
        <f>[29]Breakdown!K88+[29]Breakdown!K125</f>
        <v>198.68350528763804</v>
      </c>
      <c r="BE612" s="887">
        <f>[29]Breakdown!L88+[29]Breakdown!L125</f>
        <v>315.85331426952666</v>
      </c>
      <c r="BF612" s="887">
        <f>[29]Breakdown!M88+[29]Breakdown!M125</f>
        <v>387.99916850704028</v>
      </c>
      <c r="BG612" s="25">
        <f t="shared" si="529"/>
        <v>395.41405687084938</v>
      </c>
      <c r="BI612" s="2">
        <f t="shared" si="530"/>
        <v>2019</v>
      </c>
      <c r="BJ612" s="887">
        <f>[29]Breakdown!B162</f>
        <v>0</v>
      </c>
      <c r="BK612" s="887">
        <f>[29]Breakdown!C162</f>
        <v>0</v>
      </c>
      <c r="BL612" s="887">
        <f>[29]Breakdown!D162</f>
        <v>0</v>
      </c>
      <c r="BM612" s="887">
        <f>[29]Breakdown!E162</f>
        <v>2</v>
      </c>
      <c r="BN612" s="887">
        <f>[29]Breakdown!F162</f>
        <v>2</v>
      </c>
      <c r="BO612" s="887">
        <f>[29]Breakdown!G162</f>
        <v>2</v>
      </c>
      <c r="BP612" s="887">
        <f>[29]Breakdown!H162</f>
        <v>2</v>
      </c>
      <c r="BQ612" s="887">
        <f>[29]Breakdown!I162</f>
        <v>2</v>
      </c>
      <c r="BR612" s="887">
        <f>[29]Breakdown!J162</f>
        <v>2</v>
      </c>
      <c r="BS612" s="887">
        <f>[29]Breakdown!K162</f>
        <v>2</v>
      </c>
      <c r="BT612" s="887">
        <f>[29]Breakdown!L162</f>
        <v>0</v>
      </c>
      <c r="BU612" s="887">
        <f>[29]Breakdown!M162</f>
        <v>0</v>
      </c>
      <c r="BV612" s="25">
        <f t="shared" si="531"/>
        <v>1.1666666666666667</v>
      </c>
      <c r="BX612" s="2">
        <f t="shared" si="532"/>
        <v>2019</v>
      </c>
      <c r="BY612" s="887">
        <f>[29]Breakdown!B199</f>
        <v>122.41807436904929</v>
      </c>
      <c r="BZ612" s="887">
        <f>[29]Breakdown!C199</f>
        <v>122.77110317973053</v>
      </c>
      <c r="CA612" s="887">
        <f>[29]Breakdown!D199</f>
        <v>123.12413199041177</v>
      </c>
      <c r="CB612" s="887">
        <f>[29]Breakdown!E199</f>
        <v>123.47716080109301</v>
      </c>
      <c r="CC612" s="887">
        <f>[29]Breakdown!F199</f>
        <v>123.83018961177424</v>
      </c>
      <c r="CD612" s="887">
        <f>[29]Breakdown!G199</f>
        <v>124.18321842245548</v>
      </c>
      <c r="CE612" s="887">
        <f>[29]Breakdown!H199</f>
        <v>124.53624723313672</v>
      </c>
      <c r="CF612" s="887">
        <f>[29]Breakdown!I199</f>
        <v>124.88927604381796</v>
      </c>
      <c r="CG612" s="887">
        <f>[29]Breakdown!J199</f>
        <v>125.2423048544992</v>
      </c>
      <c r="CH612" s="887">
        <f>[29]Breakdown!K199</f>
        <v>125.59533366518043</v>
      </c>
      <c r="CI612" s="887">
        <f>[29]Breakdown!L199</f>
        <v>125.94836247586167</v>
      </c>
      <c r="CJ612" s="887">
        <f>[29]Breakdown!M199</f>
        <v>126.30139128654291</v>
      </c>
      <c r="CK612" s="25">
        <f t="shared" si="533"/>
        <v>124.35973282779609</v>
      </c>
      <c r="CM612" s="2">
        <f t="shared" si="534"/>
        <v>2019</v>
      </c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</row>
    <row r="613" spans="1:119">
      <c r="A613" s="2">
        <f t="shared" si="535"/>
        <v>2020</v>
      </c>
      <c r="B613" s="880">
        <f t="shared" si="497"/>
        <v>984</v>
      </c>
      <c r="C613" s="880">
        <f t="shared" si="498"/>
        <v>841</v>
      </c>
      <c r="D613" s="880">
        <f t="shared" si="499"/>
        <v>681</v>
      </c>
      <c r="E613" s="34">
        <f t="shared" si="500"/>
        <v>375</v>
      </c>
      <c r="F613" s="34">
        <f t="shared" si="501"/>
        <v>438</v>
      </c>
      <c r="G613" s="34">
        <f t="shared" si="502"/>
        <v>516</v>
      </c>
      <c r="H613" s="34">
        <f t="shared" si="503"/>
        <v>511</v>
      </c>
      <c r="I613" s="34">
        <f t="shared" si="504"/>
        <v>529</v>
      </c>
      <c r="J613" s="34">
        <f t="shared" si="505"/>
        <v>503</v>
      </c>
      <c r="K613" s="34">
        <f t="shared" si="506"/>
        <v>333</v>
      </c>
      <c r="L613" s="880">
        <f t="shared" si="507"/>
        <v>535</v>
      </c>
      <c r="M613" s="880">
        <f t="shared" si="508"/>
        <v>623</v>
      </c>
      <c r="N613" s="25">
        <f t="shared" si="509"/>
        <v>572.41666666666663</v>
      </c>
      <c r="P613" s="2">
        <f t="shared" si="510"/>
        <v>2020</v>
      </c>
      <c r="Q613" s="438">
        <f t="shared" si="511"/>
        <v>860</v>
      </c>
      <c r="R613" s="25">
        <f t="shared" si="512"/>
        <v>735</v>
      </c>
      <c r="S613" s="25">
        <f t="shared" si="513"/>
        <v>588</v>
      </c>
      <c r="T613" s="25">
        <f t="shared" si="514"/>
        <v>375</v>
      </c>
      <c r="U613" s="25">
        <f t="shared" si="515"/>
        <v>438</v>
      </c>
      <c r="V613" s="25">
        <f t="shared" si="516"/>
        <v>516</v>
      </c>
      <c r="W613" s="25">
        <f t="shared" si="517"/>
        <v>511</v>
      </c>
      <c r="X613" s="438">
        <f t="shared" si="518"/>
        <v>529</v>
      </c>
      <c r="Y613" s="25">
        <f t="shared" si="519"/>
        <v>503</v>
      </c>
      <c r="Z613" s="25">
        <f t="shared" si="520"/>
        <v>333</v>
      </c>
      <c r="AA613" s="25">
        <f t="shared" si="521"/>
        <v>450</v>
      </c>
      <c r="AB613" s="25">
        <f t="shared" si="522"/>
        <v>524</v>
      </c>
      <c r="AC613" s="25">
        <f t="shared" si="523"/>
        <v>530</v>
      </c>
      <c r="AE613" s="2">
        <f t="shared" si="524"/>
        <v>2020</v>
      </c>
      <c r="AF613" s="887">
        <f t="shared" si="525"/>
        <v>124</v>
      </c>
      <c r="AG613" s="887">
        <f t="shared" si="536"/>
        <v>106</v>
      </c>
      <c r="AH613" s="887">
        <f t="shared" si="537"/>
        <v>93</v>
      </c>
      <c r="AI613" s="1112">
        <f t="shared" si="538"/>
        <v>101</v>
      </c>
      <c r="AJ613" s="25">
        <f t="shared" si="539"/>
        <v>117</v>
      </c>
      <c r="AK613" s="25">
        <f t="shared" si="540"/>
        <v>118</v>
      </c>
      <c r="AL613" s="25">
        <f t="shared" si="541"/>
        <v>121</v>
      </c>
      <c r="AM613" s="25">
        <f t="shared" si="542"/>
        <v>124</v>
      </c>
      <c r="AN613" s="25">
        <f t="shared" si="543"/>
        <v>112</v>
      </c>
      <c r="AO613" s="1113">
        <f t="shared" si="544"/>
        <v>108</v>
      </c>
      <c r="AP613" s="887">
        <f t="shared" si="545"/>
        <v>85</v>
      </c>
      <c r="AQ613" s="887">
        <f t="shared" si="546"/>
        <v>99</v>
      </c>
      <c r="AR613" s="25">
        <f t="shared" si="527"/>
        <v>109</v>
      </c>
      <c r="AT613" s="2">
        <f t="shared" si="528"/>
        <v>2020</v>
      </c>
      <c r="AU613" s="887">
        <f>[29]Breakdown!B89+[29]Breakdown!B126</f>
        <v>733</v>
      </c>
      <c r="AV613" s="887">
        <f>[29]Breakdown!C89+[29]Breakdown!C126</f>
        <v>607.57035670359335</v>
      </c>
      <c r="AW613" s="887">
        <f>[29]Breakdown!D89+[29]Breakdown!D126</f>
        <v>460.25422977951268</v>
      </c>
      <c r="AX613" s="887">
        <f>[29]Breakdown!E89+[29]Breakdown!E126</f>
        <v>245.232780016123</v>
      </c>
      <c r="AY613" s="887">
        <f>[29]Breakdown!F89+[29]Breakdown!F126</f>
        <v>308.3642237374109</v>
      </c>
      <c r="AZ613" s="887">
        <f>[29]Breakdown!G89+[29]Breakdown!G126</f>
        <v>386.02424779335729</v>
      </c>
      <c r="BA613" s="887">
        <f>[29]Breakdown!H89+[29]Breakdown!H126</f>
        <v>380.16812455188199</v>
      </c>
      <c r="BB613" s="887">
        <f>[29]Breakdown!I89+[29]Breakdown!I126</f>
        <v>398</v>
      </c>
      <c r="BC613" s="887">
        <f>[29]Breakdown!J89+[29]Breakdown!J126</f>
        <v>371.98032635741828</v>
      </c>
      <c r="BD613" s="887">
        <f>[29]Breakdown!K89+[29]Breakdown!K126</f>
        <v>201.21128525312912</v>
      </c>
      <c r="BE613" s="887">
        <f>[29]Breakdown!L89+[29]Breakdown!L126</f>
        <v>319.68203332248316</v>
      </c>
      <c r="BF613" s="887">
        <f>[29]Breakdown!M89+[29]Breakdown!M126</f>
        <v>393.09122265162881</v>
      </c>
      <c r="BG613" s="25">
        <f t="shared" si="529"/>
        <v>400.38156918054483</v>
      </c>
      <c r="BI613" s="2">
        <f t="shared" si="530"/>
        <v>2020</v>
      </c>
      <c r="BJ613" s="887">
        <f>[29]Breakdown!B163</f>
        <v>0</v>
      </c>
      <c r="BK613" s="887">
        <f>[29]Breakdown!C163</f>
        <v>0</v>
      </c>
      <c r="BL613" s="887">
        <f>[29]Breakdown!D163</f>
        <v>0</v>
      </c>
      <c r="BM613" s="887">
        <f>[29]Breakdown!E163</f>
        <v>2</v>
      </c>
      <c r="BN613" s="887">
        <f>[29]Breakdown!F163</f>
        <v>2</v>
      </c>
      <c r="BO613" s="887">
        <f>[29]Breakdown!G163</f>
        <v>2</v>
      </c>
      <c r="BP613" s="887">
        <f>[29]Breakdown!H163</f>
        <v>2</v>
      </c>
      <c r="BQ613" s="887">
        <f>[29]Breakdown!I163</f>
        <v>2</v>
      </c>
      <c r="BR613" s="887">
        <f>[29]Breakdown!J163</f>
        <v>2</v>
      </c>
      <c r="BS613" s="887">
        <f>[29]Breakdown!K163</f>
        <v>2</v>
      </c>
      <c r="BT613" s="887">
        <f>[29]Breakdown!L163</f>
        <v>0</v>
      </c>
      <c r="BU613" s="887">
        <f>[29]Breakdown!M163</f>
        <v>0</v>
      </c>
      <c r="BV613" s="25">
        <f t="shared" si="531"/>
        <v>1.1666666666666667</v>
      </c>
      <c r="BX613" s="2">
        <f t="shared" si="532"/>
        <v>2020</v>
      </c>
      <c r="BY613" s="887">
        <f>[29]Breakdown!B200</f>
        <v>126.65442009722418</v>
      </c>
      <c r="BZ613" s="887">
        <f>[29]Breakdown!C200</f>
        <v>127.00744890790541</v>
      </c>
      <c r="CA613" s="887">
        <f>[29]Breakdown!D200</f>
        <v>127.36047771858665</v>
      </c>
      <c r="CB613" s="887">
        <f>[29]Breakdown!E200</f>
        <v>127.71350652926789</v>
      </c>
      <c r="CC613" s="887">
        <f>[29]Breakdown!F200</f>
        <v>128.06653533994913</v>
      </c>
      <c r="CD613" s="887">
        <f>[29]Breakdown!G200</f>
        <v>128.41956415063038</v>
      </c>
      <c r="CE613" s="887">
        <f>[29]Breakdown!H200</f>
        <v>128.77259296131163</v>
      </c>
      <c r="CF613" s="887">
        <f>[29]Breakdown!I200</f>
        <v>129.12562177199288</v>
      </c>
      <c r="CG613" s="887">
        <f>[29]Breakdown!J200</f>
        <v>129.47865058267413</v>
      </c>
      <c r="CH613" s="887">
        <f>[29]Breakdown!K200</f>
        <v>129.83167939335539</v>
      </c>
      <c r="CI613" s="887">
        <f>[29]Breakdown!L200</f>
        <v>130.18470820403664</v>
      </c>
      <c r="CJ613" s="887">
        <f>[29]Breakdown!M200</f>
        <v>130.53773701471789</v>
      </c>
      <c r="CK613" s="25">
        <f t="shared" si="533"/>
        <v>128.59607855597105</v>
      </c>
      <c r="CM613" s="2">
        <f t="shared" si="534"/>
        <v>2020</v>
      </c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</row>
    <row r="614" spans="1:119">
      <c r="A614" s="2">
        <f t="shared" si="535"/>
        <v>2021</v>
      </c>
      <c r="B614" s="880">
        <f t="shared" si="497"/>
        <v>998</v>
      </c>
      <c r="C614" s="880">
        <f t="shared" si="498"/>
        <v>853</v>
      </c>
      <c r="D614" s="880">
        <f t="shared" si="499"/>
        <v>692</v>
      </c>
      <c r="E614" s="34">
        <f t="shared" si="500"/>
        <v>382</v>
      </c>
      <c r="F614" s="34">
        <f t="shared" si="501"/>
        <v>447</v>
      </c>
      <c r="G614" s="34">
        <f t="shared" si="502"/>
        <v>526</v>
      </c>
      <c r="H614" s="34">
        <f t="shared" si="503"/>
        <v>520</v>
      </c>
      <c r="I614" s="34">
        <f t="shared" si="504"/>
        <v>538</v>
      </c>
      <c r="J614" s="34">
        <f t="shared" si="505"/>
        <v>512</v>
      </c>
      <c r="K614" s="34">
        <f t="shared" si="506"/>
        <v>340</v>
      </c>
      <c r="L614" s="880">
        <f t="shared" si="507"/>
        <v>544</v>
      </c>
      <c r="M614" s="880">
        <f t="shared" si="508"/>
        <v>633</v>
      </c>
      <c r="N614" s="25">
        <f t="shared" ref="N614:N623" si="547">AVERAGE(B614:M614)</f>
        <v>582.08333333333337</v>
      </c>
      <c r="P614" s="2">
        <f t="shared" si="510"/>
        <v>2021</v>
      </c>
      <c r="Q614" s="438">
        <f t="shared" ref="Q614:Q623" si="548">ROUND(AU614+BJ614+BY614,0)</f>
        <v>873</v>
      </c>
      <c r="R614" s="25">
        <f t="shared" ref="R614:AC623" si="549">ROUND(AV614+BK614+BZ614,0)</f>
        <v>746</v>
      </c>
      <c r="S614" s="25">
        <f t="shared" si="549"/>
        <v>598</v>
      </c>
      <c r="T614" s="25">
        <f t="shared" si="549"/>
        <v>382</v>
      </c>
      <c r="U614" s="25">
        <f t="shared" si="549"/>
        <v>447</v>
      </c>
      <c r="V614" s="25">
        <f t="shared" si="549"/>
        <v>526</v>
      </c>
      <c r="W614" s="25">
        <f t="shared" si="549"/>
        <v>520</v>
      </c>
      <c r="X614" s="438">
        <f t="shared" ref="X614:X623" si="550">ROUND(BB614+BQ614+CF614,0)</f>
        <v>538</v>
      </c>
      <c r="Y614" s="25">
        <f t="shared" si="549"/>
        <v>512</v>
      </c>
      <c r="Z614" s="25">
        <f t="shared" si="549"/>
        <v>340</v>
      </c>
      <c r="AA614" s="25">
        <f t="shared" si="549"/>
        <v>458</v>
      </c>
      <c r="AB614" s="25">
        <f t="shared" si="549"/>
        <v>533</v>
      </c>
      <c r="AC614" s="25">
        <f t="shared" si="549"/>
        <v>539</v>
      </c>
      <c r="AE614" s="2">
        <f t="shared" si="524"/>
        <v>2021</v>
      </c>
      <c r="AF614" s="887">
        <f t="shared" si="525"/>
        <v>125</v>
      </c>
      <c r="AG614" s="887">
        <f t="shared" si="536"/>
        <v>107</v>
      </c>
      <c r="AH614" s="887">
        <f t="shared" si="537"/>
        <v>94</v>
      </c>
      <c r="AI614" s="1112">
        <f t="shared" si="538"/>
        <v>103</v>
      </c>
      <c r="AJ614" s="25">
        <f t="shared" si="539"/>
        <v>119</v>
      </c>
      <c r="AK614" s="25">
        <f t="shared" si="540"/>
        <v>119</v>
      </c>
      <c r="AL614" s="25">
        <f t="shared" si="541"/>
        <v>122</v>
      </c>
      <c r="AM614" s="25">
        <f t="shared" si="542"/>
        <v>126</v>
      </c>
      <c r="AN614" s="25">
        <f t="shared" si="543"/>
        <v>113</v>
      </c>
      <c r="AO614" s="1113">
        <f t="shared" si="544"/>
        <v>110</v>
      </c>
      <c r="AP614" s="887">
        <f t="shared" si="545"/>
        <v>86</v>
      </c>
      <c r="AQ614" s="887">
        <f t="shared" si="546"/>
        <v>100</v>
      </c>
      <c r="AR614" s="25">
        <f t="shared" ref="AR614:AR623" si="551">AVERAGE(AF614:AQ614)</f>
        <v>110.33333333333333</v>
      </c>
      <c r="AT614" s="2">
        <f t="shared" si="528"/>
        <v>2021</v>
      </c>
      <c r="AU614" s="887">
        <f>[29]Breakdown!B90+[29]Breakdown!B127</f>
        <v>742</v>
      </c>
      <c r="AV614" s="887">
        <f>[29]Breakdown!C90+[29]Breakdown!C127</f>
        <v>615.03029287048605</v>
      </c>
      <c r="AW614" s="887">
        <f>[29]Breakdown!D90+[29]Breakdown!D127</f>
        <v>465.9053731192339</v>
      </c>
      <c r="AX614" s="887">
        <f>[29]Breakdown!E90+[29]Breakdown!E127</f>
        <v>248.31359383542105</v>
      </c>
      <c r="AY614" s="887">
        <f>[29]Breakdown!F90+[29]Breakdown!F127</f>
        <v>312.23814614617231</v>
      </c>
      <c r="AZ614" s="887">
        <f>[29]Breakdown!G90+[29]Breakdown!G127</f>
        <v>390.87379864503265</v>
      </c>
      <c r="BA614" s="887">
        <f>[29]Breakdown!H90+[29]Breakdown!H127</f>
        <v>384.94410601610161</v>
      </c>
      <c r="BB614" s="887">
        <f>[29]Breakdown!I90+[29]Breakdown!I127</f>
        <v>403</v>
      </c>
      <c r="BC614" s="887">
        <f>[29]Breakdown!J90+[29]Breakdown!J127</f>
        <v>376.65344603527529</v>
      </c>
      <c r="BD614" s="887">
        <f>[29]Breakdown!K90+[29]Breakdown!K127</f>
        <v>203.73906521862068</v>
      </c>
      <c r="BE614" s="887">
        <f>[29]Breakdown!L90+[29]Breakdown!L127</f>
        <v>323.60718789260915</v>
      </c>
      <c r="BF614" s="887">
        <f>[29]Breakdown!M90+[29]Breakdown!M127</f>
        <v>397.91771788200356</v>
      </c>
      <c r="BG614" s="25">
        <f t="shared" si="529"/>
        <v>405.35189397174645</v>
      </c>
      <c r="BI614" s="2">
        <f t="shared" si="530"/>
        <v>2021</v>
      </c>
      <c r="BJ614" s="887">
        <f>[29]Breakdown!B164</f>
        <v>0</v>
      </c>
      <c r="BK614" s="887">
        <f>[29]Breakdown!C164</f>
        <v>0</v>
      </c>
      <c r="BL614" s="887">
        <f>[29]Breakdown!D164</f>
        <v>0</v>
      </c>
      <c r="BM614" s="887">
        <f>[29]Breakdown!E164</f>
        <v>2</v>
      </c>
      <c r="BN614" s="887">
        <f>[29]Breakdown!F164</f>
        <v>2</v>
      </c>
      <c r="BO614" s="887">
        <f>[29]Breakdown!G164</f>
        <v>2</v>
      </c>
      <c r="BP614" s="887">
        <f>[29]Breakdown!H164</f>
        <v>2</v>
      </c>
      <c r="BQ614" s="887">
        <f>[29]Breakdown!I164</f>
        <v>2</v>
      </c>
      <c r="BR614" s="887">
        <f>[29]Breakdown!J164</f>
        <v>2</v>
      </c>
      <c r="BS614" s="887">
        <f>[29]Breakdown!K164</f>
        <v>2</v>
      </c>
      <c r="BT614" s="887">
        <f>[29]Breakdown!L164</f>
        <v>0</v>
      </c>
      <c r="BU614" s="887">
        <f>[29]Breakdown!M164</f>
        <v>0</v>
      </c>
      <c r="BV614" s="25">
        <f t="shared" si="531"/>
        <v>1.1666666666666667</v>
      </c>
      <c r="BX614" s="2">
        <f t="shared" si="532"/>
        <v>2021</v>
      </c>
      <c r="BY614" s="887">
        <f>[29]Breakdown!B201</f>
        <v>130.89076582539906</v>
      </c>
      <c r="BZ614" s="887">
        <f>[29]Breakdown!C201</f>
        <v>131.24379463608031</v>
      </c>
      <c r="CA614" s="887">
        <f>[29]Breakdown!D201</f>
        <v>131.59682344676156</v>
      </c>
      <c r="CB614" s="887">
        <f>[29]Breakdown!E201</f>
        <v>131.94985225744281</v>
      </c>
      <c r="CC614" s="887">
        <f>[29]Breakdown!F201</f>
        <v>132.30288106812407</v>
      </c>
      <c r="CD614" s="887">
        <f>[29]Breakdown!G201</f>
        <v>132.65590987880532</v>
      </c>
      <c r="CE614" s="887">
        <f>[29]Breakdown!H201</f>
        <v>133.00893868948657</v>
      </c>
      <c r="CF614" s="887">
        <f>[29]Breakdown!I201</f>
        <v>133.36196750016782</v>
      </c>
      <c r="CG614" s="887">
        <f>[29]Breakdown!J201</f>
        <v>133.71499631084907</v>
      </c>
      <c r="CH614" s="887">
        <f>[29]Breakdown!K201</f>
        <v>134.06802512153033</v>
      </c>
      <c r="CI614" s="887">
        <f>[29]Breakdown!L201</f>
        <v>134.42105393221158</v>
      </c>
      <c r="CJ614" s="887">
        <f>[29]Breakdown!M201</f>
        <v>134.77408274289283</v>
      </c>
      <c r="CK614" s="25">
        <f t="shared" si="533"/>
        <v>132.83242428414596</v>
      </c>
      <c r="CM614" s="2">
        <f t="shared" si="534"/>
        <v>2021</v>
      </c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</row>
    <row r="615" spans="1:119">
      <c r="A615" s="2">
        <f t="shared" si="535"/>
        <v>2022</v>
      </c>
      <c r="B615" s="880">
        <f t="shared" si="497"/>
        <v>1012</v>
      </c>
      <c r="C615" s="880">
        <f t="shared" si="498"/>
        <v>866</v>
      </c>
      <c r="D615" s="880">
        <f t="shared" si="499"/>
        <v>702</v>
      </c>
      <c r="E615" s="34">
        <f t="shared" si="500"/>
        <v>390</v>
      </c>
      <c r="F615" s="34">
        <f t="shared" si="501"/>
        <v>455</v>
      </c>
      <c r="G615" s="34">
        <f t="shared" si="502"/>
        <v>535</v>
      </c>
      <c r="H615" s="34">
        <f t="shared" si="503"/>
        <v>529</v>
      </c>
      <c r="I615" s="34">
        <f t="shared" si="504"/>
        <v>548</v>
      </c>
      <c r="J615" s="34">
        <f t="shared" si="505"/>
        <v>521</v>
      </c>
      <c r="K615" s="34">
        <f t="shared" si="506"/>
        <v>347</v>
      </c>
      <c r="L615" s="880">
        <f t="shared" si="507"/>
        <v>552</v>
      </c>
      <c r="M615" s="880">
        <f t="shared" si="508"/>
        <v>643</v>
      </c>
      <c r="N615" s="25">
        <f t="shared" si="547"/>
        <v>591.66666666666663</v>
      </c>
      <c r="P615" s="2">
        <f t="shared" si="510"/>
        <v>2022</v>
      </c>
      <c r="Q615" s="438">
        <f t="shared" si="548"/>
        <v>886</v>
      </c>
      <c r="R615" s="25">
        <f t="shared" si="549"/>
        <v>758</v>
      </c>
      <c r="S615" s="25">
        <f t="shared" si="549"/>
        <v>607</v>
      </c>
      <c r="T615" s="25">
        <f t="shared" si="549"/>
        <v>390</v>
      </c>
      <c r="U615" s="25">
        <f t="shared" si="549"/>
        <v>455</v>
      </c>
      <c r="V615" s="25">
        <f t="shared" si="549"/>
        <v>535</v>
      </c>
      <c r="W615" s="25">
        <f t="shared" si="549"/>
        <v>529</v>
      </c>
      <c r="X615" s="438">
        <f t="shared" si="550"/>
        <v>548</v>
      </c>
      <c r="Y615" s="25">
        <f t="shared" si="549"/>
        <v>521</v>
      </c>
      <c r="Z615" s="25">
        <f t="shared" si="549"/>
        <v>347</v>
      </c>
      <c r="AA615" s="25">
        <f t="shared" si="549"/>
        <v>466</v>
      </c>
      <c r="AB615" s="25">
        <f t="shared" si="549"/>
        <v>542</v>
      </c>
      <c r="AC615" s="25">
        <f t="shared" si="549"/>
        <v>549</v>
      </c>
      <c r="AE615" s="2">
        <f t="shared" si="524"/>
        <v>2022</v>
      </c>
      <c r="AF615" s="887">
        <f t="shared" si="525"/>
        <v>126</v>
      </c>
      <c r="AG615" s="887">
        <f t="shared" si="536"/>
        <v>108</v>
      </c>
      <c r="AH615" s="887">
        <f t="shared" si="537"/>
        <v>95</v>
      </c>
      <c r="AI615" s="1112">
        <f t="shared" si="538"/>
        <v>104</v>
      </c>
      <c r="AJ615" s="25">
        <f t="shared" si="539"/>
        <v>120</v>
      </c>
      <c r="AK615" s="25">
        <f t="shared" si="540"/>
        <v>120</v>
      </c>
      <c r="AL615" s="25">
        <f t="shared" si="541"/>
        <v>124</v>
      </c>
      <c r="AM615" s="25">
        <f t="shared" si="542"/>
        <v>127</v>
      </c>
      <c r="AN615" s="25">
        <f t="shared" si="543"/>
        <v>115</v>
      </c>
      <c r="AO615" s="1113">
        <f t="shared" si="544"/>
        <v>111</v>
      </c>
      <c r="AP615" s="887">
        <f t="shared" si="545"/>
        <v>86</v>
      </c>
      <c r="AQ615" s="887">
        <f t="shared" si="546"/>
        <v>101</v>
      </c>
      <c r="AR615" s="25">
        <f t="shared" si="551"/>
        <v>111.41666666666667</v>
      </c>
      <c r="AT615" s="2">
        <f t="shared" si="528"/>
        <v>2022</v>
      </c>
      <c r="AU615" s="887">
        <f>[29]Breakdown!B91+[29]Breakdown!B128</f>
        <v>751</v>
      </c>
      <c r="AV615" s="887">
        <f>[29]Breakdown!C91+[29]Breakdown!C128</f>
        <v>622.49022903737864</v>
      </c>
      <c r="AW615" s="887">
        <f>[29]Breakdown!D91+[29]Breakdown!D128</f>
        <v>471.556516458955</v>
      </c>
      <c r="AX615" s="887">
        <f>[29]Breakdown!E91+[29]Breakdown!E128</f>
        <v>251.39440765471906</v>
      </c>
      <c r="AY615" s="887">
        <f>[29]Breakdown!F91+[29]Breakdown!F128</f>
        <v>316.11206855493378</v>
      </c>
      <c r="AZ615" s="887">
        <f>[29]Breakdown!G91+[29]Breakdown!G128</f>
        <v>395.72334949670795</v>
      </c>
      <c r="BA615" s="887">
        <f>[29]Breakdown!H91+[29]Breakdown!H128</f>
        <v>389.72008748032124</v>
      </c>
      <c r="BB615" s="887">
        <f>[29]Breakdown!I91+[29]Breakdown!I128</f>
        <v>407.99999999999994</v>
      </c>
      <c r="BC615" s="887">
        <f>[29]Breakdown!J91+[29]Breakdown!J128</f>
        <v>381.32656571313231</v>
      </c>
      <c r="BD615" s="887">
        <f>[29]Breakdown!K91+[29]Breakdown!K128</f>
        <v>206.26684518411224</v>
      </c>
      <c r="BE615" s="887">
        <f>[29]Breakdown!L91+[29]Breakdown!L128</f>
        <v>327.53234246273513</v>
      </c>
      <c r="BF615" s="887">
        <f>[29]Breakdown!M91+[29]Breakdown!M128</f>
        <v>402.74421311237825</v>
      </c>
      <c r="BG615" s="25">
        <f t="shared" si="529"/>
        <v>410.32221876294778</v>
      </c>
      <c r="BI615" s="2">
        <f t="shared" si="530"/>
        <v>2022</v>
      </c>
      <c r="BJ615" s="887">
        <f>[29]Breakdown!B165</f>
        <v>0</v>
      </c>
      <c r="BK615" s="887">
        <f>[29]Breakdown!C165</f>
        <v>0</v>
      </c>
      <c r="BL615" s="887">
        <f>[29]Breakdown!D165</f>
        <v>0</v>
      </c>
      <c r="BM615" s="887">
        <f>[29]Breakdown!E165</f>
        <v>2</v>
      </c>
      <c r="BN615" s="887">
        <f>[29]Breakdown!F165</f>
        <v>2</v>
      </c>
      <c r="BO615" s="887">
        <f>[29]Breakdown!G165</f>
        <v>2</v>
      </c>
      <c r="BP615" s="887">
        <f>[29]Breakdown!H165</f>
        <v>2</v>
      </c>
      <c r="BQ615" s="887">
        <f>[29]Breakdown!I165</f>
        <v>2</v>
      </c>
      <c r="BR615" s="887">
        <f>[29]Breakdown!J165</f>
        <v>2</v>
      </c>
      <c r="BS615" s="887">
        <f>[29]Breakdown!K165</f>
        <v>2</v>
      </c>
      <c r="BT615" s="887">
        <f>[29]Breakdown!L165</f>
        <v>0</v>
      </c>
      <c r="BU615" s="887">
        <f>[29]Breakdown!M165</f>
        <v>0</v>
      </c>
      <c r="BV615" s="25">
        <f t="shared" si="531"/>
        <v>1.1666666666666667</v>
      </c>
      <c r="BX615" s="2">
        <f t="shared" si="532"/>
        <v>2022</v>
      </c>
      <c r="BY615" s="887">
        <f>[29]Breakdown!B202</f>
        <v>135.12711155357394</v>
      </c>
      <c r="BZ615" s="887">
        <f>[29]Breakdown!C202</f>
        <v>135.48014036425519</v>
      </c>
      <c r="CA615" s="887">
        <f>[29]Breakdown!D202</f>
        <v>135.83316917493644</v>
      </c>
      <c r="CB615" s="887">
        <f>[29]Breakdown!E202</f>
        <v>136.1861979856177</v>
      </c>
      <c r="CC615" s="887">
        <f>[29]Breakdown!F202</f>
        <v>136.53922679629895</v>
      </c>
      <c r="CD615" s="887">
        <f>[29]Breakdown!G202</f>
        <v>136.8922556069802</v>
      </c>
      <c r="CE615" s="887">
        <f>[29]Breakdown!H202</f>
        <v>137.24528441766145</v>
      </c>
      <c r="CF615" s="887">
        <f>[29]Breakdown!I202</f>
        <v>137.5983132283427</v>
      </c>
      <c r="CG615" s="887">
        <f>[29]Breakdown!J202</f>
        <v>137.95134203902396</v>
      </c>
      <c r="CH615" s="887">
        <f>[29]Breakdown!K202</f>
        <v>138.30437084970521</v>
      </c>
      <c r="CI615" s="887">
        <f>[29]Breakdown!L202</f>
        <v>138.65739966038646</v>
      </c>
      <c r="CJ615" s="887">
        <f>[29]Breakdown!M202</f>
        <v>139.01042847106771</v>
      </c>
      <c r="CK615" s="25">
        <f t="shared" si="533"/>
        <v>137.06877001232081</v>
      </c>
      <c r="CM615" s="2">
        <f t="shared" si="534"/>
        <v>2022</v>
      </c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</row>
    <row r="616" spans="1:119">
      <c r="A616" s="2">
        <f t="shared" si="535"/>
        <v>2023</v>
      </c>
      <c r="B616" s="880">
        <f t="shared" si="497"/>
        <v>1026</v>
      </c>
      <c r="C616" s="880">
        <f t="shared" si="498"/>
        <v>879</v>
      </c>
      <c r="D616" s="880">
        <f t="shared" si="499"/>
        <v>713</v>
      </c>
      <c r="E616" s="34">
        <f t="shared" si="500"/>
        <v>397</v>
      </c>
      <c r="F616" s="34">
        <f t="shared" si="501"/>
        <v>463</v>
      </c>
      <c r="G616" s="34">
        <f t="shared" si="502"/>
        <v>544</v>
      </c>
      <c r="H616" s="34">
        <f t="shared" si="503"/>
        <v>538</v>
      </c>
      <c r="I616" s="34">
        <f t="shared" si="504"/>
        <v>557</v>
      </c>
      <c r="J616" s="34">
        <f t="shared" si="505"/>
        <v>530</v>
      </c>
      <c r="K616" s="34">
        <f t="shared" si="506"/>
        <v>353</v>
      </c>
      <c r="L616" s="880">
        <f t="shared" si="507"/>
        <v>561</v>
      </c>
      <c r="M616" s="880">
        <f t="shared" si="508"/>
        <v>652</v>
      </c>
      <c r="N616" s="25">
        <f t="shared" si="547"/>
        <v>601.08333333333337</v>
      </c>
      <c r="P616" s="2">
        <f t="shared" si="510"/>
        <v>2023</v>
      </c>
      <c r="Q616" s="438">
        <f t="shared" si="548"/>
        <v>899</v>
      </c>
      <c r="R616" s="25">
        <f t="shared" si="549"/>
        <v>770</v>
      </c>
      <c r="S616" s="25">
        <f t="shared" si="549"/>
        <v>617</v>
      </c>
      <c r="T616" s="25">
        <f t="shared" si="549"/>
        <v>397</v>
      </c>
      <c r="U616" s="25">
        <f t="shared" si="549"/>
        <v>463</v>
      </c>
      <c r="V616" s="25">
        <f t="shared" si="549"/>
        <v>544</v>
      </c>
      <c r="W616" s="25">
        <f t="shared" si="549"/>
        <v>538</v>
      </c>
      <c r="X616" s="438">
        <f t="shared" si="550"/>
        <v>557</v>
      </c>
      <c r="Y616" s="25">
        <f t="shared" si="549"/>
        <v>530</v>
      </c>
      <c r="Z616" s="25">
        <f t="shared" si="549"/>
        <v>353</v>
      </c>
      <c r="AA616" s="25">
        <f t="shared" si="549"/>
        <v>474</v>
      </c>
      <c r="AB616" s="25">
        <f t="shared" si="549"/>
        <v>551</v>
      </c>
      <c r="AC616" s="25">
        <f t="shared" si="549"/>
        <v>558</v>
      </c>
      <c r="AE616" s="2">
        <f t="shared" si="524"/>
        <v>2023</v>
      </c>
      <c r="AF616" s="887">
        <f t="shared" si="525"/>
        <v>127</v>
      </c>
      <c r="AG616" s="887">
        <f t="shared" si="536"/>
        <v>109</v>
      </c>
      <c r="AH616" s="887">
        <f t="shared" si="537"/>
        <v>96</v>
      </c>
      <c r="AI616" s="1112">
        <f t="shared" si="538"/>
        <v>106</v>
      </c>
      <c r="AJ616" s="25">
        <f t="shared" si="539"/>
        <v>122</v>
      </c>
      <c r="AK616" s="25">
        <f t="shared" si="540"/>
        <v>122</v>
      </c>
      <c r="AL616" s="25">
        <f t="shared" si="541"/>
        <v>125</v>
      </c>
      <c r="AM616" s="25">
        <f t="shared" si="542"/>
        <v>129</v>
      </c>
      <c r="AN616" s="25">
        <f t="shared" si="543"/>
        <v>116</v>
      </c>
      <c r="AO616" s="1113">
        <f t="shared" si="544"/>
        <v>112</v>
      </c>
      <c r="AP616" s="887">
        <f t="shared" si="545"/>
        <v>87</v>
      </c>
      <c r="AQ616" s="887">
        <f t="shared" si="546"/>
        <v>101</v>
      </c>
      <c r="AR616" s="25">
        <f t="shared" si="551"/>
        <v>112.66666666666667</v>
      </c>
      <c r="AT616" s="2">
        <f t="shared" si="528"/>
        <v>2023</v>
      </c>
      <c r="AU616" s="887">
        <f>[29]Breakdown!B92+[29]Breakdown!B129</f>
        <v>760</v>
      </c>
      <c r="AV616" s="887">
        <f>[29]Breakdown!C92+[29]Breakdown!C129</f>
        <v>629.95016520427146</v>
      </c>
      <c r="AW616" s="887">
        <f>[29]Breakdown!D92+[29]Breakdown!D129</f>
        <v>477.20765979867622</v>
      </c>
      <c r="AX616" s="887">
        <f>[29]Breakdown!E92+[29]Breakdown!E129</f>
        <v>254.47522147401708</v>
      </c>
      <c r="AY616" s="887">
        <f>[29]Breakdown!F92+[29]Breakdown!F129</f>
        <v>319.9859909636952</v>
      </c>
      <c r="AZ616" s="887">
        <f>[29]Breakdown!G92+[29]Breakdown!G129</f>
        <v>400.57290034838331</v>
      </c>
      <c r="BA616" s="887">
        <f>[29]Breakdown!H92+[29]Breakdown!H129</f>
        <v>394.49606894454087</v>
      </c>
      <c r="BB616" s="887">
        <f>[29]Breakdown!I92+[29]Breakdown!I129</f>
        <v>413</v>
      </c>
      <c r="BC616" s="887">
        <f>[29]Breakdown!J92+[29]Breakdown!J129</f>
        <v>385.99968539098933</v>
      </c>
      <c r="BD616" s="887">
        <f>[29]Breakdown!K92+[29]Breakdown!K129</f>
        <v>208.79462514960383</v>
      </c>
      <c r="BE616" s="887">
        <f>[29]Breakdown!L92+[29]Breakdown!L129</f>
        <v>331.45749703286106</v>
      </c>
      <c r="BF616" s="887">
        <f>[29]Breakdown!M92+[29]Breakdown!M129</f>
        <v>407.57070834275294</v>
      </c>
      <c r="BG616" s="25">
        <f t="shared" si="529"/>
        <v>415.29254355414929</v>
      </c>
      <c r="BI616" s="2">
        <f t="shared" si="530"/>
        <v>2023</v>
      </c>
      <c r="BJ616" s="887">
        <f>[29]Breakdown!B166</f>
        <v>0</v>
      </c>
      <c r="BK616" s="887">
        <f>[29]Breakdown!C166</f>
        <v>0</v>
      </c>
      <c r="BL616" s="887">
        <f>[29]Breakdown!D166</f>
        <v>0</v>
      </c>
      <c r="BM616" s="887">
        <f>[29]Breakdown!E166</f>
        <v>2</v>
      </c>
      <c r="BN616" s="887">
        <f>[29]Breakdown!F166</f>
        <v>2</v>
      </c>
      <c r="BO616" s="887">
        <f>[29]Breakdown!G166</f>
        <v>2</v>
      </c>
      <c r="BP616" s="887">
        <f>[29]Breakdown!H166</f>
        <v>2</v>
      </c>
      <c r="BQ616" s="887">
        <f>[29]Breakdown!I166</f>
        <v>2</v>
      </c>
      <c r="BR616" s="887">
        <f>[29]Breakdown!J166</f>
        <v>2</v>
      </c>
      <c r="BS616" s="887">
        <f>[29]Breakdown!K166</f>
        <v>2</v>
      </c>
      <c r="BT616" s="887">
        <f>[29]Breakdown!L166</f>
        <v>0</v>
      </c>
      <c r="BU616" s="887">
        <f>[29]Breakdown!M166</f>
        <v>0</v>
      </c>
      <c r="BV616" s="25">
        <f t="shared" si="531"/>
        <v>1.1666666666666667</v>
      </c>
      <c r="BX616" s="2">
        <f t="shared" si="532"/>
        <v>2023</v>
      </c>
      <c r="BY616" s="887">
        <f>[29]Breakdown!B203</f>
        <v>139.36345728174882</v>
      </c>
      <c r="BZ616" s="887">
        <f>[29]Breakdown!C203</f>
        <v>139.71648609243007</v>
      </c>
      <c r="CA616" s="887">
        <f>[29]Breakdown!D203</f>
        <v>140.06951490311133</v>
      </c>
      <c r="CB616" s="887">
        <f>[29]Breakdown!E203</f>
        <v>140.42254371379258</v>
      </c>
      <c r="CC616" s="887">
        <f>[29]Breakdown!F203</f>
        <v>140.77557252447383</v>
      </c>
      <c r="CD616" s="887">
        <f>[29]Breakdown!G203</f>
        <v>141.12860133515508</v>
      </c>
      <c r="CE616" s="887">
        <f>[29]Breakdown!H203</f>
        <v>141.48163014583633</v>
      </c>
      <c r="CF616" s="887">
        <f>[29]Breakdown!I203</f>
        <v>141.83465895651759</v>
      </c>
      <c r="CG616" s="887">
        <f>[29]Breakdown!J203</f>
        <v>142.18768776719884</v>
      </c>
      <c r="CH616" s="887">
        <f>[29]Breakdown!K203</f>
        <v>142.54071657788009</v>
      </c>
      <c r="CI616" s="887">
        <f>[29]Breakdown!L203</f>
        <v>142.89374538856134</v>
      </c>
      <c r="CJ616" s="887">
        <f>[29]Breakdown!M203</f>
        <v>143.24677419924259</v>
      </c>
      <c r="CK616" s="25">
        <f t="shared" si="533"/>
        <v>141.30511574049572</v>
      </c>
      <c r="CM616" s="2">
        <f t="shared" si="534"/>
        <v>2023</v>
      </c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</row>
    <row r="617" spans="1:119">
      <c r="A617" s="2">
        <f t="shared" si="535"/>
        <v>2024</v>
      </c>
      <c r="B617" s="880">
        <f t="shared" si="497"/>
        <v>1042</v>
      </c>
      <c r="C617" s="880">
        <f t="shared" si="498"/>
        <v>890</v>
      </c>
      <c r="D617" s="880">
        <f t="shared" si="499"/>
        <v>724</v>
      </c>
      <c r="E617" s="34">
        <f t="shared" si="500"/>
        <v>404</v>
      </c>
      <c r="F617" s="34">
        <f t="shared" si="501"/>
        <v>471</v>
      </c>
      <c r="G617" s="34">
        <f t="shared" si="502"/>
        <v>553</v>
      </c>
      <c r="H617" s="34">
        <f t="shared" si="503"/>
        <v>547</v>
      </c>
      <c r="I617" s="34">
        <f t="shared" si="504"/>
        <v>566</v>
      </c>
      <c r="J617" s="34">
        <f t="shared" si="505"/>
        <v>539</v>
      </c>
      <c r="K617" s="34">
        <f t="shared" si="506"/>
        <v>360</v>
      </c>
      <c r="L617" s="880">
        <f t="shared" si="507"/>
        <v>571</v>
      </c>
      <c r="M617" s="880">
        <f t="shared" si="508"/>
        <v>662</v>
      </c>
      <c r="N617" s="25">
        <f t="shared" si="547"/>
        <v>610.75</v>
      </c>
      <c r="P617" s="2">
        <f t="shared" si="510"/>
        <v>2024</v>
      </c>
      <c r="Q617" s="438">
        <f t="shared" si="548"/>
        <v>913</v>
      </c>
      <c r="R617" s="25">
        <f t="shared" si="549"/>
        <v>781</v>
      </c>
      <c r="S617" s="25">
        <f t="shared" si="549"/>
        <v>627</v>
      </c>
      <c r="T617" s="25">
        <f t="shared" si="549"/>
        <v>404</v>
      </c>
      <c r="U617" s="25">
        <f t="shared" si="549"/>
        <v>471</v>
      </c>
      <c r="V617" s="25">
        <f t="shared" si="549"/>
        <v>553</v>
      </c>
      <c r="W617" s="25">
        <f t="shared" si="549"/>
        <v>547</v>
      </c>
      <c r="X617" s="438">
        <f t="shared" si="550"/>
        <v>566</v>
      </c>
      <c r="Y617" s="25">
        <f t="shared" si="549"/>
        <v>539</v>
      </c>
      <c r="Z617" s="25">
        <f t="shared" si="549"/>
        <v>360</v>
      </c>
      <c r="AA617" s="25">
        <f t="shared" si="549"/>
        <v>483</v>
      </c>
      <c r="AB617" s="25">
        <f t="shared" si="549"/>
        <v>560</v>
      </c>
      <c r="AC617" s="25">
        <f t="shared" si="549"/>
        <v>567</v>
      </c>
      <c r="AE617" s="2">
        <f t="shared" si="524"/>
        <v>2024</v>
      </c>
      <c r="AF617" s="887">
        <f t="shared" si="525"/>
        <v>129</v>
      </c>
      <c r="AG617" s="887">
        <f t="shared" si="536"/>
        <v>109</v>
      </c>
      <c r="AH617" s="887">
        <f t="shared" si="537"/>
        <v>97</v>
      </c>
      <c r="AI617" s="1112">
        <f t="shared" si="538"/>
        <v>107</v>
      </c>
      <c r="AJ617" s="25">
        <f t="shared" si="539"/>
        <v>123</v>
      </c>
      <c r="AK617" s="25">
        <f t="shared" si="540"/>
        <v>123</v>
      </c>
      <c r="AL617" s="25">
        <f t="shared" si="541"/>
        <v>126</v>
      </c>
      <c r="AM617" s="25">
        <f t="shared" si="542"/>
        <v>130</v>
      </c>
      <c r="AN617" s="25">
        <f t="shared" si="543"/>
        <v>117</v>
      </c>
      <c r="AO617" s="1113">
        <f t="shared" si="544"/>
        <v>114</v>
      </c>
      <c r="AP617" s="887">
        <f t="shared" si="545"/>
        <v>88</v>
      </c>
      <c r="AQ617" s="887">
        <f t="shared" si="546"/>
        <v>102</v>
      </c>
      <c r="AR617" s="25">
        <f t="shared" si="551"/>
        <v>113.75</v>
      </c>
      <c r="AT617" s="2">
        <f t="shared" si="528"/>
        <v>2024</v>
      </c>
      <c r="AU617" s="887">
        <f>[29]Breakdown!B93+[29]Breakdown!B130</f>
        <v>769</v>
      </c>
      <c r="AV617" s="887">
        <f>[29]Breakdown!C93+[29]Breakdown!C130</f>
        <v>637.41010137116416</v>
      </c>
      <c r="AW617" s="887">
        <f>[29]Breakdown!D93+[29]Breakdown!D130</f>
        <v>482.85880313839743</v>
      </c>
      <c r="AX617" s="887">
        <f>[29]Breakdown!E93+[29]Breakdown!E130</f>
        <v>257.55603529331512</v>
      </c>
      <c r="AY617" s="887">
        <f>[29]Breakdown!F93+[29]Breakdown!F130</f>
        <v>323.85991337245662</v>
      </c>
      <c r="AZ617" s="887">
        <f>[29]Breakdown!G93+[29]Breakdown!G130</f>
        <v>405.42245120005867</v>
      </c>
      <c r="BA617" s="887">
        <f>[29]Breakdown!H93+[29]Breakdown!H130</f>
        <v>399.27205040876049</v>
      </c>
      <c r="BB617" s="887">
        <f>[29]Breakdown!I93+[29]Breakdown!I130</f>
        <v>418</v>
      </c>
      <c r="BC617" s="887">
        <f>[29]Breakdown!J93+[29]Breakdown!J130</f>
        <v>390.67280506884629</v>
      </c>
      <c r="BD617" s="887">
        <f>[29]Breakdown!K93+[29]Breakdown!K130</f>
        <v>211.32240511509536</v>
      </c>
      <c r="BE617" s="887">
        <f>[29]Breakdown!L93+[29]Breakdown!L130</f>
        <v>335.38265160298715</v>
      </c>
      <c r="BF617" s="887">
        <f>[29]Breakdown!M93+[29]Breakdown!M130</f>
        <v>412.39720357312763</v>
      </c>
      <c r="BG617" s="25">
        <f t="shared" si="529"/>
        <v>420.26286834535068</v>
      </c>
      <c r="BI617" s="2">
        <f t="shared" si="530"/>
        <v>2024</v>
      </c>
      <c r="BJ617" s="887">
        <f>[29]Breakdown!B167</f>
        <v>0</v>
      </c>
      <c r="BK617" s="887">
        <f>[29]Breakdown!C167</f>
        <v>0</v>
      </c>
      <c r="BL617" s="887">
        <f>[29]Breakdown!D167</f>
        <v>0</v>
      </c>
      <c r="BM617" s="887">
        <f>[29]Breakdown!E167</f>
        <v>2</v>
      </c>
      <c r="BN617" s="887">
        <f>[29]Breakdown!F167</f>
        <v>2</v>
      </c>
      <c r="BO617" s="887">
        <f>[29]Breakdown!G167</f>
        <v>2</v>
      </c>
      <c r="BP617" s="887">
        <f>[29]Breakdown!H167</f>
        <v>2</v>
      </c>
      <c r="BQ617" s="887">
        <f>[29]Breakdown!I167</f>
        <v>2</v>
      </c>
      <c r="BR617" s="887">
        <f>[29]Breakdown!J167</f>
        <v>2</v>
      </c>
      <c r="BS617" s="887">
        <f>[29]Breakdown!K167</f>
        <v>2</v>
      </c>
      <c r="BT617" s="887">
        <f>[29]Breakdown!L167</f>
        <v>0</v>
      </c>
      <c r="BU617" s="887">
        <f>[29]Breakdown!M167</f>
        <v>0</v>
      </c>
      <c r="BV617" s="25">
        <f t="shared" si="531"/>
        <v>1.1666666666666667</v>
      </c>
      <c r="BX617" s="2">
        <f t="shared" si="532"/>
        <v>2024</v>
      </c>
      <c r="BY617" s="887">
        <f>[29]Breakdown!B204</f>
        <v>143.5998030099237</v>
      </c>
      <c r="BZ617" s="887">
        <f>[29]Breakdown!C204</f>
        <v>143.95283182060496</v>
      </c>
      <c r="CA617" s="887">
        <f>[29]Breakdown!D204</f>
        <v>144.30586063128621</v>
      </c>
      <c r="CB617" s="887">
        <f>[29]Breakdown!E204</f>
        <v>144.65888944196746</v>
      </c>
      <c r="CC617" s="887">
        <f>[29]Breakdown!F204</f>
        <v>145.01191825264871</v>
      </c>
      <c r="CD617" s="887">
        <f>[29]Breakdown!G204</f>
        <v>145.36494706332996</v>
      </c>
      <c r="CE617" s="887">
        <f>[29]Breakdown!H204</f>
        <v>145.71797587401122</v>
      </c>
      <c r="CF617" s="887">
        <f>[29]Breakdown!I204</f>
        <v>146.07100468469247</v>
      </c>
      <c r="CG617" s="887">
        <f>[29]Breakdown!J204</f>
        <v>146.42403349537372</v>
      </c>
      <c r="CH617" s="887">
        <f>[29]Breakdown!K204</f>
        <v>146.77706230605497</v>
      </c>
      <c r="CI617" s="887">
        <f>[29]Breakdown!L204</f>
        <v>147.13009111673622</v>
      </c>
      <c r="CJ617" s="887">
        <f>[29]Breakdown!M204</f>
        <v>147.48311992741748</v>
      </c>
      <c r="CK617" s="25">
        <f t="shared" si="533"/>
        <v>145.5414614686706</v>
      </c>
      <c r="CM617" s="2">
        <f t="shared" si="534"/>
        <v>2024</v>
      </c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</row>
    <row r="618" spans="1:119">
      <c r="A618" s="2">
        <f t="shared" si="535"/>
        <v>2025</v>
      </c>
      <c r="B618" s="880">
        <f t="shared" si="497"/>
        <v>1056</v>
      </c>
      <c r="C618" s="880">
        <f t="shared" si="498"/>
        <v>903</v>
      </c>
      <c r="D618" s="880">
        <f t="shared" si="499"/>
        <v>734</v>
      </c>
      <c r="E618" s="34">
        <f t="shared" si="500"/>
        <v>412</v>
      </c>
      <c r="F618" s="34">
        <f t="shared" si="501"/>
        <v>479</v>
      </c>
      <c r="G618" s="34">
        <f t="shared" si="502"/>
        <v>562</v>
      </c>
      <c r="H618" s="34">
        <f t="shared" si="503"/>
        <v>556</v>
      </c>
      <c r="I618" s="34">
        <f t="shared" si="504"/>
        <v>575</v>
      </c>
      <c r="J618" s="34">
        <f t="shared" si="505"/>
        <v>548</v>
      </c>
      <c r="K618" s="34">
        <f t="shared" si="506"/>
        <v>367</v>
      </c>
      <c r="L618" s="880">
        <f t="shared" si="507"/>
        <v>579</v>
      </c>
      <c r="M618" s="880">
        <f t="shared" si="508"/>
        <v>672</v>
      </c>
      <c r="N618" s="25">
        <f t="shared" si="547"/>
        <v>620.25</v>
      </c>
      <c r="P618" s="2">
        <f t="shared" si="510"/>
        <v>2025</v>
      </c>
      <c r="Q618" s="438">
        <f t="shared" si="548"/>
        <v>926</v>
      </c>
      <c r="R618" s="438">
        <f t="shared" si="549"/>
        <v>793</v>
      </c>
      <c r="S618" s="438">
        <f t="shared" si="549"/>
        <v>637</v>
      </c>
      <c r="T618" s="438">
        <f t="shared" si="549"/>
        <v>412</v>
      </c>
      <c r="U618" s="438">
        <f t="shared" si="549"/>
        <v>479</v>
      </c>
      <c r="V618" s="438">
        <f t="shared" si="549"/>
        <v>562</v>
      </c>
      <c r="W618" s="438">
        <f t="shared" si="549"/>
        <v>556</v>
      </c>
      <c r="X618" s="438">
        <f t="shared" si="550"/>
        <v>575</v>
      </c>
      <c r="Y618" s="438">
        <f t="shared" si="549"/>
        <v>548</v>
      </c>
      <c r="Z618" s="438">
        <f t="shared" si="549"/>
        <v>367</v>
      </c>
      <c r="AA618" s="438">
        <f t="shared" si="549"/>
        <v>491</v>
      </c>
      <c r="AB618" s="438">
        <f t="shared" si="549"/>
        <v>569</v>
      </c>
      <c r="AC618" s="25">
        <f t="shared" si="549"/>
        <v>576</v>
      </c>
      <c r="AE618" s="2">
        <f t="shared" ref="AE618:AE623" si="552">P618</f>
        <v>2025</v>
      </c>
      <c r="AF618" s="887">
        <f t="shared" si="525"/>
        <v>130</v>
      </c>
      <c r="AG618" s="887">
        <f t="shared" si="536"/>
        <v>110</v>
      </c>
      <c r="AH618" s="887">
        <f t="shared" si="537"/>
        <v>97</v>
      </c>
      <c r="AI618" s="1112">
        <f t="shared" si="538"/>
        <v>108</v>
      </c>
      <c r="AJ618" s="25">
        <f t="shared" si="539"/>
        <v>124</v>
      </c>
      <c r="AK618" s="25">
        <f t="shared" si="540"/>
        <v>124</v>
      </c>
      <c r="AL618" s="25">
        <f t="shared" si="541"/>
        <v>128</v>
      </c>
      <c r="AM618" s="25">
        <f t="shared" si="542"/>
        <v>131</v>
      </c>
      <c r="AN618" s="25">
        <f t="shared" si="543"/>
        <v>118</v>
      </c>
      <c r="AO618" s="1113">
        <f t="shared" si="544"/>
        <v>115</v>
      </c>
      <c r="AP618" s="887">
        <f t="shared" si="545"/>
        <v>88</v>
      </c>
      <c r="AQ618" s="887">
        <f t="shared" si="546"/>
        <v>103</v>
      </c>
      <c r="AR618" s="25">
        <f t="shared" si="551"/>
        <v>114.66666666666667</v>
      </c>
      <c r="AT618" s="2">
        <f t="shared" ref="AT618:AT623" si="553">AE618</f>
        <v>2025</v>
      </c>
      <c r="AU618" s="887">
        <f>[29]Breakdown!B94+[29]Breakdown!B131</f>
        <v>778</v>
      </c>
      <c r="AV618" s="887">
        <f>[29]Breakdown!C94+[29]Breakdown!C131</f>
        <v>644.87003753805675</v>
      </c>
      <c r="AW618" s="887">
        <f>[29]Breakdown!D94+[29]Breakdown!D131</f>
        <v>488.50994647811865</v>
      </c>
      <c r="AX618" s="887">
        <f>[29]Breakdown!E94+[29]Breakdown!E131</f>
        <v>260.63684911261316</v>
      </c>
      <c r="AY618" s="887">
        <f>[29]Breakdown!F94+[29]Breakdown!F131</f>
        <v>327.73383578121809</v>
      </c>
      <c r="AZ618" s="887">
        <f>[29]Breakdown!G94+[29]Breakdown!G131</f>
        <v>410.27200205173392</v>
      </c>
      <c r="BA618" s="887">
        <f>[29]Breakdown!H94+[29]Breakdown!H131</f>
        <v>404.04803187298012</v>
      </c>
      <c r="BB618" s="887">
        <f>[29]Breakdown!I94+[29]Breakdown!I131</f>
        <v>423</v>
      </c>
      <c r="BC618" s="887">
        <f>[29]Breakdown!J94+[29]Breakdown!J131</f>
        <v>395.34592474670336</v>
      </c>
      <c r="BD618" s="887">
        <f>[29]Breakdown!K94+[29]Breakdown!K131</f>
        <v>213.85018508058693</v>
      </c>
      <c r="BE618" s="887">
        <f>[29]Breakdown!L94+[29]Breakdown!L131</f>
        <v>339.30780617311314</v>
      </c>
      <c r="BF618" s="887">
        <f>[29]Breakdown!M94+[29]Breakdown!M131</f>
        <v>417.22369880350232</v>
      </c>
      <c r="BG618" s="25">
        <f t="shared" si="529"/>
        <v>425.23319313655219</v>
      </c>
      <c r="BI618" s="2">
        <f t="shared" ref="BI618:BI623" si="554">AT618</f>
        <v>2025</v>
      </c>
      <c r="BJ618" s="887">
        <f>[29]Breakdown!B168</f>
        <v>0</v>
      </c>
      <c r="BK618" s="887">
        <f>[29]Breakdown!C168</f>
        <v>0</v>
      </c>
      <c r="BL618" s="887">
        <f>[29]Breakdown!D168</f>
        <v>0</v>
      </c>
      <c r="BM618" s="887">
        <f>[29]Breakdown!E168</f>
        <v>2</v>
      </c>
      <c r="BN618" s="887">
        <f>[29]Breakdown!F168</f>
        <v>2</v>
      </c>
      <c r="BO618" s="887">
        <f>[29]Breakdown!G168</f>
        <v>2</v>
      </c>
      <c r="BP618" s="887">
        <f>[29]Breakdown!H168</f>
        <v>2</v>
      </c>
      <c r="BQ618" s="887">
        <f>[29]Breakdown!I168</f>
        <v>2</v>
      </c>
      <c r="BR618" s="887">
        <f>[29]Breakdown!J168</f>
        <v>2</v>
      </c>
      <c r="BS618" s="887">
        <f>[29]Breakdown!K168</f>
        <v>2</v>
      </c>
      <c r="BT618" s="887">
        <f>[29]Breakdown!L168</f>
        <v>0</v>
      </c>
      <c r="BU618" s="887">
        <f>[29]Breakdown!M168</f>
        <v>0</v>
      </c>
      <c r="BV618" s="25">
        <f t="shared" si="531"/>
        <v>1.1666666666666667</v>
      </c>
      <c r="BX618" s="2">
        <f t="shared" ref="BX618:BX623" si="555">BI618</f>
        <v>2025</v>
      </c>
      <c r="BY618" s="887">
        <f>[29]Breakdown!B205</f>
        <v>147.83614873809859</v>
      </c>
      <c r="BZ618" s="887">
        <f>[29]Breakdown!C205</f>
        <v>148.18917754877984</v>
      </c>
      <c r="CA618" s="887">
        <f>[29]Breakdown!D205</f>
        <v>148.54220635946109</v>
      </c>
      <c r="CB618" s="887">
        <f>[29]Breakdown!E205</f>
        <v>148.89523517014234</v>
      </c>
      <c r="CC618" s="887">
        <f>[29]Breakdown!F205</f>
        <v>149.24826398082359</v>
      </c>
      <c r="CD618" s="887">
        <f>[29]Breakdown!G205</f>
        <v>149.60129279150485</v>
      </c>
      <c r="CE618" s="887">
        <f>[29]Breakdown!H205</f>
        <v>149.9543216021861</v>
      </c>
      <c r="CF618" s="887">
        <f>[29]Breakdown!I205</f>
        <v>150.30735041286735</v>
      </c>
      <c r="CG618" s="887">
        <f>[29]Breakdown!J205</f>
        <v>150.6603792235486</v>
      </c>
      <c r="CH618" s="887">
        <f>[29]Breakdown!K205</f>
        <v>151.01340803422985</v>
      </c>
      <c r="CI618" s="887">
        <f>[29]Breakdown!L205</f>
        <v>151.36643684491111</v>
      </c>
      <c r="CJ618" s="887">
        <f>[29]Breakdown!M205</f>
        <v>151.71946565559236</v>
      </c>
      <c r="CK618" s="25">
        <f t="shared" si="533"/>
        <v>149.77780719684546</v>
      </c>
      <c r="CM618" s="2">
        <f t="shared" ref="CM618:CM638" si="556">BX618</f>
        <v>2025</v>
      </c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</row>
    <row r="619" spans="1:119">
      <c r="A619" s="2">
        <f t="shared" si="535"/>
        <v>2026</v>
      </c>
      <c r="B619" s="880">
        <f t="shared" si="497"/>
        <v>1070</v>
      </c>
      <c r="C619" s="880">
        <f t="shared" si="498"/>
        <v>916</v>
      </c>
      <c r="D619" s="880">
        <f t="shared" si="499"/>
        <v>745</v>
      </c>
      <c r="E619" s="34">
        <f t="shared" si="500"/>
        <v>419</v>
      </c>
      <c r="F619" s="34">
        <f t="shared" si="501"/>
        <v>487</v>
      </c>
      <c r="G619" s="34">
        <f t="shared" si="502"/>
        <v>571</v>
      </c>
      <c r="H619" s="34">
        <f t="shared" si="503"/>
        <v>565</v>
      </c>
      <c r="I619" s="34">
        <f t="shared" si="504"/>
        <v>585</v>
      </c>
      <c r="J619" s="34">
        <f t="shared" si="505"/>
        <v>557</v>
      </c>
      <c r="K619" s="34">
        <f t="shared" si="506"/>
        <v>374</v>
      </c>
      <c r="L619" s="880">
        <f t="shared" si="507"/>
        <v>588</v>
      </c>
      <c r="M619" s="880">
        <f t="shared" si="508"/>
        <v>681</v>
      </c>
      <c r="N619" s="25">
        <f t="shared" si="547"/>
        <v>629.83333333333337</v>
      </c>
      <c r="P619" s="2">
        <f t="shared" si="510"/>
        <v>2026</v>
      </c>
      <c r="Q619" s="438">
        <f t="shared" si="548"/>
        <v>939</v>
      </c>
      <c r="R619" s="438">
        <f t="shared" si="549"/>
        <v>805</v>
      </c>
      <c r="S619" s="438">
        <f t="shared" si="549"/>
        <v>647</v>
      </c>
      <c r="T619" s="438">
        <f t="shared" si="549"/>
        <v>419</v>
      </c>
      <c r="U619" s="438">
        <f t="shared" si="549"/>
        <v>487</v>
      </c>
      <c r="V619" s="438">
        <f t="shared" si="549"/>
        <v>571</v>
      </c>
      <c r="W619" s="438">
        <f t="shared" si="549"/>
        <v>565</v>
      </c>
      <c r="X619" s="438">
        <f t="shared" si="550"/>
        <v>585</v>
      </c>
      <c r="Y619" s="438">
        <f t="shared" si="549"/>
        <v>557</v>
      </c>
      <c r="Z619" s="438">
        <f t="shared" si="549"/>
        <v>374</v>
      </c>
      <c r="AA619" s="438">
        <f t="shared" si="549"/>
        <v>499</v>
      </c>
      <c r="AB619" s="438">
        <f t="shared" si="549"/>
        <v>578</v>
      </c>
      <c r="AC619" s="25">
        <f t="shared" si="549"/>
        <v>585</v>
      </c>
      <c r="AE619" s="2">
        <f t="shared" si="552"/>
        <v>2026</v>
      </c>
      <c r="AF619" s="887">
        <f t="shared" si="525"/>
        <v>131</v>
      </c>
      <c r="AG619" s="887">
        <f t="shared" si="536"/>
        <v>111</v>
      </c>
      <c r="AH619" s="887">
        <f t="shared" si="537"/>
        <v>98</v>
      </c>
      <c r="AI619" s="1112">
        <f t="shared" si="538"/>
        <v>109</v>
      </c>
      <c r="AJ619" s="25">
        <f t="shared" si="539"/>
        <v>126</v>
      </c>
      <c r="AK619" s="25">
        <f t="shared" si="540"/>
        <v>126</v>
      </c>
      <c r="AL619" s="25">
        <f t="shared" si="541"/>
        <v>129</v>
      </c>
      <c r="AM619" s="25">
        <f t="shared" si="542"/>
        <v>133</v>
      </c>
      <c r="AN619" s="25">
        <f t="shared" si="543"/>
        <v>119</v>
      </c>
      <c r="AO619" s="1113">
        <f t="shared" si="544"/>
        <v>116</v>
      </c>
      <c r="AP619" s="887">
        <f t="shared" si="545"/>
        <v>89</v>
      </c>
      <c r="AQ619" s="887">
        <f t="shared" si="546"/>
        <v>103</v>
      </c>
      <c r="AR619" s="25">
        <f t="shared" si="551"/>
        <v>115.83333333333333</v>
      </c>
      <c r="AT619" s="2">
        <f t="shared" si="553"/>
        <v>2026</v>
      </c>
      <c r="AU619" s="887">
        <f>[29]Breakdown!B95+[29]Breakdown!B132</f>
        <v>787</v>
      </c>
      <c r="AV619" s="887">
        <f>[29]Breakdown!C95+[29]Breakdown!C132</f>
        <v>652.32997370494957</v>
      </c>
      <c r="AW619" s="887">
        <f>[29]Breakdown!D95+[29]Breakdown!D132</f>
        <v>494.16108981783975</v>
      </c>
      <c r="AX619" s="887">
        <f>[29]Breakdown!E95+[29]Breakdown!E132</f>
        <v>263.71766293191121</v>
      </c>
      <c r="AY619" s="887">
        <f>[29]Breakdown!F95+[29]Breakdown!F132</f>
        <v>331.60775818997951</v>
      </c>
      <c r="AZ619" s="887">
        <f>[29]Breakdown!G95+[29]Breakdown!G132</f>
        <v>415.12155290340922</v>
      </c>
      <c r="BA619" s="887">
        <f>[29]Breakdown!H95+[29]Breakdown!H132</f>
        <v>408.82401333719974</v>
      </c>
      <c r="BB619" s="887">
        <f>[29]Breakdown!I95+[29]Breakdown!I132</f>
        <v>428</v>
      </c>
      <c r="BC619" s="887">
        <f>[29]Breakdown!J95+[29]Breakdown!J132</f>
        <v>400.01904442456032</v>
      </c>
      <c r="BD619" s="887">
        <f>[29]Breakdown!K95+[29]Breakdown!K132</f>
        <v>216.37796504607851</v>
      </c>
      <c r="BE619" s="887">
        <f>[29]Breakdown!L95+[29]Breakdown!L132</f>
        <v>343.23296074323912</v>
      </c>
      <c r="BF619" s="887">
        <f>[29]Breakdown!M95+[29]Breakdown!M132</f>
        <v>422.05019403387712</v>
      </c>
      <c r="BG619" s="25">
        <f t="shared" si="529"/>
        <v>430.20351792775364</v>
      </c>
      <c r="BI619" s="2">
        <f t="shared" si="554"/>
        <v>2026</v>
      </c>
      <c r="BJ619" s="887">
        <f>[29]Breakdown!B169</f>
        <v>0</v>
      </c>
      <c r="BK619" s="887">
        <f>[29]Breakdown!C169</f>
        <v>0</v>
      </c>
      <c r="BL619" s="887">
        <f>[29]Breakdown!D169</f>
        <v>0</v>
      </c>
      <c r="BM619" s="887">
        <f>[29]Breakdown!E169</f>
        <v>2</v>
      </c>
      <c r="BN619" s="887">
        <f>[29]Breakdown!F169</f>
        <v>2</v>
      </c>
      <c r="BO619" s="887">
        <f>[29]Breakdown!G169</f>
        <v>2</v>
      </c>
      <c r="BP619" s="887">
        <f>[29]Breakdown!H169</f>
        <v>2</v>
      </c>
      <c r="BQ619" s="887">
        <f>[29]Breakdown!I169</f>
        <v>2</v>
      </c>
      <c r="BR619" s="887">
        <f>[29]Breakdown!J169</f>
        <v>2</v>
      </c>
      <c r="BS619" s="887">
        <f>[29]Breakdown!K169</f>
        <v>2</v>
      </c>
      <c r="BT619" s="887">
        <f>[29]Breakdown!L169</f>
        <v>0</v>
      </c>
      <c r="BU619" s="887">
        <f>[29]Breakdown!M169</f>
        <v>0</v>
      </c>
      <c r="BV619" s="25">
        <f t="shared" ref="BV619:BV623" si="557">AVERAGE(BJ619:BU619)</f>
        <v>1.1666666666666667</v>
      </c>
      <c r="BX619" s="2">
        <f t="shared" si="555"/>
        <v>2026</v>
      </c>
      <c r="BY619" s="887">
        <f>[29]Breakdown!B206</f>
        <v>152.07249446627347</v>
      </c>
      <c r="BZ619" s="887">
        <f>[29]Breakdown!C206</f>
        <v>152.42552327695472</v>
      </c>
      <c r="CA619" s="887">
        <f>[29]Breakdown!D206</f>
        <v>152.77855208763597</v>
      </c>
      <c r="CB619" s="887">
        <f>[29]Breakdown!E206</f>
        <v>153.13158089831722</v>
      </c>
      <c r="CC619" s="887">
        <f>[29]Breakdown!F206</f>
        <v>153.48460970899848</v>
      </c>
      <c r="CD619" s="887">
        <f>[29]Breakdown!G206</f>
        <v>153.83763851967973</v>
      </c>
      <c r="CE619" s="887">
        <f>[29]Breakdown!H206</f>
        <v>154.19066733036098</v>
      </c>
      <c r="CF619" s="887">
        <f>[29]Breakdown!I206</f>
        <v>154.54369614104223</v>
      </c>
      <c r="CG619" s="887">
        <f>[29]Breakdown!J206</f>
        <v>154.89672495172348</v>
      </c>
      <c r="CH619" s="887">
        <f>[29]Breakdown!K206</f>
        <v>155.24975376240474</v>
      </c>
      <c r="CI619" s="887">
        <f>[29]Breakdown!L206</f>
        <v>155.60278257308599</v>
      </c>
      <c r="CJ619" s="887">
        <f>[29]Breakdown!M206</f>
        <v>155.95581138376724</v>
      </c>
      <c r="CK619" s="25">
        <f t="shared" si="533"/>
        <v>154.01415292502034</v>
      </c>
      <c r="CM619" s="2">
        <f t="shared" si="556"/>
        <v>2026</v>
      </c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</row>
    <row r="620" spans="1:119">
      <c r="A620" s="2">
        <f t="shared" si="535"/>
        <v>2027</v>
      </c>
      <c r="B620" s="880">
        <f t="shared" si="497"/>
        <v>1084</v>
      </c>
      <c r="C620" s="880">
        <f t="shared" si="498"/>
        <v>927</v>
      </c>
      <c r="D620" s="880">
        <f t="shared" si="499"/>
        <v>756</v>
      </c>
      <c r="E620" s="34">
        <f t="shared" si="500"/>
        <v>426</v>
      </c>
      <c r="F620" s="34">
        <f t="shared" si="501"/>
        <v>495</v>
      </c>
      <c r="G620" s="34">
        <f t="shared" si="502"/>
        <v>580</v>
      </c>
      <c r="H620" s="34">
        <f t="shared" si="503"/>
        <v>574</v>
      </c>
      <c r="I620" s="34">
        <f t="shared" si="504"/>
        <v>594</v>
      </c>
      <c r="J620" s="34">
        <f t="shared" si="505"/>
        <v>566</v>
      </c>
      <c r="K620" s="34">
        <f t="shared" si="506"/>
        <v>380</v>
      </c>
      <c r="L620" s="880">
        <f t="shared" si="507"/>
        <v>596</v>
      </c>
      <c r="M620" s="880">
        <f t="shared" si="508"/>
        <v>691</v>
      </c>
      <c r="N620" s="25">
        <f t="shared" si="547"/>
        <v>639.08333333333337</v>
      </c>
      <c r="P620" s="2">
        <f t="shared" si="510"/>
        <v>2027</v>
      </c>
      <c r="Q620" s="438">
        <f t="shared" si="548"/>
        <v>952</v>
      </c>
      <c r="R620" s="438">
        <f t="shared" si="549"/>
        <v>816</v>
      </c>
      <c r="S620" s="438">
        <f t="shared" si="549"/>
        <v>657</v>
      </c>
      <c r="T620" s="438">
        <f t="shared" si="549"/>
        <v>426</v>
      </c>
      <c r="U620" s="438">
        <f t="shared" si="549"/>
        <v>495</v>
      </c>
      <c r="V620" s="438">
        <f t="shared" si="549"/>
        <v>580</v>
      </c>
      <c r="W620" s="438">
        <f t="shared" si="549"/>
        <v>574</v>
      </c>
      <c r="X620" s="438">
        <f t="shared" si="550"/>
        <v>594</v>
      </c>
      <c r="Y620" s="438">
        <f t="shared" si="549"/>
        <v>566</v>
      </c>
      <c r="Z620" s="438">
        <f t="shared" si="549"/>
        <v>380</v>
      </c>
      <c r="AA620" s="438">
        <f t="shared" si="549"/>
        <v>507</v>
      </c>
      <c r="AB620" s="438">
        <f t="shared" si="549"/>
        <v>587</v>
      </c>
      <c r="AC620" s="25">
        <f t="shared" si="549"/>
        <v>595</v>
      </c>
      <c r="AE620" s="2">
        <f t="shared" si="552"/>
        <v>2027</v>
      </c>
      <c r="AF620" s="887">
        <f t="shared" si="525"/>
        <v>132</v>
      </c>
      <c r="AG620" s="887">
        <f t="shared" si="536"/>
        <v>111</v>
      </c>
      <c r="AH620" s="887">
        <f t="shared" si="537"/>
        <v>99</v>
      </c>
      <c r="AI620" s="1112">
        <f t="shared" si="538"/>
        <v>110</v>
      </c>
      <c r="AJ620" s="25">
        <f t="shared" si="539"/>
        <v>127</v>
      </c>
      <c r="AK620" s="25">
        <f t="shared" si="540"/>
        <v>127</v>
      </c>
      <c r="AL620" s="25">
        <f t="shared" si="541"/>
        <v>130</v>
      </c>
      <c r="AM620" s="25">
        <f t="shared" si="542"/>
        <v>134</v>
      </c>
      <c r="AN620" s="25">
        <f t="shared" si="543"/>
        <v>120</v>
      </c>
      <c r="AO620" s="1113">
        <f t="shared" si="544"/>
        <v>117</v>
      </c>
      <c r="AP620" s="887">
        <f t="shared" si="545"/>
        <v>89</v>
      </c>
      <c r="AQ620" s="887">
        <f t="shared" si="546"/>
        <v>104</v>
      </c>
      <c r="AR620" s="25">
        <f t="shared" si="551"/>
        <v>116.66666666666667</v>
      </c>
      <c r="AT620" s="2">
        <f t="shared" si="553"/>
        <v>2027</v>
      </c>
      <c r="AU620" s="887">
        <f>[29]Breakdown!B96+[29]Breakdown!B133</f>
        <v>796</v>
      </c>
      <c r="AV620" s="887">
        <f>[29]Breakdown!C96+[29]Breakdown!C133</f>
        <v>659.78990987184227</v>
      </c>
      <c r="AW620" s="887">
        <f>[29]Breakdown!D96+[29]Breakdown!D133</f>
        <v>499.81223315756085</v>
      </c>
      <c r="AX620" s="887">
        <f>[29]Breakdown!E96+[29]Breakdown!E133</f>
        <v>266.79847675120925</v>
      </c>
      <c r="AY620" s="887">
        <f>[29]Breakdown!F96+[29]Breakdown!F133</f>
        <v>335.48168059874092</v>
      </c>
      <c r="AZ620" s="887">
        <f>[29]Breakdown!G96+[29]Breakdown!G133</f>
        <v>419.97110375508458</v>
      </c>
      <c r="BA620" s="887">
        <f>[29]Breakdown!H96+[29]Breakdown!H133</f>
        <v>413.59999480141937</v>
      </c>
      <c r="BB620" s="887">
        <f>[29]Breakdown!I96+[29]Breakdown!I133</f>
        <v>433</v>
      </c>
      <c r="BC620" s="887">
        <f>[29]Breakdown!J96+[29]Breakdown!J133</f>
        <v>404.69216410241739</v>
      </c>
      <c r="BD620" s="887">
        <f>[29]Breakdown!K96+[29]Breakdown!K133</f>
        <v>218.90574501157005</v>
      </c>
      <c r="BE620" s="887">
        <f>[29]Breakdown!L96+[29]Breakdown!L133</f>
        <v>347.1581153133651</v>
      </c>
      <c r="BF620" s="887">
        <f>[29]Breakdown!M96+[29]Breakdown!M133</f>
        <v>426.87668926425187</v>
      </c>
      <c r="BG620" s="25">
        <f t="shared" si="529"/>
        <v>435.17384271895503</v>
      </c>
      <c r="BI620" s="2">
        <f t="shared" si="554"/>
        <v>2027</v>
      </c>
      <c r="BJ620" s="887">
        <f>[29]Breakdown!B170</f>
        <v>0</v>
      </c>
      <c r="BK620" s="887">
        <f>[29]Breakdown!C170</f>
        <v>0</v>
      </c>
      <c r="BL620" s="887">
        <f>[29]Breakdown!D170</f>
        <v>0</v>
      </c>
      <c r="BM620" s="887">
        <f>[29]Breakdown!E170</f>
        <v>2</v>
      </c>
      <c r="BN620" s="887">
        <f>[29]Breakdown!F170</f>
        <v>2</v>
      </c>
      <c r="BO620" s="887">
        <f>[29]Breakdown!G170</f>
        <v>2</v>
      </c>
      <c r="BP620" s="887">
        <f>[29]Breakdown!H170</f>
        <v>2</v>
      </c>
      <c r="BQ620" s="887">
        <f>[29]Breakdown!I170</f>
        <v>2</v>
      </c>
      <c r="BR620" s="887">
        <f>[29]Breakdown!J170</f>
        <v>2</v>
      </c>
      <c r="BS620" s="887">
        <f>[29]Breakdown!K170</f>
        <v>2</v>
      </c>
      <c r="BT620" s="887">
        <f>[29]Breakdown!L170</f>
        <v>0</v>
      </c>
      <c r="BU620" s="887">
        <f>[29]Breakdown!M170</f>
        <v>0</v>
      </c>
      <c r="BV620" s="25">
        <f t="shared" si="557"/>
        <v>1.1666666666666667</v>
      </c>
      <c r="BX620" s="2">
        <f t="shared" si="555"/>
        <v>2027</v>
      </c>
      <c r="BY620" s="887">
        <f>[29]Breakdown!B207</f>
        <v>156.30884019444835</v>
      </c>
      <c r="BZ620" s="887">
        <f>[29]Breakdown!C207</f>
        <v>156.6618690051296</v>
      </c>
      <c r="CA620" s="887">
        <f>[29]Breakdown!D207</f>
        <v>157.01489781581085</v>
      </c>
      <c r="CB620" s="887">
        <f>[29]Breakdown!E207</f>
        <v>157.36792662649211</v>
      </c>
      <c r="CC620" s="887">
        <f>[29]Breakdown!F207</f>
        <v>157.72095543717336</v>
      </c>
      <c r="CD620" s="887">
        <f>[29]Breakdown!G207</f>
        <v>158.07398424785461</v>
      </c>
      <c r="CE620" s="887">
        <f>[29]Breakdown!H207</f>
        <v>158.42701305853586</v>
      </c>
      <c r="CF620" s="887">
        <f>[29]Breakdown!I207</f>
        <v>158.78004186921711</v>
      </c>
      <c r="CG620" s="887">
        <f>[29]Breakdown!J207</f>
        <v>159.13307067989837</v>
      </c>
      <c r="CH620" s="887">
        <f>[29]Breakdown!K207</f>
        <v>159.48609949057962</v>
      </c>
      <c r="CI620" s="887">
        <f>[29]Breakdown!L207</f>
        <v>159.83912830126087</v>
      </c>
      <c r="CJ620" s="887">
        <f>[29]Breakdown!M207</f>
        <v>160.19215711194212</v>
      </c>
      <c r="CK620" s="25">
        <f t="shared" si="533"/>
        <v>158.25049865319522</v>
      </c>
      <c r="CM620" s="2">
        <f t="shared" si="556"/>
        <v>2027</v>
      </c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</row>
    <row r="621" spans="1:119">
      <c r="A621" s="2">
        <f t="shared" si="535"/>
        <v>2028</v>
      </c>
      <c r="B621" s="880">
        <f t="shared" si="497"/>
        <v>1099</v>
      </c>
      <c r="C621" s="880">
        <f t="shared" si="498"/>
        <v>940</v>
      </c>
      <c r="D621" s="880">
        <f t="shared" si="499"/>
        <v>767</v>
      </c>
      <c r="E621" s="34">
        <f t="shared" si="500"/>
        <v>433</v>
      </c>
      <c r="F621" s="34">
        <f t="shared" si="501"/>
        <v>503</v>
      </c>
      <c r="G621" s="34">
        <f t="shared" si="502"/>
        <v>589</v>
      </c>
      <c r="H621" s="34">
        <f t="shared" si="503"/>
        <v>583</v>
      </c>
      <c r="I621" s="34">
        <f t="shared" si="504"/>
        <v>603</v>
      </c>
      <c r="J621" s="34">
        <f t="shared" si="505"/>
        <v>575</v>
      </c>
      <c r="K621" s="34">
        <f t="shared" si="506"/>
        <v>387</v>
      </c>
      <c r="L621" s="880">
        <f t="shared" si="507"/>
        <v>605</v>
      </c>
      <c r="M621" s="880">
        <f t="shared" si="508"/>
        <v>700</v>
      </c>
      <c r="N621" s="25">
        <f t="shared" si="547"/>
        <v>648.66666666666663</v>
      </c>
      <c r="P621" s="2">
        <f t="shared" si="510"/>
        <v>2028</v>
      </c>
      <c r="Q621" s="438">
        <f t="shared" si="548"/>
        <v>966</v>
      </c>
      <c r="R621" s="438">
        <f t="shared" si="549"/>
        <v>828</v>
      </c>
      <c r="S621" s="438">
        <f t="shared" si="549"/>
        <v>667</v>
      </c>
      <c r="T621" s="438">
        <f t="shared" si="549"/>
        <v>433</v>
      </c>
      <c r="U621" s="438">
        <f t="shared" si="549"/>
        <v>503</v>
      </c>
      <c r="V621" s="438">
        <f t="shared" si="549"/>
        <v>589</v>
      </c>
      <c r="W621" s="438">
        <f t="shared" si="549"/>
        <v>583</v>
      </c>
      <c r="X621" s="438">
        <f t="shared" si="550"/>
        <v>603</v>
      </c>
      <c r="Y621" s="438">
        <f t="shared" si="549"/>
        <v>575</v>
      </c>
      <c r="Z621" s="438">
        <f t="shared" si="549"/>
        <v>387</v>
      </c>
      <c r="AA621" s="438">
        <f t="shared" si="549"/>
        <v>515</v>
      </c>
      <c r="AB621" s="438">
        <f t="shared" si="549"/>
        <v>596</v>
      </c>
      <c r="AC621" s="25">
        <f t="shared" si="549"/>
        <v>604</v>
      </c>
      <c r="AE621" s="2">
        <f t="shared" si="552"/>
        <v>2028</v>
      </c>
      <c r="AF621" s="887">
        <f t="shared" si="525"/>
        <v>133</v>
      </c>
      <c r="AG621" s="887">
        <f t="shared" si="536"/>
        <v>112</v>
      </c>
      <c r="AH621" s="887">
        <f t="shared" si="537"/>
        <v>100</v>
      </c>
      <c r="AI621" s="1112">
        <f t="shared" si="538"/>
        <v>112</v>
      </c>
      <c r="AJ621" s="25">
        <f t="shared" si="539"/>
        <v>128</v>
      </c>
      <c r="AK621" s="25">
        <f t="shared" si="540"/>
        <v>128</v>
      </c>
      <c r="AL621" s="25">
        <f t="shared" si="541"/>
        <v>131</v>
      </c>
      <c r="AM621" s="25">
        <f t="shared" si="542"/>
        <v>135</v>
      </c>
      <c r="AN621" s="25">
        <f t="shared" si="543"/>
        <v>121</v>
      </c>
      <c r="AO621" s="1113">
        <f t="shared" si="544"/>
        <v>118</v>
      </c>
      <c r="AP621" s="887">
        <f t="shared" si="545"/>
        <v>90</v>
      </c>
      <c r="AQ621" s="887">
        <f t="shared" si="546"/>
        <v>104</v>
      </c>
      <c r="AR621" s="25">
        <f t="shared" si="551"/>
        <v>117.66666666666667</v>
      </c>
      <c r="AT621" s="2">
        <f t="shared" si="553"/>
        <v>2028</v>
      </c>
      <c r="AU621" s="887">
        <f>[29]Breakdown!B97+[29]Breakdown!B134</f>
        <v>805</v>
      </c>
      <c r="AV621" s="887">
        <f>[29]Breakdown!C97+[29]Breakdown!C134</f>
        <v>667.24984603873486</v>
      </c>
      <c r="AW621" s="887">
        <f>[29]Breakdown!D97+[29]Breakdown!D134</f>
        <v>505.46337649728207</v>
      </c>
      <c r="AX621" s="887">
        <f>[29]Breakdown!E97+[29]Breakdown!E134</f>
        <v>269.87929057050729</v>
      </c>
      <c r="AY621" s="887">
        <f>[29]Breakdown!F97+[29]Breakdown!F134</f>
        <v>339.35560300750234</v>
      </c>
      <c r="AZ621" s="887">
        <f>[29]Breakdown!G97+[29]Breakdown!G134</f>
        <v>424.82065460675989</v>
      </c>
      <c r="BA621" s="887">
        <f>[29]Breakdown!H97+[29]Breakdown!H134</f>
        <v>418.375976265639</v>
      </c>
      <c r="BB621" s="887">
        <f>[29]Breakdown!I97+[29]Breakdown!I134</f>
        <v>438</v>
      </c>
      <c r="BC621" s="887">
        <f>[29]Breakdown!J97+[29]Breakdown!J134</f>
        <v>409.36528378027435</v>
      </c>
      <c r="BD621" s="887">
        <f>[29]Breakdown!K97+[29]Breakdown!K134</f>
        <v>221.43352497706164</v>
      </c>
      <c r="BE621" s="887">
        <f>[29]Breakdown!L97+[29]Breakdown!L134</f>
        <v>351.08326988349108</v>
      </c>
      <c r="BF621" s="887">
        <f>[29]Breakdown!M97+[29]Breakdown!M134</f>
        <v>431.70318449462661</v>
      </c>
      <c r="BG621" s="25">
        <f t="shared" si="529"/>
        <v>440.14416751015665</v>
      </c>
      <c r="BI621" s="2">
        <f t="shared" si="554"/>
        <v>2028</v>
      </c>
      <c r="BJ621" s="887">
        <f>[29]Breakdown!B171</f>
        <v>0</v>
      </c>
      <c r="BK621" s="887">
        <f>[29]Breakdown!C171</f>
        <v>0</v>
      </c>
      <c r="BL621" s="887">
        <f>[29]Breakdown!D171</f>
        <v>0</v>
      </c>
      <c r="BM621" s="887">
        <f>[29]Breakdown!E171</f>
        <v>2</v>
      </c>
      <c r="BN621" s="887">
        <f>[29]Breakdown!F171</f>
        <v>2</v>
      </c>
      <c r="BO621" s="887">
        <f>[29]Breakdown!G171</f>
        <v>2</v>
      </c>
      <c r="BP621" s="887">
        <f>[29]Breakdown!H171</f>
        <v>2</v>
      </c>
      <c r="BQ621" s="887">
        <f>[29]Breakdown!I171</f>
        <v>2</v>
      </c>
      <c r="BR621" s="887">
        <f>[29]Breakdown!J171</f>
        <v>2</v>
      </c>
      <c r="BS621" s="887">
        <f>[29]Breakdown!K171</f>
        <v>2</v>
      </c>
      <c r="BT621" s="887">
        <f>[29]Breakdown!L171</f>
        <v>0</v>
      </c>
      <c r="BU621" s="887">
        <f>[29]Breakdown!M171</f>
        <v>0</v>
      </c>
      <c r="BV621" s="25">
        <f t="shared" si="557"/>
        <v>1.1666666666666667</v>
      </c>
      <c r="BX621" s="2">
        <f t="shared" si="555"/>
        <v>2028</v>
      </c>
      <c r="BY621" s="887">
        <f>[29]Breakdown!B208</f>
        <v>160.54518592262323</v>
      </c>
      <c r="BZ621" s="887">
        <f>[29]Breakdown!C208</f>
        <v>160.89821473330448</v>
      </c>
      <c r="CA621" s="887">
        <f>[29]Breakdown!D208</f>
        <v>161.25124354398574</v>
      </c>
      <c r="CB621" s="887">
        <f>[29]Breakdown!E208</f>
        <v>161.60427235466699</v>
      </c>
      <c r="CC621" s="887">
        <f>[29]Breakdown!F208</f>
        <v>161.95730116534824</v>
      </c>
      <c r="CD621" s="887">
        <f>[29]Breakdown!G208</f>
        <v>162.31032997602949</v>
      </c>
      <c r="CE621" s="887">
        <f>[29]Breakdown!H208</f>
        <v>162.66335878671075</v>
      </c>
      <c r="CF621" s="887">
        <f>[29]Breakdown!I208</f>
        <v>163.016387597392</v>
      </c>
      <c r="CG621" s="887">
        <f>[29]Breakdown!J208</f>
        <v>163.36941640807325</v>
      </c>
      <c r="CH621" s="887">
        <f>[29]Breakdown!K208</f>
        <v>163.7224452187545</v>
      </c>
      <c r="CI621" s="887">
        <f>[29]Breakdown!L208</f>
        <v>164.07547402943575</v>
      </c>
      <c r="CJ621" s="887">
        <f>[29]Breakdown!M208</f>
        <v>164.42850284011701</v>
      </c>
      <c r="CK621" s="25">
        <f t="shared" si="533"/>
        <v>162.4868443813701</v>
      </c>
      <c r="CM621" s="2">
        <f t="shared" si="556"/>
        <v>2028</v>
      </c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</row>
    <row r="622" spans="1:119">
      <c r="A622" s="2">
        <f t="shared" si="535"/>
        <v>2029</v>
      </c>
      <c r="B622" s="880">
        <f t="shared" si="497"/>
        <v>1113</v>
      </c>
      <c r="C622" s="880">
        <f t="shared" si="498"/>
        <v>953</v>
      </c>
      <c r="D622" s="880">
        <f t="shared" si="499"/>
        <v>777</v>
      </c>
      <c r="E622" s="34">
        <f t="shared" si="500"/>
        <v>441</v>
      </c>
      <c r="F622" s="34">
        <f t="shared" si="501"/>
        <v>511</v>
      </c>
      <c r="G622" s="34">
        <f t="shared" si="502"/>
        <v>598</v>
      </c>
      <c r="H622" s="34">
        <f t="shared" si="503"/>
        <v>592</v>
      </c>
      <c r="I622" s="34">
        <f t="shared" si="504"/>
        <v>612</v>
      </c>
      <c r="J622" s="34">
        <f t="shared" si="505"/>
        <v>584</v>
      </c>
      <c r="K622" s="34">
        <f t="shared" si="506"/>
        <v>394</v>
      </c>
      <c r="L622" s="880">
        <f t="shared" si="507"/>
        <v>613</v>
      </c>
      <c r="M622" s="880">
        <f t="shared" si="508"/>
        <v>710</v>
      </c>
      <c r="N622" s="25">
        <f t="shared" si="547"/>
        <v>658.16666666666663</v>
      </c>
      <c r="P622" s="2">
        <f t="shared" si="510"/>
        <v>2029</v>
      </c>
      <c r="Q622" s="438">
        <f t="shared" si="548"/>
        <v>979</v>
      </c>
      <c r="R622" s="438">
        <f t="shared" si="549"/>
        <v>840</v>
      </c>
      <c r="S622" s="438">
        <f t="shared" si="549"/>
        <v>677</v>
      </c>
      <c r="T622" s="438">
        <f t="shared" si="549"/>
        <v>441</v>
      </c>
      <c r="U622" s="438">
        <f t="shared" si="549"/>
        <v>511</v>
      </c>
      <c r="V622" s="438">
        <f t="shared" si="549"/>
        <v>598</v>
      </c>
      <c r="W622" s="438">
        <f t="shared" si="549"/>
        <v>592</v>
      </c>
      <c r="X622" s="438">
        <f t="shared" si="550"/>
        <v>612</v>
      </c>
      <c r="Y622" s="438">
        <f t="shared" si="549"/>
        <v>584</v>
      </c>
      <c r="Z622" s="438">
        <f t="shared" si="549"/>
        <v>394</v>
      </c>
      <c r="AA622" s="438">
        <f t="shared" si="549"/>
        <v>523</v>
      </c>
      <c r="AB622" s="438">
        <f t="shared" si="549"/>
        <v>605</v>
      </c>
      <c r="AC622" s="25">
        <f t="shared" si="549"/>
        <v>613</v>
      </c>
      <c r="AE622" s="2">
        <f t="shared" si="552"/>
        <v>2029</v>
      </c>
      <c r="AF622" s="887">
        <f t="shared" si="525"/>
        <v>134</v>
      </c>
      <c r="AG622" s="887">
        <f t="shared" si="536"/>
        <v>113</v>
      </c>
      <c r="AH622" s="887">
        <f t="shared" si="537"/>
        <v>100</v>
      </c>
      <c r="AI622" s="1112">
        <f t="shared" si="538"/>
        <v>113</v>
      </c>
      <c r="AJ622" s="25">
        <f t="shared" si="539"/>
        <v>130</v>
      </c>
      <c r="AK622" s="25">
        <f t="shared" si="540"/>
        <v>129</v>
      </c>
      <c r="AL622" s="25">
        <f t="shared" si="541"/>
        <v>132</v>
      </c>
      <c r="AM622" s="25">
        <f t="shared" si="542"/>
        <v>136</v>
      </c>
      <c r="AN622" s="25">
        <f t="shared" si="543"/>
        <v>122</v>
      </c>
      <c r="AO622" s="1113">
        <f t="shared" si="544"/>
        <v>119</v>
      </c>
      <c r="AP622" s="887">
        <f t="shared" si="545"/>
        <v>90</v>
      </c>
      <c r="AQ622" s="887">
        <f t="shared" si="546"/>
        <v>105</v>
      </c>
      <c r="AR622" s="25">
        <f t="shared" si="551"/>
        <v>118.58333333333333</v>
      </c>
      <c r="AT622" s="2">
        <f t="shared" si="553"/>
        <v>2029</v>
      </c>
      <c r="AU622" s="887">
        <f>[29]Breakdown!B98+[29]Breakdown!B135</f>
        <v>814</v>
      </c>
      <c r="AV622" s="887">
        <f>[29]Breakdown!C98+[29]Breakdown!C135</f>
        <v>674.70978220562768</v>
      </c>
      <c r="AW622" s="887">
        <f>[29]Breakdown!D98+[29]Breakdown!D135</f>
        <v>511.11451983700317</v>
      </c>
      <c r="AX622" s="887">
        <f>[29]Breakdown!E98+[29]Breakdown!E135</f>
        <v>272.96010438980534</v>
      </c>
      <c r="AY622" s="887">
        <f>[29]Breakdown!F98+[29]Breakdown!F135</f>
        <v>343.22952541626375</v>
      </c>
      <c r="AZ622" s="887">
        <f>[29]Breakdown!G98+[29]Breakdown!G135</f>
        <v>429.67020545843519</v>
      </c>
      <c r="BA622" s="887">
        <f>[29]Breakdown!H98+[29]Breakdown!H135</f>
        <v>423.15195772985862</v>
      </c>
      <c r="BB622" s="887">
        <f>[29]Breakdown!I98+[29]Breakdown!I135</f>
        <v>443</v>
      </c>
      <c r="BC622" s="887">
        <f>[29]Breakdown!J98+[29]Breakdown!J135</f>
        <v>414.03840345813143</v>
      </c>
      <c r="BD622" s="887">
        <f>[29]Breakdown!K98+[29]Breakdown!K135</f>
        <v>223.9613049425532</v>
      </c>
      <c r="BE622" s="887">
        <f>[29]Breakdown!L98+[29]Breakdown!L135</f>
        <v>355.00842445361707</v>
      </c>
      <c r="BF622" s="887">
        <f>[29]Breakdown!M98+[29]Breakdown!M135</f>
        <v>436.5296797250013</v>
      </c>
      <c r="BG622" s="25">
        <f t="shared" si="529"/>
        <v>445.1144923013581</v>
      </c>
      <c r="BI622" s="2">
        <f t="shared" si="554"/>
        <v>2029</v>
      </c>
      <c r="BJ622" s="887">
        <f>[29]Breakdown!B172</f>
        <v>0</v>
      </c>
      <c r="BK622" s="887">
        <f>[29]Breakdown!C172</f>
        <v>0</v>
      </c>
      <c r="BL622" s="887">
        <f>[29]Breakdown!D172</f>
        <v>0</v>
      </c>
      <c r="BM622" s="887">
        <f>[29]Breakdown!E172</f>
        <v>2</v>
      </c>
      <c r="BN622" s="887">
        <f>[29]Breakdown!F172</f>
        <v>2</v>
      </c>
      <c r="BO622" s="887">
        <f>[29]Breakdown!G172</f>
        <v>2</v>
      </c>
      <c r="BP622" s="887">
        <f>[29]Breakdown!H172</f>
        <v>2</v>
      </c>
      <c r="BQ622" s="887">
        <f>[29]Breakdown!I172</f>
        <v>2</v>
      </c>
      <c r="BR622" s="887">
        <f>[29]Breakdown!J172</f>
        <v>2</v>
      </c>
      <c r="BS622" s="887">
        <f>[29]Breakdown!K172</f>
        <v>2</v>
      </c>
      <c r="BT622" s="887">
        <f>[29]Breakdown!L172</f>
        <v>0</v>
      </c>
      <c r="BU622" s="887">
        <f>[29]Breakdown!M172</f>
        <v>0</v>
      </c>
      <c r="BV622" s="25">
        <f t="shared" si="557"/>
        <v>1.1666666666666667</v>
      </c>
      <c r="BX622" s="2">
        <f t="shared" si="555"/>
        <v>2029</v>
      </c>
      <c r="BY622" s="887">
        <f>[29]Breakdown!B209</f>
        <v>164.78153165079812</v>
      </c>
      <c r="BZ622" s="887">
        <f>[29]Breakdown!C209</f>
        <v>165.13456046147937</v>
      </c>
      <c r="CA622" s="887">
        <f>[29]Breakdown!D209</f>
        <v>165.48758927216062</v>
      </c>
      <c r="CB622" s="887">
        <f>[29]Breakdown!E209</f>
        <v>165.84061808284187</v>
      </c>
      <c r="CC622" s="887">
        <f>[29]Breakdown!F209</f>
        <v>166.19364689352312</v>
      </c>
      <c r="CD622" s="887">
        <f>[29]Breakdown!G209</f>
        <v>166.54667570420438</v>
      </c>
      <c r="CE622" s="887">
        <f>[29]Breakdown!H209</f>
        <v>166.89970451488563</v>
      </c>
      <c r="CF622" s="887">
        <f>[29]Breakdown!I209</f>
        <v>167.25273332556688</v>
      </c>
      <c r="CG622" s="887">
        <f>[29]Breakdown!J209</f>
        <v>167.60576213624813</v>
      </c>
      <c r="CH622" s="887">
        <f>[29]Breakdown!K209</f>
        <v>167.95879094692938</v>
      </c>
      <c r="CI622" s="887">
        <f>[29]Breakdown!L209</f>
        <v>168.31181975761064</v>
      </c>
      <c r="CJ622" s="887">
        <f>[29]Breakdown!M209</f>
        <v>168.66484856829189</v>
      </c>
      <c r="CK622" s="25">
        <f t="shared" si="533"/>
        <v>166.72319010954502</v>
      </c>
      <c r="CM622" s="2">
        <f t="shared" si="556"/>
        <v>2029</v>
      </c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</row>
    <row r="623" spans="1:119">
      <c r="A623" s="2">
        <f t="shared" si="535"/>
        <v>2030</v>
      </c>
      <c r="B623" s="880">
        <f t="shared" si="497"/>
        <v>1126</v>
      </c>
      <c r="C623" s="880">
        <f t="shared" si="498"/>
        <v>965</v>
      </c>
      <c r="D623" s="880">
        <f t="shared" si="499"/>
        <v>787</v>
      </c>
      <c r="E623" s="34">
        <f t="shared" si="500"/>
        <v>448</v>
      </c>
      <c r="F623" s="34">
        <f t="shared" si="501"/>
        <v>520</v>
      </c>
      <c r="G623" s="34">
        <f t="shared" si="502"/>
        <v>607</v>
      </c>
      <c r="H623" s="34">
        <f t="shared" si="503"/>
        <v>601</v>
      </c>
      <c r="I623" s="34">
        <f t="shared" si="504"/>
        <v>621</v>
      </c>
      <c r="J623" s="34">
        <f t="shared" si="505"/>
        <v>593</v>
      </c>
      <c r="K623" s="34">
        <f t="shared" si="506"/>
        <v>401</v>
      </c>
      <c r="L623" s="880">
        <f t="shared" si="507"/>
        <v>622</v>
      </c>
      <c r="M623" s="880">
        <f t="shared" si="508"/>
        <v>719</v>
      </c>
      <c r="N623" s="25">
        <f t="shared" si="547"/>
        <v>667.5</v>
      </c>
      <c r="P623" s="2">
        <f t="shared" si="510"/>
        <v>2030</v>
      </c>
      <c r="Q623" s="438">
        <f t="shared" si="548"/>
        <v>992</v>
      </c>
      <c r="R623" s="438">
        <f t="shared" si="549"/>
        <v>852</v>
      </c>
      <c r="S623" s="438">
        <f t="shared" si="549"/>
        <v>686</v>
      </c>
      <c r="T623" s="438">
        <f t="shared" si="549"/>
        <v>448</v>
      </c>
      <c r="U623" s="438">
        <f t="shared" si="549"/>
        <v>520</v>
      </c>
      <c r="V623" s="438">
        <f t="shared" si="549"/>
        <v>607</v>
      </c>
      <c r="W623" s="438">
        <f t="shared" si="549"/>
        <v>601</v>
      </c>
      <c r="X623" s="438">
        <f t="shared" si="550"/>
        <v>621</v>
      </c>
      <c r="Y623" s="438">
        <f t="shared" si="549"/>
        <v>593</v>
      </c>
      <c r="Z623" s="438">
        <f t="shared" si="549"/>
        <v>401</v>
      </c>
      <c r="AA623" s="438">
        <f t="shared" si="549"/>
        <v>531</v>
      </c>
      <c r="AB623" s="438">
        <f t="shared" si="549"/>
        <v>614</v>
      </c>
      <c r="AC623" s="25">
        <f t="shared" si="549"/>
        <v>622</v>
      </c>
      <c r="AE623" s="2">
        <f t="shared" si="552"/>
        <v>2030</v>
      </c>
      <c r="AF623" s="887">
        <f t="shared" si="525"/>
        <v>134</v>
      </c>
      <c r="AG623" s="887">
        <f t="shared" si="536"/>
        <v>113</v>
      </c>
      <c r="AH623" s="887">
        <f t="shared" si="537"/>
        <v>101</v>
      </c>
      <c r="AI623" s="1112">
        <f t="shared" si="538"/>
        <v>114</v>
      </c>
      <c r="AJ623" s="25">
        <f t="shared" si="539"/>
        <v>131</v>
      </c>
      <c r="AK623" s="25">
        <f t="shared" si="540"/>
        <v>130</v>
      </c>
      <c r="AL623" s="25">
        <f t="shared" si="541"/>
        <v>133</v>
      </c>
      <c r="AM623" s="25">
        <f t="shared" si="542"/>
        <v>137</v>
      </c>
      <c r="AN623" s="25">
        <f t="shared" si="543"/>
        <v>123</v>
      </c>
      <c r="AO623" s="1113">
        <f t="shared" si="544"/>
        <v>120</v>
      </c>
      <c r="AP623" s="887">
        <f t="shared" si="545"/>
        <v>91</v>
      </c>
      <c r="AQ623" s="887">
        <f t="shared" si="546"/>
        <v>105</v>
      </c>
      <c r="AR623" s="25">
        <f t="shared" si="551"/>
        <v>119.33333333333333</v>
      </c>
      <c r="AT623" s="2">
        <f t="shared" si="553"/>
        <v>2030</v>
      </c>
      <c r="AU623" s="887">
        <f>[29]Breakdown!B99+[29]Breakdown!B136</f>
        <v>823</v>
      </c>
      <c r="AV623" s="887">
        <f>[29]Breakdown!C99+[29]Breakdown!C136</f>
        <v>682.16971837252026</v>
      </c>
      <c r="AW623" s="887">
        <f>[29]Breakdown!D99+[29]Breakdown!D136</f>
        <v>516.76566317672439</v>
      </c>
      <c r="AX623" s="887">
        <f>[29]Breakdown!E99+[29]Breakdown!E136</f>
        <v>276.04091820910338</v>
      </c>
      <c r="AY623" s="887">
        <f>[29]Breakdown!F99+[29]Breakdown!F136</f>
        <v>347.10344782502517</v>
      </c>
      <c r="AZ623" s="887">
        <f>[29]Breakdown!G99+[29]Breakdown!G136</f>
        <v>434.51975631011044</v>
      </c>
      <c r="BA623" s="887">
        <f>[29]Breakdown!H99+[29]Breakdown!H136</f>
        <v>427.92793919407819</v>
      </c>
      <c r="BB623" s="887">
        <f>[29]Breakdown!I99+[29]Breakdown!I136</f>
        <v>448</v>
      </c>
      <c r="BC623" s="887">
        <f>[29]Breakdown!J99+[29]Breakdown!J136</f>
        <v>418.7115231359885</v>
      </c>
      <c r="BD623" s="887">
        <f>[29]Breakdown!K99+[29]Breakdown!K136</f>
        <v>226.48908490804473</v>
      </c>
      <c r="BE623" s="887">
        <f>[29]Breakdown!L99+[29]Breakdown!L136</f>
        <v>358.93357902374305</v>
      </c>
      <c r="BF623" s="887">
        <f>[29]Breakdown!M99+[29]Breakdown!M136</f>
        <v>441.3561749553761</v>
      </c>
      <c r="BG623" s="25">
        <f t="shared" si="529"/>
        <v>450.0848170925596</v>
      </c>
      <c r="BI623" s="2">
        <f t="shared" si="554"/>
        <v>2030</v>
      </c>
      <c r="BJ623" s="887">
        <f>[29]Breakdown!B173</f>
        <v>0</v>
      </c>
      <c r="BK623" s="887">
        <f>[29]Breakdown!C173</f>
        <v>0</v>
      </c>
      <c r="BL623" s="887">
        <f>[29]Breakdown!D173</f>
        <v>0</v>
      </c>
      <c r="BM623" s="887">
        <f>[29]Breakdown!E173</f>
        <v>2</v>
      </c>
      <c r="BN623" s="887">
        <f>[29]Breakdown!F173</f>
        <v>2</v>
      </c>
      <c r="BO623" s="887">
        <f>[29]Breakdown!G173</f>
        <v>2</v>
      </c>
      <c r="BP623" s="887">
        <f>[29]Breakdown!H173</f>
        <v>2</v>
      </c>
      <c r="BQ623" s="887">
        <f>[29]Breakdown!I173</f>
        <v>2</v>
      </c>
      <c r="BR623" s="887">
        <f>[29]Breakdown!J173</f>
        <v>2</v>
      </c>
      <c r="BS623" s="887">
        <f>[29]Breakdown!K173</f>
        <v>2</v>
      </c>
      <c r="BT623" s="887">
        <f>[29]Breakdown!L173</f>
        <v>0</v>
      </c>
      <c r="BU623" s="887">
        <f>[29]Breakdown!M173</f>
        <v>0</v>
      </c>
      <c r="BV623" s="25">
        <f t="shared" si="557"/>
        <v>1.1666666666666667</v>
      </c>
      <c r="BX623" s="2">
        <f t="shared" si="555"/>
        <v>2030</v>
      </c>
      <c r="BY623" s="887">
        <f>[29]Breakdown!B210</f>
        <v>169.017877378973</v>
      </c>
      <c r="BZ623" s="887">
        <f>[29]Breakdown!C210</f>
        <v>169.37090618965425</v>
      </c>
      <c r="CA623" s="887">
        <f>[29]Breakdown!D210</f>
        <v>169.7239350003355</v>
      </c>
      <c r="CB623" s="887">
        <f>[29]Breakdown!E210</f>
        <v>170.07696381101675</v>
      </c>
      <c r="CC623" s="887">
        <f>[29]Breakdown!F210</f>
        <v>170.42999262169801</v>
      </c>
      <c r="CD623" s="887">
        <f>[29]Breakdown!G210</f>
        <v>170.78302143237926</v>
      </c>
      <c r="CE623" s="887">
        <f>[29]Breakdown!H210</f>
        <v>171.13605024306051</v>
      </c>
      <c r="CF623" s="887">
        <f>[29]Breakdown!I210</f>
        <v>171.48907905374176</v>
      </c>
      <c r="CG623" s="887">
        <f>[29]Breakdown!J210</f>
        <v>171.84210786442301</v>
      </c>
      <c r="CH623" s="887">
        <f>[29]Breakdown!K210</f>
        <v>172.19513667510427</v>
      </c>
      <c r="CI623" s="887">
        <f>[29]Breakdown!L210</f>
        <v>172.54816548578552</v>
      </c>
      <c r="CJ623" s="887">
        <f>[29]Breakdown!M210</f>
        <v>172.90119429646677</v>
      </c>
      <c r="CK623" s="25">
        <f t="shared" si="533"/>
        <v>170.95953583771987</v>
      </c>
      <c r="CM623" s="2">
        <f t="shared" si="556"/>
        <v>2030</v>
      </c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</row>
    <row r="624" spans="1:119">
      <c r="A624" s="2">
        <f t="shared" si="535"/>
        <v>2031</v>
      </c>
      <c r="B624" s="880">
        <f t="shared" si="497"/>
        <v>1140</v>
      </c>
      <c r="C624" s="880">
        <f t="shared" si="498"/>
        <v>977</v>
      </c>
      <c r="D624" s="880">
        <f t="shared" si="499"/>
        <v>798</v>
      </c>
      <c r="E624" s="34">
        <f t="shared" ref="E624:K624" si="558">T624</f>
        <v>455</v>
      </c>
      <c r="F624" s="34">
        <f t="shared" si="558"/>
        <v>528</v>
      </c>
      <c r="G624" s="34">
        <f t="shared" si="558"/>
        <v>616</v>
      </c>
      <c r="H624" s="34">
        <f t="shared" si="558"/>
        <v>610</v>
      </c>
      <c r="I624" s="34">
        <f t="shared" si="558"/>
        <v>631</v>
      </c>
      <c r="J624" s="34">
        <f t="shared" si="558"/>
        <v>601</v>
      </c>
      <c r="K624" s="34">
        <f t="shared" si="558"/>
        <v>407</v>
      </c>
      <c r="L624" s="880">
        <f t="shared" si="507"/>
        <v>631</v>
      </c>
      <c r="M624" s="880">
        <f t="shared" si="508"/>
        <v>728</v>
      </c>
      <c r="N624" s="25">
        <f>AVERAGE(B624:M624)</f>
        <v>676.83333333333337</v>
      </c>
      <c r="P624" s="2">
        <f t="shared" si="510"/>
        <v>2031</v>
      </c>
      <c r="Q624" s="438">
        <f t="shared" ref="Q624:AC624" si="559">ROUND(AU624+BJ624+BY624,0)</f>
        <v>1005</v>
      </c>
      <c r="R624" s="438">
        <f t="shared" si="559"/>
        <v>863</v>
      </c>
      <c r="S624" s="438">
        <f t="shared" si="559"/>
        <v>696</v>
      </c>
      <c r="T624" s="438">
        <f t="shared" si="559"/>
        <v>455</v>
      </c>
      <c r="U624" s="438">
        <f t="shared" si="559"/>
        <v>528</v>
      </c>
      <c r="V624" s="438">
        <f t="shared" si="559"/>
        <v>616</v>
      </c>
      <c r="W624" s="438">
        <f t="shared" si="559"/>
        <v>610</v>
      </c>
      <c r="X624" s="438">
        <f t="shared" si="559"/>
        <v>631</v>
      </c>
      <c r="Y624" s="438">
        <f t="shared" si="559"/>
        <v>601</v>
      </c>
      <c r="Z624" s="438">
        <f t="shared" si="559"/>
        <v>407</v>
      </c>
      <c r="AA624" s="438">
        <f t="shared" si="559"/>
        <v>540</v>
      </c>
      <c r="AB624" s="438">
        <f t="shared" si="559"/>
        <v>623</v>
      </c>
      <c r="AC624" s="25">
        <f t="shared" si="559"/>
        <v>631</v>
      </c>
      <c r="AE624" s="2">
        <f>P624</f>
        <v>2031</v>
      </c>
      <c r="AF624" s="887">
        <f t="shared" si="525"/>
        <v>135</v>
      </c>
      <c r="AG624" s="887">
        <f t="shared" si="536"/>
        <v>114</v>
      </c>
      <c r="AH624" s="887">
        <f t="shared" si="537"/>
        <v>102</v>
      </c>
      <c r="AI624" s="1112">
        <f t="shared" si="538"/>
        <v>115</v>
      </c>
      <c r="AJ624" s="25">
        <f t="shared" si="539"/>
        <v>132</v>
      </c>
      <c r="AK624" s="25">
        <f t="shared" si="540"/>
        <v>131</v>
      </c>
      <c r="AL624" s="25">
        <f t="shared" si="541"/>
        <v>134</v>
      </c>
      <c r="AM624" s="25">
        <f t="shared" si="542"/>
        <v>138</v>
      </c>
      <c r="AN624" s="25">
        <f t="shared" si="543"/>
        <v>123</v>
      </c>
      <c r="AO624" s="1113">
        <f t="shared" si="544"/>
        <v>121</v>
      </c>
      <c r="AP624" s="887">
        <f t="shared" si="545"/>
        <v>91</v>
      </c>
      <c r="AQ624" s="887">
        <f t="shared" si="546"/>
        <v>105</v>
      </c>
      <c r="AR624" s="25">
        <f>AVERAGE(AF624:AQ624)</f>
        <v>120.08333333333333</v>
      </c>
      <c r="AT624" s="2">
        <f>AE624</f>
        <v>2031</v>
      </c>
      <c r="AU624" s="887">
        <f>[29]Breakdown!B100+[29]Breakdown!B137</f>
        <v>832</v>
      </c>
      <c r="AV624" s="887">
        <f>[29]Breakdown!C100+[29]Breakdown!C137</f>
        <v>689.62965453941297</v>
      </c>
      <c r="AW624" s="887">
        <f>[29]Breakdown!D100+[29]Breakdown!D137</f>
        <v>522.4168065164456</v>
      </c>
      <c r="AX624" s="887">
        <f>[29]Breakdown!E100+[29]Breakdown!E137</f>
        <v>279.12173202840142</v>
      </c>
      <c r="AY624" s="887">
        <f>[29]Breakdown!F100+[29]Breakdown!F137</f>
        <v>350.97737023378659</v>
      </c>
      <c r="AZ624" s="887">
        <f>[29]Breakdown!G100+[29]Breakdown!G137</f>
        <v>439.3693071617858</v>
      </c>
      <c r="BA624" s="887">
        <f>[29]Breakdown!H100+[29]Breakdown!H137</f>
        <v>432.70392065829787</v>
      </c>
      <c r="BB624" s="887">
        <f>[29]Breakdown!I100+[29]Breakdown!I137</f>
        <v>453</v>
      </c>
      <c r="BC624" s="887">
        <f>[29]Breakdown!J100+[29]Breakdown!J137</f>
        <v>423.3846428138454</v>
      </c>
      <c r="BD624" s="887">
        <f>[29]Breakdown!K100+[29]Breakdown!K137</f>
        <v>229.01686487353632</v>
      </c>
      <c r="BE624" s="887">
        <f>[29]Breakdown!L100+[29]Breakdown!L137</f>
        <v>362.85873359386903</v>
      </c>
      <c r="BF624" s="887">
        <f>[29]Breakdown!M100+[29]Breakdown!M137</f>
        <v>446.18267018575079</v>
      </c>
      <c r="BG624" s="25">
        <f t="shared" si="529"/>
        <v>455.055141883761</v>
      </c>
      <c r="BI624" s="2">
        <f>AT624</f>
        <v>2031</v>
      </c>
      <c r="BJ624" s="887">
        <f>[29]Breakdown!B174</f>
        <v>0</v>
      </c>
      <c r="BK624" s="887">
        <f>[29]Breakdown!C174</f>
        <v>0</v>
      </c>
      <c r="BL624" s="887">
        <f>[29]Breakdown!D174</f>
        <v>0</v>
      </c>
      <c r="BM624" s="887">
        <f>[29]Breakdown!E174</f>
        <v>2</v>
      </c>
      <c r="BN624" s="887">
        <f>[29]Breakdown!F174</f>
        <v>2</v>
      </c>
      <c r="BO624" s="887">
        <f>[29]Breakdown!G174</f>
        <v>2</v>
      </c>
      <c r="BP624" s="887">
        <f>[29]Breakdown!H174</f>
        <v>2</v>
      </c>
      <c r="BQ624" s="887">
        <f>[29]Breakdown!I174</f>
        <v>2</v>
      </c>
      <c r="BR624" s="887">
        <f>[29]Breakdown!J174</f>
        <v>2</v>
      </c>
      <c r="BS624" s="887">
        <f>[29]Breakdown!K174</f>
        <v>2</v>
      </c>
      <c r="BT624" s="887">
        <f>[29]Breakdown!L174</f>
        <v>0</v>
      </c>
      <c r="BU624" s="887">
        <f>[29]Breakdown!M174</f>
        <v>0</v>
      </c>
      <c r="BV624" s="25">
        <f t="shared" ref="BV624:BV633" si="560">AVERAGE(BJ624:BU624)</f>
        <v>1.1666666666666667</v>
      </c>
      <c r="BX624" s="2">
        <f>BI624</f>
        <v>2031</v>
      </c>
      <c r="BY624" s="887">
        <f>[29]Breakdown!B211</f>
        <v>173.25422310714788</v>
      </c>
      <c r="BZ624" s="887">
        <f>[29]Breakdown!C211</f>
        <v>173.60725191782913</v>
      </c>
      <c r="CA624" s="887">
        <f>[29]Breakdown!D211</f>
        <v>173.96028072851038</v>
      </c>
      <c r="CB624" s="887">
        <f>[29]Breakdown!E211</f>
        <v>174.31330953919164</v>
      </c>
      <c r="CC624" s="887">
        <f>[29]Breakdown!F211</f>
        <v>174.66633834987289</v>
      </c>
      <c r="CD624" s="887">
        <f>[29]Breakdown!G211</f>
        <v>175.01936716055414</v>
      </c>
      <c r="CE624" s="887">
        <f>[29]Breakdown!H211</f>
        <v>175.37239597123539</v>
      </c>
      <c r="CF624" s="887">
        <f>[29]Breakdown!I211</f>
        <v>175.72542478191664</v>
      </c>
      <c r="CG624" s="887">
        <f>[29]Breakdown!J211</f>
        <v>176.0784535925979</v>
      </c>
      <c r="CH624" s="887">
        <f>[29]Breakdown!K211</f>
        <v>176.43148240327915</v>
      </c>
      <c r="CI624" s="887">
        <f>[29]Breakdown!L211</f>
        <v>176.7845112139604</v>
      </c>
      <c r="CJ624" s="887">
        <f>[29]Breakdown!M211</f>
        <v>177.13754002464165</v>
      </c>
      <c r="CK624" s="25">
        <f t="shared" ref="CK624" si="561">AVERAGE(BY624:CJ624)</f>
        <v>175.19588156589478</v>
      </c>
      <c r="CM624" s="2">
        <f t="shared" si="556"/>
        <v>2031</v>
      </c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</row>
    <row r="625" spans="1:119">
      <c r="A625" s="2">
        <f t="shared" si="535"/>
        <v>2032</v>
      </c>
      <c r="B625" s="880">
        <f t="shared" ref="B625:B633" si="562">Q625+AF625</f>
        <v>1154</v>
      </c>
      <c r="C625" s="880">
        <f t="shared" ref="C625:C633" si="563">R625+AG625</f>
        <v>989</v>
      </c>
      <c r="D625" s="880">
        <f t="shared" ref="D625:D633" si="564">S625+AH625</f>
        <v>808</v>
      </c>
      <c r="E625" s="34">
        <f t="shared" ref="E625:E633" si="565">T625</f>
        <v>463</v>
      </c>
      <c r="F625" s="34">
        <f t="shared" ref="F625:F633" si="566">U625</f>
        <v>536</v>
      </c>
      <c r="G625" s="34">
        <f t="shared" ref="G625:G633" si="567">V625</f>
        <v>625</v>
      </c>
      <c r="H625" s="34">
        <f t="shared" ref="H625:H633" si="568">W625</f>
        <v>619</v>
      </c>
      <c r="I625" s="34">
        <f t="shared" ref="I625:I633" si="569">X625</f>
        <v>640</v>
      </c>
      <c r="J625" s="34">
        <f t="shared" ref="J625:J633" si="570">Y625</f>
        <v>610</v>
      </c>
      <c r="K625" s="34">
        <f t="shared" ref="K625:K633" si="571">Z625</f>
        <v>414</v>
      </c>
      <c r="L625" s="880">
        <f t="shared" ref="L625:L633" si="572">AA625+AP625</f>
        <v>639</v>
      </c>
      <c r="M625" s="880">
        <f t="shared" ref="M625:M633" si="573">AB625+AQ625</f>
        <v>738</v>
      </c>
      <c r="N625" s="25">
        <f t="shared" ref="N625:N633" si="574">AVERAGE(B625:M625)</f>
        <v>686.25</v>
      </c>
      <c r="P625" s="2">
        <f t="shared" ref="P625:P638" si="575">A625</f>
        <v>2032</v>
      </c>
      <c r="Q625" s="438">
        <f t="shared" ref="Q625:Q633" si="576">ROUND(AU625+BJ625+BY625,0)</f>
        <v>1018</v>
      </c>
      <c r="R625" s="438">
        <f t="shared" ref="R625:R633" si="577">ROUND(AV625+BK625+BZ625,0)</f>
        <v>875</v>
      </c>
      <c r="S625" s="438">
        <f t="shared" ref="S625:S633" si="578">ROUND(AW625+BL625+CA625,0)</f>
        <v>706</v>
      </c>
      <c r="T625" s="438">
        <f t="shared" ref="T625:T633" si="579">ROUND(AX625+BM625+CB625,0)</f>
        <v>463</v>
      </c>
      <c r="U625" s="438">
        <f t="shared" ref="U625:U633" si="580">ROUND(AY625+BN625+CC625,0)</f>
        <v>536</v>
      </c>
      <c r="V625" s="438">
        <f t="shared" ref="V625:V633" si="581">ROUND(AZ625+BO625+CD625,0)</f>
        <v>625</v>
      </c>
      <c r="W625" s="438">
        <f t="shared" ref="W625:W633" si="582">ROUND(BA625+BP625+CE625,0)</f>
        <v>619</v>
      </c>
      <c r="X625" s="438">
        <f t="shared" ref="X625:X633" si="583">ROUND(BB625+BQ625+CF625,0)</f>
        <v>640</v>
      </c>
      <c r="Y625" s="438">
        <f t="shared" ref="Y625:Y633" si="584">ROUND(BC625+BR625+CG625,0)</f>
        <v>610</v>
      </c>
      <c r="Z625" s="438">
        <f t="shared" ref="Z625:Z633" si="585">ROUND(BD625+BS625+CH625,0)</f>
        <v>414</v>
      </c>
      <c r="AA625" s="438">
        <f t="shared" ref="AA625:AA633" si="586">ROUND(BE625+BT625+CI625,0)</f>
        <v>548</v>
      </c>
      <c r="AB625" s="438">
        <f t="shared" ref="AB625:AB633" si="587">ROUND(BF625+BU625+CJ625,0)</f>
        <v>632</v>
      </c>
      <c r="AC625" s="25">
        <f t="shared" ref="AC625:AC633" si="588">ROUND(BG625+BV625+CK625,0)</f>
        <v>641</v>
      </c>
      <c r="AE625" s="2">
        <f t="shared" ref="AE625:AE638" si="589">P625</f>
        <v>2032</v>
      </c>
      <c r="AF625" s="887">
        <f t="shared" si="525"/>
        <v>136</v>
      </c>
      <c r="AG625" s="887">
        <f t="shared" si="536"/>
        <v>114</v>
      </c>
      <c r="AH625" s="887">
        <f t="shared" si="537"/>
        <v>102</v>
      </c>
      <c r="AI625" s="1112">
        <f t="shared" si="538"/>
        <v>115</v>
      </c>
      <c r="AJ625" s="25">
        <f t="shared" si="539"/>
        <v>132</v>
      </c>
      <c r="AK625" s="25">
        <f t="shared" si="540"/>
        <v>131</v>
      </c>
      <c r="AL625" s="25">
        <f t="shared" si="541"/>
        <v>135</v>
      </c>
      <c r="AM625" s="25">
        <f t="shared" si="542"/>
        <v>139</v>
      </c>
      <c r="AN625" s="25">
        <f t="shared" si="543"/>
        <v>124</v>
      </c>
      <c r="AO625" s="1113">
        <f t="shared" si="544"/>
        <v>122</v>
      </c>
      <c r="AP625" s="887">
        <f t="shared" si="545"/>
        <v>91</v>
      </c>
      <c r="AQ625" s="887">
        <f t="shared" si="546"/>
        <v>106</v>
      </c>
      <c r="AR625" s="25">
        <f t="shared" ref="AR625:AR633" si="590">AVERAGE(AF625:AQ625)</f>
        <v>120.58333333333333</v>
      </c>
      <c r="AT625" s="2">
        <f t="shared" ref="AT625:AT638" si="591">AE625</f>
        <v>2032</v>
      </c>
      <c r="AU625" s="887">
        <f>[29]Breakdown!B101+[29]Breakdown!B138</f>
        <v>841</v>
      </c>
      <c r="AV625" s="887">
        <f>[29]Breakdown!C101+[29]Breakdown!C138</f>
        <v>697.08959070630578</v>
      </c>
      <c r="AW625" s="887">
        <f>[29]Breakdown!D101+[29]Breakdown!D138</f>
        <v>528.06794985616682</v>
      </c>
      <c r="AX625" s="887">
        <f>[29]Breakdown!E101+[29]Breakdown!E138</f>
        <v>282.20254584769947</v>
      </c>
      <c r="AY625" s="887">
        <f>[29]Breakdown!F101+[29]Breakdown!F138</f>
        <v>354.85129264254795</v>
      </c>
      <c r="AZ625" s="887">
        <f>[29]Breakdown!G101+[29]Breakdown!G138</f>
        <v>444.2188580134611</v>
      </c>
      <c r="BA625" s="887">
        <f>[29]Breakdown!H101+[29]Breakdown!H138</f>
        <v>437.4799021225175</v>
      </c>
      <c r="BB625" s="887">
        <f>[29]Breakdown!I101+[29]Breakdown!I138</f>
        <v>458</v>
      </c>
      <c r="BC625" s="887">
        <f>[29]Breakdown!J101+[29]Breakdown!J138</f>
        <v>428.05776249170248</v>
      </c>
      <c r="BD625" s="887">
        <f>[29]Breakdown!K101+[29]Breakdown!K138</f>
        <v>231.54464483902788</v>
      </c>
      <c r="BE625" s="887">
        <f>[29]Breakdown!L101+[29]Breakdown!L138</f>
        <v>366.78388816399502</v>
      </c>
      <c r="BF625" s="887">
        <f>[29]Breakdown!M101+[29]Breakdown!M138</f>
        <v>451.0091654161256</v>
      </c>
      <c r="BG625" s="25">
        <f t="shared" ref="BG625:BG626" si="592">AVERAGE(AU625:BF625)</f>
        <v>460.02546667496244</v>
      </c>
      <c r="BI625" s="2">
        <f t="shared" ref="BI625:BI638" si="593">AT625</f>
        <v>2032</v>
      </c>
      <c r="BJ625" s="887">
        <f>[29]Breakdown!B175</f>
        <v>0</v>
      </c>
      <c r="BK625" s="887">
        <f>[29]Breakdown!C175</f>
        <v>0</v>
      </c>
      <c r="BL625" s="887">
        <f>[29]Breakdown!D175</f>
        <v>0</v>
      </c>
      <c r="BM625" s="887">
        <f>[29]Breakdown!E175</f>
        <v>2</v>
      </c>
      <c r="BN625" s="887">
        <f>[29]Breakdown!F175</f>
        <v>2</v>
      </c>
      <c r="BO625" s="887">
        <f>[29]Breakdown!G175</f>
        <v>2</v>
      </c>
      <c r="BP625" s="887">
        <f>[29]Breakdown!H175</f>
        <v>2</v>
      </c>
      <c r="BQ625" s="887">
        <f>[29]Breakdown!I175</f>
        <v>2</v>
      </c>
      <c r="BR625" s="887">
        <f>[29]Breakdown!J175</f>
        <v>2</v>
      </c>
      <c r="BS625" s="887">
        <f>[29]Breakdown!K175</f>
        <v>2</v>
      </c>
      <c r="BT625" s="887">
        <f>[29]Breakdown!L175</f>
        <v>0</v>
      </c>
      <c r="BU625" s="887">
        <f>[29]Breakdown!M175</f>
        <v>0</v>
      </c>
      <c r="BV625" s="25">
        <f t="shared" si="560"/>
        <v>1.1666666666666667</v>
      </c>
      <c r="BX625" s="2">
        <f t="shared" ref="BX625:BX638" si="594">BI625</f>
        <v>2032</v>
      </c>
      <c r="BY625" s="887">
        <f>[29]Breakdown!B212</f>
        <v>177.49056883532276</v>
      </c>
      <c r="BZ625" s="887">
        <f>[29]Breakdown!C212</f>
        <v>177.84359764600401</v>
      </c>
      <c r="CA625" s="887">
        <f>[29]Breakdown!D212</f>
        <v>178.19662645668527</v>
      </c>
      <c r="CB625" s="887">
        <f>[29]Breakdown!E212</f>
        <v>178.54965526736652</v>
      </c>
      <c r="CC625" s="887">
        <f>[29]Breakdown!F212</f>
        <v>178.90268407804777</v>
      </c>
      <c r="CD625" s="887">
        <f>[29]Breakdown!G212</f>
        <v>179.25571288872902</v>
      </c>
      <c r="CE625" s="887">
        <f>[29]Breakdown!H212</f>
        <v>179.60874169941027</v>
      </c>
      <c r="CF625" s="887">
        <f>[29]Breakdown!I212</f>
        <v>179.96177051009153</v>
      </c>
      <c r="CG625" s="887">
        <f>[29]Breakdown!J212</f>
        <v>180.31479932077278</v>
      </c>
      <c r="CH625" s="887">
        <f>[29]Breakdown!K212</f>
        <v>180.66782813145403</v>
      </c>
      <c r="CI625" s="887">
        <f>[29]Breakdown!L212</f>
        <v>181.02085694213528</v>
      </c>
      <c r="CJ625" s="887">
        <f>[29]Breakdown!M212</f>
        <v>181.37388575281653</v>
      </c>
      <c r="CK625" s="25">
        <f t="shared" ref="CK625:CK633" si="595">AVERAGE(BY625:CJ625)</f>
        <v>179.43222729406966</v>
      </c>
      <c r="CM625" s="2">
        <f t="shared" si="556"/>
        <v>2032</v>
      </c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</row>
    <row r="626" spans="1:119">
      <c r="A626" s="2">
        <f t="shared" si="535"/>
        <v>2033</v>
      </c>
      <c r="B626" s="880">
        <f t="shared" si="562"/>
        <v>1169</v>
      </c>
      <c r="C626" s="880">
        <f t="shared" si="563"/>
        <v>1002</v>
      </c>
      <c r="D626" s="880">
        <f t="shared" si="564"/>
        <v>819</v>
      </c>
      <c r="E626" s="34">
        <f t="shared" si="565"/>
        <v>470</v>
      </c>
      <c r="F626" s="34">
        <f t="shared" si="566"/>
        <v>544</v>
      </c>
      <c r="G626" s="34">
        <f t="shared" si="567"/>
        <v>635</v>
      </c>
      <c r="H626" s="34">
        <f t="shared" si="568"/>
        <v>628</v>
      </c>
      <c r="I626" s="34">
        <f t="shared" si="569"/>
        <v>649</v>
      </c>
      <c r="J626" s="34">
        <f t="shared" si="570"/>
        <v>619</v>
      </c>
      <c r="K626" s="34">
        <f t="shared" si="571"/>
        <v>421</v>
      </c>
      <c r="L626" s="880">
        <f t="shared" si="572"/>
        <v>648</v>
      </c>
      <c r="M626" s="880">
        <f t="shared" si="573"/>
        <v>747</v>
      </c>
      <c r="N626" s="25">
        <f t="shared" si="574"/>
        <v>695.91666666666663</v>
      </c>
      <c r="P626" s="2">
        <f t="shared" si="575"/>
        <v>2033</v>
      </c>
      <c r="Q626" s="438">
        <f t="shared" si="576"/>
        <v>1032</v>
      </c>
      <c r="R626" s="438">
        <f t="shared" si="577"/>
        <v>887</v>
      </c>
      <c r="S626" s="438">
        <f t="shared" si="578"/>
        <v>716</v>
      </c>
      <c r="T626" s="438">
        <f t="shared" si="579"/>
        <v>470</v>
      </c>
      <c r="U626" s="438">
        <f t="shared" si="580"/>
        <v>544</v>
      </c>
      <c r="V626" s="438">
        <f t="shared" si="581"/>
        <v>635</v>
      </c>
      <c r="W626" s="438">
        <f t="shared" si="582"/>
        <v>628</v>
      </c>
      <c r="X626" s="438">
        <f t="shared" si="583"/>
        <v>649</v>
      </c>
      <c r="Y626" s="438">
        <f t="shared" si="584"/>
        <v>619</v>
      </c>
      <c r="Z626" s="438">
        <f t="shared" si="585"/>
        <v>421</v>
      </c>
      <c r="AA626" s="438">
        <f t="shared" si="586"/>
        <v>556</v>
      </c>
      <c r="AB626" s="438">
        <f t="shared" si="587"/>
        <v>641</v>
      </c>
      <c r="AC626" s="25">
        <f t="shared" si="588"/>
        <v>650</v>
      </c>
      <c r="AE626" s="2">
        <f t="shared" si="589"/>
        <v>2033</v>
      </c>
      <c r="AF626" s="887">
        <f t="shared" si="525"/>
        <v>137</v>
      </c>
      <c r="AG626" s="887">
        <f t="shared" si="536"/>
        <v>115</v>
      </c>
      <c r="AH626" s="887">
        <f t="shared" si="537"/>
        <v>103</v>
      </c>
      <c r="AI626" s="1112">
        <f t="shared" si="538"/>
        <v>116</v>
      </c>
      <c r="AJ626" s="25">
        <f t="shared" si="539"/>
        <v>133</v>
      </c>
      <c r="AK626" s="25">
        <f t="shared" si="540"/>
        <v>132</v>
      </c>
      <c r="AL626" s="25">
        <f t="shared" si="541"/>
        <v>136</v>
      </c>
      <c r="AM626" s="25">
        <f t="shared" si="542"/>
        <v>140</v>
      </c>
      <c r="AN626" s="25">
        <f t="shared" si="543"/>
        <v>125</v>
      </c>
      <c r="AO626" s="1113">
        <f t="shared" si="544"/>
        <v>123</v>
      </c>
      <c r="AP626" s="887">
        <f t="shared" si="545"/>
        <v>92</v>
      </c>
      <c r="AQ626" s="887">
        <f t="shared" si="546"/>
        <v>106</v>
      </c>
      <c r="AR626" s="25">
        <f t="shared" si="590"/>
        <v>121.5</v>
      </c>
      <c r="AT626" s="2">
        <f t="shared" si="591"/>
        <v>2033</v>
      </c>
      <c r="AU626" s="887">
        <f>[29]Breakdown!B102+[29]Breakdown!B139</f>
        <v>850</v>
      </c>
      <c r="AV626" s="887">
        <f>[29]Breakdown!C102+[29]Breakdown!C139</f>
        <v>704.54952687319849</v>
      </c>
      <c r="AW626" s="887">
        <f>[29]Breakdown!D102+[29]Breakdown!D139</f>
        <v>533.71909319588804</v>
      </c>
      <c r="AX626" s="887">
        <f>[29]Breakdown!E102+[29]Breakdown!E139</f>
        <v>285.28335966699751</v>
      </c>
      <c r="AY626" s="887">
        <f>[29]Breakdown!F102+[29]Breakdown!F139</f>
        <v>358.72521505130942</v>
      </c>
      <c r="AZ626" s="887">
        <f>[29]Breakdown!G102+[29]Breakdown!G139</f>
        <v>449.0684088651364</v>
      </c>
      <c r="BA626" s="887">
        <f>[29]Breakdown!H102+[29]Breakdown!H139</f>
        <v>442.25588358673713</v>
      </c>
      <c r="BB626" s="887">
        <f>[29]Breakdown!I102+[29]Breakdown!I139</f>
        <v>463</v>
      </c>
      <c r="BC626" s="887">
        <f>[29]Breakdown!J102+[29]Breakdown!J139</f>
        <v>432.73088216955944</v>
      </c>
      <c r="BD626" s="887">
        <f>[29]Breakdown!K102+[29]Breakdown!K139</f>
        <v>234.07242480451941</v>
      </c>
      <c r="BE626" s="887">
        <f>[29]Breakdown!L102+[29]Breakdown!L139</f>
        <v>370.709042734121</v>
      </c>
      <c r="BF626" s="887">
        <f>[29]Breakdown!M102+[29]Breakdown!M139</f>
        <v>455.83566064650034</v>
      </c>
      <c r="BG626" s="25">
        <f t="shared" si="592"/>
        <v>464.99579146616389</v>
      </c>
      <c r="BI626" s="2">
        <f t="shared" si="593"/>
        <v>2033</v>
      </c>
      <c r="BJ626" s="887">
        <f>[29]Breakdown!B176</f>
        <v>0</v>
      </c>
      <c r="BK626" s="887">
        <f>[29]Breakdown!C176</f>
        <v>0</v>
      </c>
      <c r="BL626" s="887">
        <f>[29]Breakdown!D176</f>
        <v>0</v>
      </c>
      <c r="BM626" s="887">
        <f>[29]Breakdown!E176</f>
        <v>2</v>
      </c>
      <c r="BN626" s="887">
        <f>[29]Breakdown!F176</f>
        <v>2</v>
      </c>
      <c r="BO626" s="887">
        <f>[29]Breakdown!G176</f>
        <v>2</v>
      </c>
      <c r="BP626" s="887">
        <f>[29]Breakdown!H176</f>
        <v>2</v>
      </c>
      <c r="BQ626" s="887">
        <f>[29]Breakdown!I176</f>
        <v>2</v>
      </c>
      <c r="BR626" s="887">
        <f>[29]Breakdown!J176</f>
        <v>2</v>
      </c>
      <c r="BS626" s="887">
        <f>[29]Breakdown!K176</f>
        <v>2</v>
      </c>
      <c r="BT626" s="887">
        <f>[29]Breakdown!L176</f>
        <v>0</v>
      </c>
      <c r="BU626" s="887">
        <f>[29]Breakdown!M176</f>
        <v>0</v>
      </c>
      <c r="BV626" s="25">
        <f t="shared" si="560"/>
        <v>1.1666666666666667</v>
      </c>
      <c r="BX626" s="2">
        <f t="shared" si="594"/>
        <v>2033</v>
      </c>
      <c r="BY626" s="887">
        <f>[29]Breakdown!B213</f>
        <v>181.72691456349764</v>
      </c>
      <c r="BZ626" s="887">
        <f>[29]Breakdown!C213</f>
        <v>182.0799433741789</v>
      </c>
      <c r="CA626" s="887">
        <f>[29]Breakdown!D213</f>
        <v>182.43297218486015</v>
      </c>
      <c r="CB626" s="887">
        <f>[29]Breakdown!E213</f>
        <v>182.7860009955414</v>
      </c>
      <c r="CC626" s="887">
        <f>[29]Breakdown!F213</f>
        <v>183.13902980622265</v>
      </c>
      <c r="CD626" s="887">
        <f>[29]Breakdown!G213</f>
        <v>183.4920586169039</v>
      </c>
      <c r="CE626" s="887">
        <f>[29]Breakdown!H213</f>
        <v>183.84508742758516</v>
      </c>
      <c r="CF626" s="887">
        <f>[29]Breakdown!I213</f>
        <v>184.19811623826641</v>
      </c>
      <c r="CG626" s="887">
        <f>[29]Breakdown!J213</f>
        <v>184.55114504894766</v>
      </c>
      <c r="CH626" s="887">
        <f>[29]Breakdown!K213</f>
        <v>184.90417385962891</v>
      </c>
      <c r="CI626" s="887">
        <f>[29]Breakdown!L213</f>
        <v>185.25720267031016</v>
      </c>
      <c r="CJ626" s="887">
        <f>[29]Breakdown!M213</f>
        <v>185.61023148099142</v>
      </c>
      <c r="CK626" s="25">
        <f t="shared" si="595"/>
        <v>183.66857302224454</v>
      </c>
      <c r="CM626" s="2">
        <f t="shared" si="556"/>
        <v>2033</v>
      </c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</row>
    <row r="627" spans="1:119">
      <c r="A627" s="2">
        <f t="shared" si="535"/>
        <v>2034</v>
      </c>
      <c r="B627" s="880">
        <f t="shared" si="562"/>
        <v>1182</v>
      </c>
      <c r="C627" s="880">
        <f t="shared" si="563"/>
        <v>1013</v>
      </c>
      <c r="D627" s="880">
        <f t="shared" si="564"/>
        <v>829</v>
      </c>
      <c r="E627" s="34">
        <f t="shared" si="565"/>
        <v>477</v>
      </c>
      <c r="F627" s="34">
        <f t="shared" si="566"/>
        <v>551</v>
      </c>
      <c r="G627" s="34">
        <f t="shared" si="567"/>
        <v>643</v>
      </c>
      <c r="H627" s="34">
        <f t="shared" si="568"/>
        <v>637</v>
      </c>
      <c r="I627" s="34">
        <f t="shared" si="569"/>
        <v>659</v>
      </c>
      <c r="J627" s="34">
        <f t="shared" si="570"/>
        <v>628</v>
      </c>
      <c r="K627" s="34">
        <f t="shared" si="571"/>
        <v>427</v>
      </c>
      <c r="L627" s="880">
        <f t="shared" si="572"/>
        <v>656</v>
      </c>
      <c r="M627" s="880">
        <f t="shared" si="573"/>
        <v>757</v>
      </c>
      <c r="N627" s="25">
        <f t="shared" si="574"/>
        <v>704.91666666666663</v>
      </c>
      <c r="P627" s="2">
        <f t="shared" si="575"/>
        <v>2034</v>
      </c>
      <c r="Q627" s="438">
        <f t="shared" si="576"/>
        <v>1045</v>
      </c>
      <c r="R627" s="438">
        <f t="shared" si="577"/>
        <v>898</v>
      </c>
      <c r="S627" s="438">
        <f t="shared" si="578"/>
        <v>726</v>
      </c>
      <c r="T627" s="438">
        <f t="shared" si="579"/>
        <v>477</v>
      </c>
      <c r="U627" s="438">
        <f t="shared" si="580"/>
        <v>551</v>
      </c>
      <c r="V627" s="438">
        <f t="shared" si="581"/>
        <v>643</v>
      </c>
      <c r="W627" s="438">
        <f t="shared" si="582"/>
        <v>637</v>
      </c>
      <c r="X627" s="438">
        <f t="shared" si="583"/>
        <v>659</v>
      </c>
      <c r="Y627" s="438">
        <f t="shared" si="584"/>
        <v>628</v>
      </c>
      <c r="Z627" s="438">
        <f t="shared" si="585"/>
        <v>427</v>
      </c>
      <c r="AA627" s="438">
        <f t="shared" si="586"/>
        <v>564</v>
      </c>
      <c r="AB627" s="438">
        <f t="shared" si="587"/>
        <v>650</v>
      </c>
      <c r="AC627" s="25">
        <f t="shared" si="588"/>
        <v>659</v>
      </c>
      <c r="AE627" s="2">
        <f t="shared" si="589"/>
        <v>2034</v>
      </c>
      <c r="AF627" s="887">
        <f t="shared" si="525"/>
        <v>137</v>
      </c>
      <c r="AG627" s="887">
        <f t="shared" si="536"/>
        <v>115</v>
      </c>
      <c r="AH627" s="887">
        <f t="shared" si="537"/>
        <v>103</v>
      </c>
      <c r="AI627" s="1112">
        <f t="shared" si="538"/>
        <v>117</v>
      </c>
      <c r="AJ627" s="25">
        <f t="shared" si="539"/>
        <v>135</v>
      </c>
      <c r="AK627" s="25">
        <f t="shared" si="540"/>
        <v>133</v>
      </c>
      <c r="AL627" s="25">
        <f t="shared" si="541"/>
        <v>137</v>
      </c>
      <c r="AM627" s="25">
        <f t="shared" si="542"/>
        <v>141</v>
      </c>
      <c r="AN627" s="25">
        <f t="shared" si="543"/>
        <v>126</v>
      </c>
      <c r="AO627" s="1113">
        <f t="shared" si="544"/>
        <v>124</v>
      </c>
      <c r="AP627" s="887">
        <f t="shared" si="545"/>
        <v>92</v>
      </c>
      <c r="AQ627" s="887">
        <f t="shared" si="546"/>
        <v>107</v>
      </c>
      <c r="AR627" s="25">
        <f t="shared" si="590"/>
        <v>122.25</v>
      </c>
      <c r="AT627" s="2">
        <f t="shared" si="591"/>
        <v>2034</v>
      </c>
      <c r="AU627" s="887">
        <f>[29]Breakdown!B103+[29]Breakdown!B140</f>
        <v>858.80199999999991</v>
      </c>
      <c r="AV627" s="887">
        <f>[29]Breakdown!C103+[29]Breakdown!C140</f>
        <v>711.84534444441897</v>
      </c>
      <c r="AW627" s="887">
        <f>[29]Breakdown!D103+[29]Breakdown!D140</f>
        <v>539.24591138213486</v>
      </c>
      <c r="AX627" s="887">
        <f>[29]Breakdown!E103+[29]Breakdown!E140</f>
        <v>287.98307681684855</v>
      </c>
      <c r="AY627" s="887">
        <f>[29]Breakdown!F103+[29]Breakdown!F140</f>
        <v>362.11993325810784</v>
      </c>
      <c r="AZ627" s="887">
        <f>[29]Breakdown!G103+[29]Breakdown!G140</f>
        <v>453.76830809984131</v>
      </c>
      <c r="BA627" s="887">
        <f>[29]Breakdown!H103+[29]Breakdown!H140</f>
        <v>446.73402334415346</v>
      </c>
      <c r="BB627" s="887">
        <f>[29]Breakdown!I103+[29]Breakdown!I140</f>
        <v>468.10839999999962</v>
      </c>
      <c r="BC627" s="887">
        <f>[29]Breakdown!J103+[29]Breakdown!J140</f>
        <v>437.29712681889077</v>
      </c>
      <c r="BD627" s="887">
        <f>[29]Breakdown!K103+[29]Breakdown!K140</f>
        <v>236.33275943996068</v>
      </c>
      <c r="BE627" s="887">
        <f>[29]Breakdown!L103+[29]Breakdown!L140</f>
        <v>374.39224496355246</v>
      </c>
      <c r="BF627" s="887">
        <f>[29]Breakdown!M103+[29]Breakdown!M140</f>
        <v>460.52758844758364</v>
      </c>
      <c r="BG627" s="25">
        <f t="shared" ref="BG627:BG633" si="596">AVERAGE(AU627:BF627)</f>
        <v>469.763059751291</v>
      </c>
      <c r="BI627" s="2">
        <f t="shared" si="593"/>
        <v>2034</v>
      </c>
      <c r="BJ627" s="887">
        <f>[29]Breakdown!B177</f>
        <v>0</v>
      </c>
      <c r="BK627" s="887">
        <f>[29]Breakdown!C177</f>
        <v>0</v>
      </c>
      <c r="BL627" s="887">
        <f>[29]Breakdown!D177</f>
        <v>0</v>
      </c>
      <c r="BM627" s="887">
        <f>[29]Breakdown!E177</f>
        <v>2</v>
      </c>
      <c r="BN627" s="887">
        <f>[29]Breakdown!F177</f>
        <v>2</v>
      </c>
      <c r="BO627" s="887">
        <f>[29]Breakdown!G177</f>
        <v>2</v>
      </c>
      <c r="BP627" s="887">
        <f>[29]Breakdown!H177</f>
        <v>2</v>
      </c>
      <c r="BQ627" s="887">
        <f>[29]Breakdown!I177</f>
        <v>2</v>
      </c>
      <c r="BR627" s="887">
        <f>[29]Breakdown!J177</f>
        <v>2</v>
      </c>
      <c r="BS627" s="887">
        <f>[29]Breakdown!K177</f>
        <v>2</v>
      </c>
      <c r="BT627" s="887">
        <f>[29]Breakdown!L177</f>
        <v>0</v>
      </c>
      <c r="BU627" s="887">
        <f>[29]Breakdown!M177</f>
        <v>0</v>
      </c>
      <c r="BV627" s="25">
        <f t="shared" si="560"/>
        <v>1.1666666666666667</v>
      </c>
      <c r="BX627" s="2">
        <f t="shared" si="594"/>
        <v>2034</v>
      </c>
      <c r="BY627" s="887">
        <f>[29]Breakdown!B214</f>
        <v>185.96326029167176</v>
      </c>
      <c r="BZ627" s="887">
        <f>[29]Breakdown!C214</f>
        <v>186.31628910235304</v>
      </c>
      <c r="CA627" s="887">
        <f>[29]Breakdown!D214</f>
        <v>186.66931791303432</v>
      </c>
      <c r="CB627" s="887">
        <f>[29]Breakdown!E214</f>
        <v>187.0223467237156</v>
      </c>
      <c r="CC627" s="887">
        <f>[29]Breakdown!F214</f>
        <v>187.37537553439688</v>
      </c>
      <c r="CD627" s="887">
        <f>[29]Breakdown!G214</f>
        <v>187.72840434507816</v>
      </c>
      <c r="CE627" s="887">
        <f>[29]Breakdown!H214</f>
        <v>188.08143315575944</v>
      </c>
      <c r="CF627" s="887">
        <f>[29]Breakdown!I214</f>
        <v>188.43446196644072</v>
      </c>
      <c r="CG627" s="887">
        <f>[29]Breakdown!J214</f>
        <v>188.787490777122</v>
      </c>
      <c r="CH627" s="887">
        <f>[29]Breakdown!K214</f>
        <v>189.14051958780328</v>
      </c>
      <c r="CI627" s="887">
        <f>[29]Breakdown!L214</f>
        <v>189.49354839848456</v>
      </c>
      <c r="CJ627" s="887">
        <f>[29]Breakdown!M214</f>
        <v>189.84657720916584</v>
      </c>
      <c r="CK627" s="25">
        <f t="shared" si="595"/>
        <v>187.9049187504188</v>
      </c>
      <c r="CM627" s="2">
        <f t="shared" si="556"/>
        <v>2034</v>
      </c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</row>
    <row r="628" spans="1:119">
      <c r="A628" s="2">
        <f t="shared" si="535"/>
        <v>2035</v>
      </c>
      <c r="B628" s="880">
        <f t="shared" si="562"/>
        <v>1196</v>
      </c>
      <c r="C628" s="880">
        <f t="shared" si="563"/>
        <v>1026</v>
      </c>
      <c r="D628" s="880">
        <f t="shared" si="564"/>
        <v>840</v>
      </c>
      <c r="E628" s="34">
        <f t="shared" si="565"/>
        <v>485</v>
      </c>
      <c r="F628" s="34">
        <f t="shared" si="566"/>
        <v>560</v>
      </c>
      <c r="G628" s="34">
        <f t="shared" si="567"/>
        <v>652</v>
      </c>
      <c r="H628" s="34">
        <f t="shared" si="568"/>
        <v>645</v>
      </c>
      <c r="I628" s="34">
        <f t="shared" si="569"/>
        <v>667</v>
      </c>
      <c r="J628" s="34">
        <f t="shared" si="570"/>
        <v>636</v>
      </c>
      <c r="K628" s="34">
        <f t="shared" si="571"/>
        <v>435</v>
      </c>
      <c r="L628" s="880">
        <f t="shared" si="572"/>
        <v>666</v>
      </c>
      <c r="M628" s="880">
        <f t="shared" si="573"/>
        <v>766</v>
      </c>
      <c r="N628" s="25">
        <f t="shared" si="574"/>
        <v>714.5</v>
      </c>
      <c r="P628" s="2">
        <f t="shared" si="575"/>
        <v>2035</v>
      </c>
      <c r="Q628" s="438">
        <f t="shared" si="576"/>
        <v>1058</v>
      </c>
      <c r="R628" s="438">
        <f t="shared" si="577"/>
        <v>910</v>
      </c>
      <c r="S628" s="438">
        <f t="shared" si="578"/>
        <v>736</v>
      </c>
      <c r="T628" s="438">
        <f t="shared" si="579"/>
        <v>485</v>
      </c>
      <c r="U628" s="438">
        <f t="shared" si="580"/>
        <v>560</v>
      </c>
      <c r="V628" s="438">
        <f t="shared" si="581"/>
        <v>652</v>
      </c>
      <c r="W628" s="438">
        <f t="shared" si="582"/>
        <v>645</v>
      </c>
      <c r="X628" s="438">
        <f t="shared" si="583"/>
        <v>667</v>
      </c>
      <c r="Y628" s="438">
        <f t="shared" si="584"/>
        <v>636</v>
      </c>
      <c r="Z628" s="438">
        <f t="shared" si="585"/>
        <v>435</v>
      </c>
      <c r="AA628" s="438">
        <f t="shared" si="586"/>
        <v>573</v>
      </c>
      <c r="AB628" s="438">
        <f t="shared" si="587"/>
        <v>659</v>
      </c>
      <c r="AC628" s="25">
        <f t="shared" si="588"/>
        <v>668</v>
      </c>
      <c r="AE628" s="2">
        <f t="shared" si="589"/>
        <v>2035</v>
      </c>
      <c r="AF628" s="887">
        <f t="shared" si="525"/>
        <v>138</v>
      </c>
      <c r="AG628" s="887">
        <f t="shared" si="536"/>
        <v>116</v>
      </c>
      <c r="AH628" s="887">
        <f t="shared" si="537"/>
        <v>104</v>
      </c>
      <c r="AI628" s="1112">
        <f t="shared" si="538"/>
        <v>118</v>
      </c>
      <c r="AJ628" s="25">
        <f t="shared" si="539"/>
        <v>135</v>
      </c>
      <c r="AK628" s="25">
        <f t="shared" si="540"/>
        <v>134</v>
      </c>
      <c r="AL628" s="25">
        <f t="shared" si="541"/>
        <v>138</v>
      </c>
      <c r="AM628" s="25">
        <f t="shared" si="542"/>
        <v>142</v>
      </c>
      <c r="AN628" s="25">
        <f t="shared" si="543"/>
        <v>126</v>
      </c>
      <c r="AO628" s="1113">
        <f t="shared" si="544"/>
        <v>125</v>
      </c>
      <c r="AP628" s="887">
        <f t="shared" si="545"/>
        <v>93</v>
      </c>
      <c r="AQ628" s="887">
        <f t="shared" si="546"/>
        <v>107</v>
      </c>
      <c r="AR628" s="25">
        <f t="shared" si="590"/>
        <v>123</v>
      </c>
      <c r="AT628" s="2">
        <f t="shared" si="591"/>
        <v>2035</v>
      </c>
      <c r="AU628" s="887">
        <f>[29]Breakdown!B104+[29]Breakdown!B141</f>
        <v>867.60399999999959</v>
      </c>
      <c r="AV628" s="887">
        <f>[29]Breakdown!C104+[29]Breakdown!C141</f>
        <v>719.14116201564093</v>
      </c>
      <c r="AW628" s="887">
        <f>[29]Breakdown!D104+[29]Breakdown!D141</f>
        <v>544.77272956838237</v>
      </c>
      <c r="AX628" s="887">
        <f>[29]Breakdown!E104+[29]Breakdown!E141</f>
        <v>291.68279396669959</v>
      </c>
      <c r="AY628" s="887">
        <f>[29]Breakdown!F104+[29]Breakdown!F141</f>
        <v>366.14034236305861</v>
      </c>
      <c r="AZ628" s="887">
        <f>[29]Breakdown!G104+[29]Breakdown!G141</f>
        <v>458.01796951116489</v>
      </c>
      <c r="BA628" s="887">
        <f>[29]Breakdown!H104+[29]Breakdown!H141</f>
        <v>450.91921590124957</v>
      </c>
      <c r="BB628" s="887">
        <f>[29]Breakdown!I104+[29]Breakdown!I141</f>
        <v>472.48990000000003</v>
      </c>
      <c r="BC628" s="887">
        <f>[29]Breakdown!J104+[29]Breakdown!J141</f>
        <v>441.39218159259713</v>
      </c>
      <c r="BD628" s="887">
        <f>[29]Breakdown!K104+[29]Breakdown!K141</f>
        <v>239.54785302372125</v>
      </c>
      <c r="BE628" s="887">
        <f>[29]Breakdown!L104+[29]Breakdown!L141</f>
        <v>379.23104613313535</v>
      </c>
      <c r="BF628" s="887">
        <f>[29]Breakdown!M104+[29]Breakdown!M141</f>
        <v>465.2479007828897</v>
      </c>
      <c r="BG628" s="25">
        <f t="shared" si="596"/>
        <v>474.68225790487827</v>
      </c>
      <c r="BI628" s="2">
        <f t="shared" si="593"/>
        <v>2035</v>
      </c>
      <c r="BJ628" s="887">
        <f>[29]Breakdown!B178</f>
        <v>0</v>
      </c>
      <c r="BK628" s="887">
        <f>[29]Breakdown!C178</f>
        <v>0</v>
      </c>
      <c r="BL628" s="887">
        <f>[29]Breakdown!D178</f>
        <v>0</v>
      </c>
      <c r="BM628" s="887">
        <f>[29]Breakdown!E178</f>
        <v>2</v>
      </c>
      <c r="BN628" s="887">
        <f>[29]Breakdown!F178</f>
        <v>2</v>
      </c>
      <c r="BO628" s="887">
        <f>[29]Breakdown!G178</f>
        <v>2</v>
      </c>
      <c r="BP628" s="887">
        <f>[29]Breakdown!H178</f>
        <v>2</v>
      </c>
      <c r="BQ628" s="887">
        <f>[29]Breakdown!I178</f>
        <v>2</v>
      </c>
      <c r="BR628" s="887">
        <f>[29]Breakdown!J178</f>
        <v>2</v>
      </c>
      <c r="BS628" s="887">
        <f>[29]Breakdown!K178</f>
        <v>2</v>
      </c>
      <c r="BT628" s="887">
        <f>[29]Breakdown!L178</f>
        <v>0</v>
      </c>
      <c r="BU628" s="887">
        <f>[29]Breakdown!M178</f>
        <v>0</v>
      </c>
      <c r="BV628" s="25">
        <f t="shared" si="560"/>
        <v>1.1666666666666667</v>
      </c>
      <c r="BX628" s="2">
        <f t="shared" si="594"/>
        <v>2035</v>
      </c>
      <c r="BY628" s="887">
        <f>[29]Breakdown!B215</f>
        <v>190.19960601984712</v>
      </c>
      <c r="BZ628" s="887">
        <f>[29]Breakdown!C215</f>
        <v>190.5526348305284</v>
      </c>
      <c r="CA628" s="887">
        <f>[29]Breakdown!D215</f>
        <v>190.90566364120787</v>
      </c>
      <c r="CB628" s="887">
        <f>[29]Breakdown!E215</f>
        <v>191.25869245189097</v>
      </c>
      <c r="CC628" s="887">
        <f>[29]Breakdown!F215</f>
        <v>191.61172126257225</v>
      </c>
      <c r="CD628" s="887">
        <f>[29]Breakdown!G215</f>
        <v>191.96475007325353</v>
      </c>
      <c r="CE628" s="887">
        <f>[29]Breakdown!H215</f>
        <v>192.31777888393481</v>
      </c>
      <c r="CF628" s="887">
        <f>[29]Breakdown!I215</f>
        <v>192.67080769461609</v>
      </c>
      <c r="CG628" s="887">
        <f>[29]Breakdown!J215</f>
        <v>193.02383650529737</v>
      </c>
      <c r="CH628" s="887">
        <f>[29]Breakdown!K215</f>
        <v>193.37686531597865</v>
      </c>
      <c r="CI628" s="887">
        <f>[29]Breakdown!L215</f>
        <v>193.72989412665993</v>
      </c>
      <c r="CJ628" s="887">
        <f>[29]Breakdown!M215</f>
        <v>194.08292293734121</v>
      </c>
      <c r="CK628" s="25">
        <f t="shared" si="595"/>
        <v>192.14126447859402</v>
      </c>
      <c r="CM628" s="2">
        <f t="shared" si="556"/>
        <v>2035</v>
      </c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</row>
    <row r="629" spans="1:119">
      <c r="A629" s="2">
        <f t="shared" si="535"/>
        <v>2036</v>
      </c>
      <c r="B629" s="880">
        <f t="shared" si="562"/>
        <v>1210</v>
      </c>
      <c r="C629" s="880">
        <f t="shared" si="563"/>
        <v>1037</v>
      </c>
      <c r="D629" s="880">
        <f t="shared" si="564"/>
        <v>849</v>
      </c>
      <c r="E629" s="34">
        <f t="shared" si="565"/>
        <v>492</v>
      </c>
      <c r="F629" s="34">
        <f t="shared" si="566"/>
        <v>567</v>
      </c>
      <c r="G629" s="34">
        <f t="shared" si="567"/>
        <v>661</v>
      </c>
      <c r="H629" s="34">
        <f t="shared" si="568"/>
        <v>655</v>
      </c>
      <c r="I629" s="34">
        <f t="shared" si="569"/>
        <v>677</v>
      </c>
      <c r="J629" s="34">
        <f t="shared" si="570"/>
        <v>646</v>
      </c>
      <c r="K629" s="34">
        <f t="shared" si="571"/>
        <v>441</v>
      </c>
      <c r="L629" s="880">
        <f t="shared" si="572"/>
        <v>674</v>
      </c>
      <c r="M629" s="880">
        <f t="shared" si="573"/>
        <v>776</v>
      </c>
      <c r="N629" s="25">
        <f t="shared" si="574"/>
        <v>723.75</v>
      </c>
      <c r="P629" s="2">
        <f t="shared" si="575"/>
        <v>2036</v>
      </c>
      <c r="Q629" s="438">
        <f t="shared" si="576"/>
        <v>1071</v>
      </c>
      <c r="R629" s="438">
        <f t="shared" si="577"/>
        <v>921</v>
      </c>
      <c r="S629" s="438">
        <f t="shared" si="578"/>
        <v>745</v>
      </c>
      <c r="T629" s="438">
        <f t="shared" si="579"/>
        <v>492</v>
      </c>
      <c r="U629" s="438">
        <f t="shared" si="580"/>
        <v>567</v>
      </c>
      <c r="V629" s="438">
        <f t="shared" si="581"/>
        <v>661</v>
      </c>
      <c r="W629" s="438">
        <f t="shared" si="582"/>
        <v>655</v>
      </c>
      <c r="X629" s="438">
        <f t="shared" si="583"/>
        <v>677</v>
      </c>
      <c r="Y629" s="438">
        <f t="shared" si="584"/>
        <v>646</v>
      </c>
      <c r="Z629" s="438">
        <f t="shared" si="585"/>
        <v>441</v>
      </c>
      <c r="AA629" s="438">
        <f t="shared" si="586"/>
        <v>581</v>
      </c>
      <c r="AB629" s="438">
        <f t="shared" si="587"/>
        <v>668</v>
      </c>
      <c r="AC629" s="25">
        <f t="shared" si="588"/>
        <v>677</v>
      </c>
      <c r="AE629" s="2">
        <f t="shared" si="589"/>
        <v>2036</v>
      </c>
      <c r="AF629" s="887">
        <f t="shared" si="525"/>
        <v>139</v>
      </c>
      <c r="AG629" s="887">
        <f t="shared" si="536"/>
        <v>116</v>
      </c>
      <c r="AH629" s="887">
        <f t="shared" si="537"/>
        <v>104</v>
      </c>
      <c r="AI629" s="1112">
        <f t="shared" si="538"/>
        <v>119</v>
      </c>
      <c r="AJ629" s="25">
        <f t="shared" si="539"/>
        <v>136</v>
      </c>
      <c r="AK629" s="25">
        <f t="shared" si="540"/>
        <v>135</v>
      </c>
      <c r="AL629" s="25">
        <f t="shared" si="541"/>
        <v>139</v>
      </c>
      <c r="AM629" s="25">
        <f t="shared" si="542"/>
        <v>143</v>
      </c>
      <c r="AN629" s="25">
        <f t="shared" si="543"/>
        <v>127</v>
      </c>
      <c r="AO629" s="1113">
        <f t="shared" si="544"/>
        <v>125</v>
      </c>
      <c r="AP629" s="887">
        <f t="shared" si="545"/>
        <v>93</v>
      </c>
      <c r="AQ629" s="887">
        <f t="shared" si="546"/>
        <v>108</v>
      </c>
      <c r="AR629" s="25">
        <f t="shared" si="590"/>
        <v>123.66666666666667</v>
      </c>
      <c r="AT629" s="2">
        <f t="shared" si="591"/>
        <v>2036</v>
      </c>
      <c r="AU629" s="887">
        <f>[29]Breakdown!B105+[29]Breakdown!B142</f>
        <v>876.40599999999836</v>
      </c>
      <c r="AV629" s="887">
        <f>[29]Breakdown!C105+[29]Breakdown!C142</f>
        <v>726.4369795868638</v>
      </c>
      <c r="AW629" s="887">
        <f>[29]Breakdown!D105+[29]Breakdown!D142</f>
        <v>550.29954775462897</v>
      </c>
      <c r="AX629" s="887">
        <f>[29]Breakdown!E105+[29]Breakdown!E142</f>
        <v>294.3825111165504</v>
      </c>
      <c r="AY629" s="887">
        <f>[29]Breakdown!F105+[29]Breakdown!F142</f>
        <v>369.53506056985634</v>
      </c>
      <c r="AZ629" s="887">
        <f>[29]Breakdown!G105+[29]Breakdown!G142</f>
        <v>463.2676309224878</v>
      </c>
      <c r="BA629" s="887">
        <f>[29]Breakdown!H105+[29]Breakdown!H142</f>
        <v>456.10440845834455</v>
      </c>
      <c r="BB629" s="887">
        <f>[29]Breakdown!I105+[29]Breakdown!I142</f>
        <v>477.87139999999999</v>
      </c>
      <c r="BC629" s="887">
        <f>[29]Breakdown!J105+[29]Breakdown!J142</f>
        <v>446.48723636630325</v>
      </c>
      <c r="BD629" s="887">
        <f>[29]Breakdown!K105+[29]Breakdown!K142</f>
        <v>241.7629466074809</v>
      </c>
      <c r="BE629" s="887">
        <f>[29]Breakdown!L105+[29]Breakdown!L142</f>
        <v>383.0698473027187</v>
      </c>
      <c r="BF629" s="887">
        <f>[29]Breakdown!M105+[29]Breakdown!M142</f>
        <v>469.96821311819622</v>
      </c>
      <c r="BG629" s="25">
        <f t="shared" si="596"/>
        <v>479.63264848361905</v>
      </c>
      <c r="BI629" s="2">
        <f t="shared" si="593"/>
        <v>2036</v>
      </c>
      <c r="BJ629" s="887">
        <f>[29]Breakdown!B179</f>
        <v>0</v>
      </c>
      <c r="BK629" s="887">
        <f>[29]Breakdown!C179</f>
        <v>0</v>
      </c>
      <c r="BL629" s="887">
        <f>[29]Breakdown!D179</f>
        <v>0</v>
      </c>
      <c r="BM629" s="887">
        <f>[29]Breakdown!E179</f>
        <v>2</v>
      </c>
      <c r="BN629" s="887">
        <f>[29]Breakdown!F179</f>
        <v>2</v>
      </c>
      <c r="BO629" s="887">
        <f>[29]Breakdown!G179</f>
        <v>2</v>
      </c>
      <c r="BP629" s="887">
        <f>[29]Breakdown!H179</f>
        <v>2</v>
      </c>
      <c r="BQ629" s="887">
        <f>[29]Breakdown!I179</f>
        <v>2</v>
      </c>
      <c r="BR629" s="887">
        <f>[29]Breakdown!J179</f>
        <v>2</v>
      </c>
      <c r="BS629" s="887">
        <f>[29]Breakdown!K179</f>
        <v>2</v>
      </c>
      <c r="BT629" s="887">
        <f>[29]Breakdown!L179</f>
        <v>0</v>
      </c>
      <c r="BU629" s="887">
        <f>[29]Breakdown!M179</f>
        <v>0</v>
      </c>
      <c r="BV629" s="25">
        <f t="shared" si="560"/>
        <v>1.1666666666666667</v>
      </c>
      <c r="BX629" s="2">
        <f t="shared" si="594"/>
        <v>2036</v>
      </c>
      <c r="BY629" s="887">
        <f>[29]Breakdown!B216</f>
        <v>194.43595174802249</v>
      </c>
      <c r="BZ629" s="887">
        <f>[29]Breakdown!C216</f>
        <v>194.78898055870377</v>
      </c>
      <c r="CA629" s="887">
        <f>[29]Breakdown!D216</f>
        <v>195.14200936938141</v>
      </c>
      <c r="CB629" s="887">
        <f>[29]Breakdown!E216</f>
        <v>195.49503818006633</v>
      </c>
      <c r="CC629" s="887">
        <f>[29]Breakdown!F216</f>
        <v>195.84806699074761</v>
      </c>
      <c r="CD629" s="887">
        <f>[29]Breakdown!G216</f>
        <v>196.20109580142889</v>
      </c>
      <c r="CE629" s="887">
        <f>[29]Breakdown!H216</f>
        <v>196.55412461211017</v>
      </c>
      <c r="CF629" s="887">
        <f>[29]Breakdown!I216</f>
        <v>196.90715342278963</v>
      </c>
      <c r="CG629" s="887">
        <f>[29]Breakdown!J216</f>
        <v>197.26018223347091</v>
      </c>
      <c r="CH629" s="887">
        <f>[29]Breakdown!K216</f>
        <v>197.61321104415401</v>
      </c>
      <c r="CI629" s="887">
        <f>[29]Breakdown!L216</f>
        <v>197.96623985483529</v>
      </c>
      <c r="CJ629" s="887">
        <f>[29]Breakdown!M216</f>
        <v>198.31926866551476</v>
      </c>
      <c r="CK629" s="25">
        <f t="shared" si="595"/>
        <v>196.37761020676876</v>
      </c>
      <c r="CM629" s="2">
        <f t="shared" si="556"/>
        <v>2036</v>
      </c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</row>
    <row r="630" spans="1:119">
      <c r="A630" s="2">
        <f t="shared" si="535"/>
        <v>2037</v>
      </c>
      <c r="B630" s="880">
        <f t="shared" si="562"/>
        <v>1225</v>
      </c>
      <c r="C630" s="880">
        <f t="shared" si="563"/>
        <v>1050</v>
      </c>
      <c r="D630" s="880">
        <f t="shared" si="564"/>
        <v>860</v>
      </c>
      <c r="E630" s="34">
        <f t="shared" si="565"/>
        <v>499</v>
      </c>
      <c r="F630" s="34">
        <f t="shared" si="566"/>
        <v>575</v>
      </c>
      <c r="G630" s="34">
        <f t="shared" si="567"/>
        <v>670</v>
      </c>
      <c r="H630" s="34">
        <f t="shared" si="568"/>
        <v>663</v>
      </c>
      <c r="I630" s="34">
        <f t="shared" si="569"/>
        <v>685</v>
      </c>
      <c r="J630" s="34">
        <f t="shared" si="570"/>
        <v>654</v>
      </c>
      <c r="K630" s="34">
        <f t="shared" si="571"/>
        <v>448</v>
      </c>
      <c r="L630" s="880">
        <f t="shared" si="572"/>
        <v>683</v>
      </c>
      <c r="M630" s="880">
        <f t="shared" si="573"/>
        <v>786</v>
      </c>
      <c r="N630" s="25">
        <f t="shared" si="574"/>
        <v>733.16666666666663</v>
      </c>
      <c r="P630" s="2">
        <f t="shared" si="575"/>
        <v>2037</v>
      </c>
      <c r="Q630" s="438">
        <f t="shared" si="576"/>
        <v>1085</v>
      </c>
      <c r="R630" s="438">
        <f t="shared" si="577"/>
        <v>933</v>
      </c>
      <c r="S630" s="438">
        <f t="shared" si="578"/>
        <v>755</v>
      </c>
      <c r="T630" s="438">
        <f t="shared" si="579"/>
        <v>499</v>
      </c>
      <c r="U630" s="438">
        <f t="shared" si="580"/>
        <v>575</v>
      </c>
      <c r="V630" s="438">
        <f t="shared" si="581"/>
        <v>670</v>
      </c>
      <c r="W630" s="438">
        <f t="shared" si="582"/>
        <v>663</v>
      </c>
      <c r="X630" s="438">
        <f t="shared" si="583"/>
        <v>685</v>
      </c>
      <c r="Y630" s="438">
        <f t="shared" si="584"/>
        <v>654</v>
      </c>
      <c r="Z630" s="438">
        <f t="shared" si="585"/>
        <v>448</v>
      </c>
      <c r="AA630" s="438">
        <f t="shared" si="586"/>
        <v>589</v>
      </c>
      <c r="AB630" s="438">
        <f t="shared" si="587"/>
        <v>678</v>
      </c>
      <c r="AC630" s="25">
        <f t="shared" si="588"/>
        <v>686</v>
      </c>
      <c r="AE630" s="2">
        <f t="shared" si="589"/>
        <v>2037</v>
      </c>
      <c r="AF630" s="887">
        <f t="shared" si="525"/>
        <v>140</v>
      </c>
      <c r="AG630" s="887">
        <f t="shared" si="536"/>
        <v>117</v>
      </c>
      <c r="AH630" s="887">
        <f t="shared" si="537"/>
        <v>105</v>
      </c>
      <c r="AI630" s="1112">
        <f t="shared" si="538"/>
        <v>120</v>
      </c>
      <c r="AJ630" s="25">
        <f t="shared" si="539"/>
        <v>137</v>
      </c>
      <c r="AK630" s="25">
        <f t="shared" si="540"/>
        <v>136</v>
      </c>
      <c r="AL630" s="25">
        <f t="shared" si="541"/>
        <v>140</v>
      </c>
      <c r="AM630" s="25">
        <f t="shared" si="542"/>
        <v>144</v>
      </c>
      <c r="AN630" s="25">
        <f t="shared" si="543"/>
        <v>128</v>
      </c>
      <c r="AO630" s="1113">
        <f t="shared" si="544"/>
        <v>126</v>
      </c>
      <c r="AP630" s="887">
        <f t="shared" si="545"/>
        <v>94</v>
      </c>
      <c r="AQ630" s="887">
        <f t="shared" si="546"/>
        <v>108</v>
      </c>
      <c r="AR630" s="25">
        <f t="shared" si="590"/>
        <v>124.58333333333333</v>
      </c>
      <c r="AT630" s="2">
        <f t="shared" si="591"/>
        <v>2037</v>
      </c>
      <c r="AU630" s="887">
        <f>[29]Breakdown!B106+[29]Breakdown!B143</f>
        <v>886.50799999999981</v>
      </c>
      <c r="AV630" s="887">
        <f>[29]Breakdown!C106+[29]Breakdown!C143</f>
        <v>733.73279715808394</v>
      </c>
      <c r="AW630" s="887">
        <f>[29]Breakdown!D106+[29]Breakdown!D143</f>
        <v>555.82636594087558</v>
      </c>
      <c r="AX630" s="887">
        <f>[29]Breakdown!E106+[29]Breakdown!E143</f>
        <v>297.08222826640144</v>
      </c>
      <c r="AY630" s="887">
        <f>[29]Breakdown!F106+[29]Breakdown!F143</f>
        <v>372.92977877665408</v>
      </c>
      <c r="AZ630" s="887">
        <f>[29]Breakdown!G106+[29]Breakdown!G143</f>
        <v>467.51729233381047</v>
      </c>
      <c r="BA630" s="887">
        <f>[29]Breakdown!H106+[29]Breakdown!H143</f>
        <v>460.28960101544067</v>
      </c>
      <c r="BB630" s="887">
        <f>[29]Breakdown!I106+[29]Breakdown!I143</f>
        <v>482.25290000000041</v>
      </c>
      <c r="BC630" s="887">
        <f>[29]Breakdown!J106+[29]Breakdown!J143</f>
        <v>450.58229114000937</v>
      </c>
      <c r="BD630" s="887">
        <f>[29]Breakdown!K106+[29]Breakdown!K143</f>
        <v>243.97804019124123</v>
      </c>
      <c r="BE630" s="887">
        <f>[29]Breakdown!L106+[29]Breakdown!L143</f>
        <v>386.90864847230114</v>
      </c>
      <c r="BF630" s="887">
        <f>[29]Breakdown!M106+[29]Breakdown!M143</f>
        <v>475.68852545350273</v>
      </c>
      <c r="BG630" s="25">
        <f t="shared" si="596"/>
        <v>484.44137239569335</v>
      </c>
      <c r="BI630" s="2">
        <f t="shared" si="593"/>
        <v>2037</v>
      </c>
      <c r="BJ630" s="887">
        <f>[29]Breakdown!B180</f>
        <v>0</v>
      </c>
      <c r="BK630" s="887">
        <f>[29]Breakdown!C180</f>
        <v>0</v>
      </c>
      <c r="BL630" s="887">
        <f>[29]Breakdown!D180</f>
        <v>0</v>
      </c>
      <c r="BM630" s="887">
        <f>[29]Breakdown!E180</f>
        <v>2</v>
      </c>
      <c r="BN630" s="887">
        <f>[29]Breakdown!F180</f>
        <v>2</v>
      </c>
      <c r="BO630" s="887">
        <f>[29]Breakdown!G180</f>
        <v>2</v>
      </c>
      <c r="BP630" s="887">
        <f>[29]Breakdown!H180</f>
        <v>2</v>
      </c>
      <c r="BQ630" s="887">
        <f>[29]Breakdown!I180</f>
        <v>2</v>
      </c>
      <c r="BR630" s="887">
        <f>[29]Breakdown!J180</f>
        <v>2</v>
      </c>
      <c r="BS630" s="887">
        <f>[29]Breakdown!K180</f>
        <v>2</v>
      </c>
      <c r="BT630" s="887">
        <f>[29]Breakdown!L180</f>
        <v>0</v>
      </c>
      <c r="BU630" s="887">
        <f>[29]Breakdown!M180</f>
        <v>0</v>
      </c>
      <c r="BV630" s="25">
        <f t="shared" si="560"/>
        <v>1.1666666666666667</v>
      </c>
      <c r="BX630" s="2">
        <f t="shared" si="594"/>
        <v>2037</v>
      </c>
      <c r="BY630" s="887">
        <f>[29]Breakdown!B217</f>
        <v>198.67229747619604</v>
      </c>
      <c r="BZ630" s="887">
        <f>[29]Breakdown!C217</f>
        <v>199.02532628687732</v>
      </c>
      <c r="CA630" s="887">
        <f>[29]Breakdown!D217</f>
        <v>199.37835509755678</v>
      </c>
      <c r="CB630" s="887">
        <f>[29]Breakdown!E217</f>
        <v>199.7313839082417</v>
      </c>
      <c r="CC630" s="887">
        <f>[29]Breakdown!F217</f>
        <v>200.08441271892298</v>
      </c>
      <c r="CD630" s="887">
        <f>[29]Breakdown!G217</f>
        <v>200.43744152960426</v>
      </c>
      <c r="CE630" s="887">
        <f>[29]Breakdown!H217</f>
        <v>200.79047034028554</v>
      </c>
      <c r="CF630" s="887">
        <f>[29]Breakdown!I217</f>
        <v>201.143499150965</v>
      </c>
      <c r="CG630" s="887">
        <f>[29]Breakdown!J217</f>
        <v>201.49652796164628</v>
      </c>
      <c r="CH630" s="887">
        <f>[29]Breakdown!K217</f>
        <v>201.84955677232756</v>
      </c>
      <c r="CI630" s="887">
        <f>[29]Breakdown!L217</f>
        <v>202.20258558300884</v>
      </c>
      <c r="CJ630" s="887">
        <f>[29]Breakdown!M217</f>
        <v>202.5556143936883</v>
      </c>
      <c r="CK630" s="25">
        <f t="shared" si="595"/>
        <v>200.61395593494339</v>
      </c>
      <c r="CM630" s="2">
        <f t="shared" si="556"/>
        <v>2037</v>
      </c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</row>
    <row r="631" spans="1:119">
      <c r="A631" s="2">
        <f t="shared" si="535"/>
        <v>2038</v>
      </c>
      <c r="B631" s="880">
        <f t="shared" si="562"/>
        <v>1239</v>
      </c>
      <c r="C631" s="880">
        <f t="shared" si="563"/>
        <v>1062</v>
      </c>
      <c r="D631" s="880">
        <f t="shared" si="564"/>
        <v>871</v>
      </c>
      <c r="E631" s="34">
        <f t="shared" si="565"/>
        <v>507</v>
      </c>
      <c r="F631" s="34">
        <f t="shared" si="566"/>
        <v>584</v>
      </c>
      <c r="G631" s="34">
        <f t="shared" si="567"/>
        <v>678</v>
      </c>
      <c r="H631" s="34">
        <f t="shared" si="568"/>
        <v>672</v>
      </c>
      <c r="I631" s="34">
        <f t="shared" si="569"/>
        <v>694</v>
      </c>
      <c r="J631" s="34">
        <f t="shared" si="570"/>
        <v>662</v>
      </c>
      <c r="K631" s="34">
        <f t="shared" si="571"/>
        <v>455</v>
      </c>
      <c r="L631" s="880">
        <f t="shared" si="572"/>
        <v>691</v>
      </c>
      <c r="M631" s="880">
        <f t="shared" si="573"/>
        <v>795</v>
      </c>
      <c r="N631" s="25">
        <f t="shared" si="574"/>
        <v>742.5</v>
      </c>
      <c r="P631" s="2">
        <f t="shared" si="575"/>
        <v>2038</v>
      </c>
      <c r="Q631" s="438">
        <f t="shared" si="576"/>
        <v>1098</v>
      </c>
      <c r="R631" s="438">
        <f t="shared" si="577"/>
        <v>944</v>
      </c>
      <c r="S631" s="438">
        <f t="shared" si="578"/>
        <v>765</v>
      </c>
      <c r="T631" s="438">
        <f t="shared" si="579"/>
        <v>507</v>
      </c>
      <c r="U631" s="438">
        <f t="shared" si="580"/>
        <v>584</v>
      </c>
      <c r="V631" s="438">
        <f t="shared" si="581"/>
        <v>678</v>
      </c>
      <c r="W631" s="438">
        <f t="shared" si="582"/>
        <v>672</v>
      </c>
      <c r="X631" s="438">
        <f t="shared" si="583"/>
        <v>694</v>
      </c>
      <c r="Y631" s="438">
        <f t="shared" si="584"/>
        <v>662</v>
      </c>
      <c r="Z631" s="438">
        <f t="shared" si="585"/>
        <v>455</v>
      </c>
      <c r="AA631" s="438">
        <f t="shared" si="586"/>
        <v>597</v>
      </c>
      <c r="AB631" s="438">
        <f t="shared" si="587"/>
        <v>687</v>
      </c>
      <c r="AC631" s="25">
        <f t="shared" si="588"/>
        <v>695</v>
      </c>
      <c r="AE631" s="2">
        <f t="shared" si="589"/>
        <v>2038</v>
      </c>
      <c r="AF631" s="887">
        <f t="shared" si="525"/>
        <v>141</v>
      </c>
      <c r="AG631" s="887">
        <f t="shared" si="536"/>
        <v>118</v>
      </c>
      <c r="AH631" s="887">
        <f t="shared" si="537"/>
        <v>106</v>
      </c>
      <c r="AI631" s="1112">
        <f t="shared" si="538"/>
        <v>121</v>
      </c>
      <c r="AJ631" s="25">
        <f t="shared" si="539"/>
        <v>139</v>
      </c>
      <c r="AK631" s="25">
        <f t="shared" si="540"/>
        <v>137</v>
      </c>
      <c r="AL631" s="25">
        <f t="shared" si="541"/>
        <v>141</v>
      </c>
      <c r="AM631" s="25">
        <f t="shared" si="542"/>
        <v>145</v>
      </c>
      <c r="AN631" s="25">
        <f t="shared" si="543"/>
        <v>129</v>
      </c>
      <c r="AO631" s="1113">
        <f t="shared" si="544"/>
        <v>127</v>
      </c>
      <c r="AP631" s="887">
        <f t="shared" si="545"/>
        <v>94</v>
      </c>
      <c r="AQ631" s="887">
        <f t="shared" si="546"/>
        <v>108</v>
      </c>
      <c r="AR631" s="25">
        <f t="shared" si="590"/>
        <v>125.5</v>
      </c>
      <c r="AT631" s="2">
        <f t="shared" si="591"/>
        <v>2038</v>
      </c>
      <c r="AU631" s="887">
        <f>[29]Breakdown!B107+[29]Breakdown!B144</f>
        <v>895.30999999999858</v>
      </c>
      <c r="AV631" s="887">
        <f>[29]Breakdown!C107+[29]Breakdown!C144</f>
        <v>741.0286147293059</v>
      </c>
      <c r="AW631" s="887">
        <f>[29]Breakdown!D107+[29]Breakdown!D144</f>
        <v>561.35318412712218</v>
      </c>
      <c r="AX631" s="887">
        <f>[29]Breakdown!E107+[29]Breakdown!E144</f>
        <v>300.78194541625248</v>
      </c>
      <c r="AY631" s="887">
        <f>[29]Breakdown!F107+[29]Breakdown!F144</f>
        <v>377.32449698345181</v>
      </c>
      <c r="AZ631" s="887">
        <f>[29]Breakdown!G107+[29]Breakdown!G144</f>
        <v>471.76695374513406</v>
      </c>
      <c r="BA631" s="887">
        <f>[29]Breakdown!H107+[29]Breakdown!H144</f>
        <v>464.47479357253678</v>
      </c>
      <c r="BB631" s="887">
        <f>[29]Breakdown!I107+[29]Breakdown!I144</f>
        <v>486.63440000000037</v>
      </c>
      <c r="BC631" s="887">
        <f>[29]Breakdown!J107+[29]Breakdown!J144</f>
        <v>454.67734591371573</v>
      </c>
      <c r="BD631" s="887">
        <f>[29]Breakdown!K107+[29]Breakdown!K144</f>
        <v>247.19313377500134</v>
      </c>
      <c r="BE631" s="887">
        <f>[29]Breakdown!L107+[29]Breakdown!L144</f>
        <v>390.74744964188403</v>
      </c>
      <c r="BF631" s="887">
        <f>[29]Breakdown!M107+[29]Breakdown!M144</f>
        <v>480.4088377888088</v>
      </c>
      <c r="BG631" s="25">
        <f t="shared" si="596"/>
        <v>489.30842964110099</v>
      </c>
      <c r="BI631" s="2">
        <f t="shared" si="593"/>
        <v>2038</v>
      </c>
      <c r="BJ631" s="887">
        <f>[29]Breakdown!B181</f>
        <v>0</v>
      </c>
      <c r="BK631" s="887">
        <f>[29]Breakdown!C181</f>
        <v>0</v>
      </c>
      <c r="BL631" s="887">
        <f>[29]Breakdown!D181</f>
        <v>0</v>
      </c>
      <c r="BM631" s="887">
        <f>[29]Breakdown!E181</f>
        <v>2</v>
      </c>
      <c r="BN631" s="887">
        <f>[29]Breakdown!F181</f>
        <v>2</v>
      </c>
      <c r="BO631" s="887">
        <f>[29]Breakdown!G181</f>
        <v>2</v>
      </c>
      <c r="BP631" s="887">
        <f>[29]Breakdown!H181</f>
        <v>2</v>
      </c>
      <c r="BQ631" s="887">
        <f>[29]Breakdown!I181</f>
        <v>2</v>
      </c>
      <c r="BR631" s="887">
        <f>[29]Breakdown!J181</f>
        <v>2</v>
      </c>
      <c r="BS631" s="887">
        <f>[29]Breakdown!K181</f>
        <v>2</v>
      </c>
      <c r="BT631" s="887">
        <f>[29]Breakdown!L181</f>
        <v>0</v>
      </c>
      <c r="BU631" s="887">
        <f>[29]Breakdown!M181</f>
        <v>0</v>
      </c>
      <c r="BV631" s="25">
        <f t="shared" si="560"/>
        <v>1.1666666666666667</v>
      </c>
      <c r="BX631" s="2">
        <f t="shared" si="594"/>
        <v>2038</v>
      </c>
      <c r="BY631" s="887">
        <f>[29]Breakdown!B218</f>
        <v>202.9086432043714</v>
      </c>
      <c r="BZ631" s="887">
        <f>[29]Breakdown!C218</f>
        <v>203.26167201505268</v>
      </c>
      <c r="CA631" s="887">
        <f>[29]Breakdown!D218</f>
        <v>203.61470082572851</v>
      </c>
      <c r="CB631" s="887">
        <f>[29]Breakdown!E218</f>
        <v>203.96772963641524</v>
      </c>
      <c r="CC631" s="887">
        <f>[29]Breakdown!F218</f>
        <v>204.32075844709652</v>
      </c>
      <c r="CD631" s="887">
        <f>[29]Breakdown!G218</f>
        <v>204.6737872577778</v>
      </c>
      <c r="CE631" s="887">
        <f>[29]Breakdown!H218</f>
        <v>205.02681606845908</v>
      </c>
      <c r="CF631" s="887">
        <f>[29]Breakdown!I218</f>
        <v>205.37984487914036</v>
      </c>
      <c r="CG631" s="887">
        <f>[29]Breakdown!J218</f>
        <v>205.73287368982164</v>
      </c>
      <c r="CH631" s="887">
        <f>[29]Breakdown!K218</f>
        <v>206.08590250050293</v>
      </c>
      <c r="CI631" s="887">
        <f>[29]Breakdown!L218</f>
        <v>206.43893131118421</v>
      </c>
      <c r="CJ631" s="887">
        <f>[29]Breakdown!M218</f>
        <v>206.79196012186367</v>
      </c>
      <c r="CK631" s="25">
        <f t="shared" si="595"/>
        <v>204.85030166311785</v>
      </c>
      <c r="CM631" s="2">
        <f t="shared" si="556"/>
        <v>2038</v>
      </c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</row>
    <row r="632" spans="1:119">
      <c r="A632" s="2">
        <f t="shared" si="535"/>
        <v>2039</v>
      </c>
      <c r="B632" s="880">
        <f t="shared" si="562"/>
        <v>1252</v>
      </c>
      <c r="C632" s="880">
        <f t="shared" si="563"/>
        <v>1075</v>
      </c>
      <c r="D632" s="880">
        <f t="shared" si="564"/>
        <v>881</v>
      </c>
      <c r="E632" s="34">
        <f t="shared" si="565"/>
        <v>514</v>
      </c>
      <c r="F632" s="34">
        <f t="shared" si="566"/>
        <v>591</v>
      </c>
      <c r="G632" s="34">
        <f t="shared" si="567"/>
        <v>688</v>
      </c>
      <c r="H632" s="34">
        <f t="shared" si="568"/>
        <v>681</v>
      </c>
      <c r="I632" s="34">
        <f t="shared" si="569"/>
        <v>704</v>
      </c>
      <c r="J632" s="34">
        <f t="shared" si="570"/>
        <v>672</v>
      </c>
      <c r="K632" s="34">
        <f t="shared" si="571"/>
        <v>462</v>
      </c>
      <c r="L632" s="880">
        <f t="shared" si="572"/>
        <v>700</v>
      </c>
      <c r="M632" s="880">
        <f t="shared" si="573"/>
        <v>805</v>
      </c>
      <c r="N632" s="25">
        <f t="shared" si="574"/>
        <v>752.08333333333337</v>
      </c>
      <c r="P632" s="2">
        <f t="shared" si="575"/>
        <v>2039</v>
      </c>
      <c r="Q632" s="438">
        <f t="shared" si="576"/>
        <v>1111</v>
      </c>
      <c r="R632" s="438">
        <f t="shared" si="577"/>
        <v>957</v>
      </c>
      <c r="S632" s="438">
        <f t="shared" si="578"/>
        <v>775</v>
      </c>
      <c r="T632" s="438">
        <f t="shared" si="579"/>
        <v>514</v>
      </c>
      <c r="U632" s="438">
        <f t="shared" si="580"/>
        <v>591</v>
      </c>
      <c r="V632" s="438">
        <f t="shared" si="581"/>
        <v>688</v>
      </c>
      <c r="W632" s="438">
        <f t="shared" si="582"/>
        <v>681</v>
      </c>
      <c r="X632" s="438">
        <f t="shared" si="583"/>
        <v>704</v>
      </c>
      <c r="Y632" s="438">
        <f t="shared" si="584"/>
        <v>672</v>
      </c>
      <c r="Z632" s="438">
        <f t="shared" si="585"/>
        <v>462</v>
      </c>
      <c r="AA632" s="438">
        <f t="shared" si="586"/>
        <v>605</v>
      </c>
      <c r="AB632" s="438">
        <f t="shared" si="587"/>
        <v>696</v>
      </c>
      <c r="AC632" s="25">
        <f t="shared" si="588"/>
        <v>705</v>
      </c>
      <c r="AE632" s="2">
        <f t="shared" si="589"/>
        <v>2039</v>
      </c>
      <c r="AF632" s="887">
        <f t="shared" si="525"/>
        <v>141</v>
      </c>
      <c r="AG632" s="887">
        <f t="shared" si="536"/>
        <v>118</v>
      </c>
      <c r="AH632" s="887">
        <f t="shared" si="537"/>
        <v>106</v>
      </c>
      <c r="AI632" s="1112">
        <f t="shared" si="538"/>
        <v>122</v>
      </c>
      <c r="AJ632" s="25">
        <f t="shared" si="539"/>
        <v>140</v>
      </c>
      <c r="AK632" s="25">
        <f t="shared" si="540"/>
        <v>138</v>
      </c>
      <c r="AL632" s="25">
        <f t="shared" si="541"/>
        <v>142</v>
      </c>
      <c r="AM632" s="25">
        <f t="shared" si="542"/>
        <v>146</v>
      </c>
      <c r="AN632" s="25">
        <f t="shared" si="543"/>
        <v>130</v>
      </c>
      <c r="AO632" s="1113">
        <f t="shared" si="544"/>
        <v>128</v>
      </c>
      <c r="AP632" s="887">
        <f t="shared" si="545"/>
        <v>95</v>
      </c>
      <c r="AQ632" s="887">
        <f t="shared" si="546"/>
        <v>109</v>
      </c>
      <c r="AR632" s="25">
        <f t="shared" si="590"/>
        <v>126.25</v>
      </c>
      <c r="AT632" s="2">
        <f t="shared" si="591"/>
        <v>2039</v>
      </c>
      <c r="AU632" s="887">
        <f>[29]Breakdown!B108+[29]Breakdown!B145</f>
        <v>904.11199999999735</v>
      </c>
      <c r="AV632" s="887">
        <f>[29]Breakdown!C108+[29]Breakdown!C145</f>
        <v>749.82434270931662</v>
      </c>
      <c r="AW632" s="887">
        <f>[29]Breakdown!D108+[29]Breakdown!D145</f>
        <v>566.88000231336878</v>
      </c>
      <c r="AX632" s="887">
        <f>[29]Breakdown!E108+[29]Breakdown!E145</f>
        <v>303.4816625661033</v>
      </c>
      <c r="AY632" s="887">
        <f>[29]Breakdown!F108+[29]Breakdown!F145</f>
        <v>380.71921519024954</v>
      </c>
      <c r="AZ632" s="887">
        <f>[29]Breakdown!G108+[29]Breakdown!G145</f>
        <v>477.01661515645696</v>
      </c>
      <c r="BA632" s="887">
        <f>[29]Breakdown!H108+[29]Breakdown!H145</f>
        <v>469.65998612963176</v>
      </c>
      <c r="BB632" s="887">
        <f>[29]Breakdown!I108+[29]Breakdown!I145</f>
        <v>492.01590000000078</v>
      </c>
      <c r="BC632" s="887">
        <f>[29]Breakdown!J108+[29]Breakdown!J145</f>
        <v>459.77240068742185</v>
      </c>
      <c r="BD632" s="887">
        <f>[29]Breakdown!K108+[29]Breakdown!K145</f>
        <v>249.40822735876145</v>
      </c>
      <c r="BE632" s="887">
        <f>[29]Breakdown!L108+[29]Breakdown!L145</f>
        <v>394.58625081146738</v>
      </c>
      <c r="BF632" s="887">
        <f>[29]Breakdown!M108+[29]Breakdown!M145</f>
        <v>485.12915012411531</v>
      </c>
      <c r="BG632" s="25">
        <f t="shared" si="596"/>
        <v>494.38381275390765</v>
      </c>
      <c r="BI632" s="2">
        <f t="shared" si="593"/>
        <v>2039</v>
      </c>
      <c r="BJ632" s="887">
        <f>[29]Breakdown!B182</f>
        <v>0</v>
      </c>
      <c r="BK632" s="887">
        <f>[29]Breakdown!C182</f>
        <v>0</v>
      </c>
      <c r="BL632" s="887">
        <f>[29]Breakdown!D182</f>
        <v>0</v>
      </c>
      <c r="BM632" s="887">
        <f>[29]Breakdown!E182</f>
        <v>2</v>
      </c>
      <c r="BN632" s="887">
        <f>[29]Breakdown!F182</f>
        <v>2</v>
      </c>
      <c r="BO632" s="887">
        <f>[29]Breakdown!G182</f>
        <v>2</v>
      </c>
      <c r="BP632" s="887">
        <f>[29]Breakdown!H182</f>
        <v>2</v>
      </c>
      <c r="BQ632" s="887">
        <f>[29]Breakdown!I182</f>
        <v>2</v>
      </c>
      <c r="BR632" s="887">
        <f>[29]Breakdown!J182</f>
        <v>2</v>
      </c>
      <c r="BS632" s="887">
        <f>[29]Breakdown!K182</f>
        <v>2</v>
      </c>
      <c r="BT632" s="887">
        <f>[29]Breakdown!L182</f>
        <v>0</v>
      </c>
      <c r="BU632" s="887">
        <f>[29]Breakdown!M182</f>
        <v>0</v>
      </c>
      <c r="BV632" s="25">
        <f t="shared" si="560"/>
        <v>1.1666666666666667</v>
      </c>
      <c r="BX632" s="2">
        <f t="shared" si="594"/>
        <v>2039</v>
      </c>
      <c r="BY632" s="887">
        <f>[29]Breakdown!B219</f>
        <v>207.14498893254677</v>
      </c>
      <c r="BZ632" s="887">
        <f>[29]Breakdown!C219</f>
        <v>207.49801774322805</v>
      </c>
      <c r="CA632" s="887">
        <f>[29]Breakdown!D219</f>
        <v>207.85104655390205</v>
      </c>
      <c r="CB632" s="887">
        <f>[29]Breakdown!E219</f>
        <v>208.20407536459243</v>
      </c>
      <c r="CC632" s="887">
        <f>[29]Breakdown!F219</f>
        <v>208.55710417527371</v>
      </c>
      <c r="CD632" s="887">
        <f>[29]Breakdown!G219</f>
        <v>208.91013298595499</v>
      </c>
      <c r="CE632" s="887">
        <f>[29]Breakdown!H219</f>
        <v>209.26316179663627</v>
      </c>
      <c r="CF632" s="887">
        <f>[29]Breakdown!I219</f>
        <v>209.61619060731391</v>
      </c>
      <c r="CG632" s="887">
        <f>[29]Breakdown!J219</f>
        <v>209.96921941799519</v>
      </c>
      <c r="CH632" s="887">
        <f>[29]Breakdown!K219</f>
        <v>210.32224822867829</v>
      </c>
      <c r="CI632" s="887">
        <f>[29]Breakdown!L219</f>
        <v>210.67527703935957</v>
      </c>
      <c r="CJ632" s="887">
        <f>[29]Breakdown!M219</f>
        <v>211.02830585003721</v>
      </c>
      <c r="CK632" s="25">
        <f t="shared" si="595"/>
        <v>209.08664739129321</v>
      </c>
      <c r="CM632" s="2">
        <f t="shared" si="556"/>
        <v>2039</v>
      </c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</row>
    <row r="633" spans="1:119">
      <c r="A633" s="2">
        <f t="shared" si="535"/>
        <v>2040</v>
      </c>
      <c r="B633" s="880">
        <f t="shared" si="562"/>
        <v>1266</v>
      </c>
      <c r="C633" s="880">
        <f t="shared" si="563"/>
        <v>1088</v>
      </c>
      <c r="D633" s="880">
        <f t="shared" si="564"/>
        <v>891</v>
      </c>
      <c r="E633" s="34">
        <f t="shared" si="565"/>
        <v>521</v>
      </c>
      <c r="F633" s="34">
        <f t="shared" si="566"/>
        <v>599</v>
      </c>
      <c r="G633" s="34">
        <f t="shared" si="567"/>
        <v>696</v>
      </c>
      <c r="H633" s="34">
        <f t="shared" si="568"/>
        <v>689</v>
      </c>
      <c r="I633" s="34">
        <f t="shared" si="569"/>
        <v>712</v>
      </c>
      <c r="J633" s="34">
        <f t="shared" si="570"/>
        <v>680</v>
      </c>
      <c r="K633" s="34">
        <f t="shared" si="571"/>
        <v>468</v>
      </c>
      <c r="L633" s="880">
        <f t="shared" si="572"/>
        <v>708</v>
      </c>
      <c r="M633" s="880">
        <f t="shared" si="573"/>
        <v>814</v>
      </c>
      <c r="N633" s="25">
        <f t="shared" si="574"/>
        <v>761</v>
      </c>
      <c r="P633" s="2">
        <f t="shared" si="575"/>
        <v>2040</v>
      </c>
      <c r="Q633" s="438">
        <f t="shared" si="576"/>
        <v>1124</v>
      </c>
      <c r="R633" s="438">
        <f t="shared" si="577"/>
        <v>969</v>
      </c>
      <c r="S633" s="438">
        <f t="shared" si="578"/>
        <v>784</v>
      </c>
      <c r="T633" s="438">
        <f t="shared" si="579"/>
        <v>521</v>
      </c>
      <c r="U633" s="438">
        <f t="shared" si="580"/>
        <v>599</v>
      </c>
      <c r="V633" s="438">
        <f t="shared" si="581"/>
        <v>696</v>
      </c>
      <c r="W633" s="438">
        <f t="shared" si="582"/>
        <v>689</v>
      </c>
      <c r="X633" s="438">
        <f t="shared" si="583"/>
        <v>712</v>
      </c>
      <c r="Y633" s="438">
        <f t="shared" si="584"/>
        <v>680</v>
      </c>
      <c r="Z633" s="438">
        <f t="shared" si="585"/>
        <v>468</v>
      </c>
      <c r="AA633" s="438">
        <f t="shared" si="586"/>
        <v>613</v>
      </c>
      <c r="AB633" s="438">
        <f t="shared" si="587"/>
        <v>705</v>
      </c>
      <c r="AC633" s="25">
        <f t="shared" si="588"/>
        <v>713</v>
      </c>
      <c r="AE633" s="2">
        <f t="shared" si="589"/>
        <v>2040</v>
      </c>
      <c r="AF633" s="887">
        <f t="shared" si="525"/>
        <v>142</v>
      </c>
      <c r="AG633" s="887">
        <f t="shared" si="536"/>
        <v>119</v>
      </c>
      <c r="AH633" s="887">
        <f t="shared" si="537"/>
        <v>107</v>
      </c>
      <c r="AI633" s="1112">
        <f t="shared" si="538"/>
        <v>123</v>
      </c>
      <c r="AJ633" s="25">
        <f t="shared" si="539"/>
        <v>141</v>
      </c>
      <c r="AK633" s="25">
        <f t="shared" si="540"/>
        <v>139</v>
      </c>
      <c r="AL633" s="25">
        <f t="shared" si="541"/>
        <v>143</v>
      </c>
      <c r="AM633" s="25">
        <f t="shared" si="542"/>
        <v>147</v>
      </c>
      <c r="AN633" s="25">
        <f t="shared" si="543"/>
        <v>130</v>
      </c>
      <c r="AO633" s="1113">
        <f t="shared" si="544"/>
        <v>129</v>
      </c>
      <c r="AP633" s="887">
        <f t="shared" si="545"/>
        <v>95</v>
      </c>
      <c r="AQ633" s="887">
        <f t="shared" si="546"/>
        <v>109</v>
      </c>
      <c r="AR633" s="25">
        <f t="shared" si="590"/>
        <v>127</v>
      </c>
      <c r="AT633" s="2">
        <f t="shared" si="591"/>
        <v>2040</v>
      </c>
      <c r="AU633" s="887">
        <f>[29]Breakdown!B109+[29]Breakdown!B146</f>
        <v>912.91399999999885</v>
      </c>
      <c r="AV633" s="887">
        <f>[29]Breakdown!C109+[29]Breakdown!C146</f>
        <v>757.12016028053858</v>
      </c>
      <c r="AW633" s="887">
        <f>[29]Breakdown!D109+[29]Breakdown!D146</f>
        <v>572.40682049961538</v>
      </c>
      <c r="AX633" s="887">
        <f>[29]Breakdown!E109+[29]Breakdown!E146</f>
        <v>306.18137971595434</v>
      </c>
      <c r="AY633" s="887">
        <f>[29]Breakdown!F109+[29]Breakdown!F146</f>
        <v>384.11393339704728</v>
      </c>
      <c r="AZ633" s="887">
        <f>[29]Breakdown!G109+[29]Breakdown!G146</f>
        <v>481.26627656777964</v>
      </c>
      <c r="BA633" s="887">
        <f>[29]Breakdown!H109+[29]Breakdown!H146</f>
        <v>473.84517868672788</v>
      </c>
      <c r="BB633" s="887">
        <f>[29]Breakdown!I109+[29]Breakdown!I146</f>
        <v>496.39740000000074</v>
      </c>
      <c r="BC633" s="887">
        <f>[29]Breakdown!J109+[29]Breakdown!J146</f>
        <v>463.86745546112797</v>
      </c>
      <c r="BD633" s="887">
        <f>[29]Breakdown!K109+[29]Breakdown!K146</f>
        <v>251.62332094252179</v>
      </c>
      <c r="BE633" s="887">
        <f>[29]Breakdown!L109+[29]Breakdown!L146</f>
        <v>398.42505198104982</v>
      </c>
      <c r="BF633" s="887">
        <f>[29]Breakdown!M109+[29]Breakdown!M146</f>
        <v>489.84946245942183</v>
      </c>
      <c r="BG633" s="25">
        <f t="shared" si="596"/>
        <v>499.00086999931546</v>
      </c>
      <c r="BI633" s="2">
        <f t="shared" si="593"/>
        <v>2040</v>
      </c>
      <c r="BJ633" s="887">
        <f>[29]Breakdown!B183</f>
        <v>0</v>
      </c>
      <c r="BK633" s="887">
        <f>[29]Breakdown!C183</f>
        <v>0</v>
      </c>
      <c r="BL633" s="887">
        <f>[29]Breakdown!D183</f>
        <v>0</v>
      </c>
      <c r="BM633" s="887">
        <f>[29]Breakdown!E183</f>
        <v>2</v>
      </c>
      <c r="BN633" s="887">
        <f>[29]Breakdown!F183</f>
        <v>2</v>
      </c>
      <c r="BO633" s="887">
        <f>[29]Breakdown!G183</f>
        <v>2</v>
      </c>
      <c r="BP633" s="887">
        <f>[29]Breakdown!H183</f>
        <v>2</v>
      </c>
      <c r="BQ633" s="887">
        <f>[29]Breakdown!I183</f>
        <v>2</v>
      </c>
      <c r="BR633" s="887">
        <f>[29]Breakdown!J183</f>
        <v>2</v>
      </c>
      <c r="BS633" s="887">
        <f>[29]Breakdown!K183</f>
        <v>2</v>
      </c>
      <c r="BT633" s="887">
        <f>[29]Breakdown!L183</f>
        <v>0</v>
      </c>
      <c r="BU633" s="887">
        <f>[29]Breakdown!M183</f>
        <v>0</v>
      </c>
      <c r="BV633" s="25">
        <f t="shared" si="560"/>
        <v>1.1666666666666667</v>
      </c>
      <c r="BX633" s="2">
        <f t="shared" si="594"/>
        <v>2040</v>
      </c>
      <c r="BY633" s="887">
        <f>[29]Breakdown!B220</f>
        <v>211.38133466072031</v>
      </c>
      <c r="BZ633" s="887">
        <f>[29]Breakdown!C220</f>
        <v>211.73436347140159</v>
      </c>
      <c r="CA633" s="887">
        <f>[29]Breakdown!D220</f>
        <v>212.0873922820756</v>
      </c>
      <c r="CB633" s="887">
        <f>[29]Breakdown!E220</f>
        <v>212.44042109276779</v>
      </c>
      <c r="CC633" s="887">
        <f>[29]Breakdown!F220</f>
        <v>212.79344990344907</v>
      </c>
      <c r="CD633" s="887">
        <f>[29]Breakdown!G220</f>
        <v>213.14647871413035</v>
      </c>
      <c r="CE633" s="887">
        <f>[29]Breakdown!H220</f>
        <v>213.49950752481163</v>
      </c>
      <c r="CF633" s="887">
        <f>[29]Breakdown!I220</f>
        <v>213.85253633548928</v>
      </c>
      <c r="CG633" s="887">
        <f>[29]Breakdown!J220</f>
        <v>214.20556514617056</v>
      </c>
      <c r="CH633" s="887">
        <f>[29]Breakdown!K220</f>
        <v>214.55859395685184</v>
      </c>
      <c r="CI633" s="887">
        <f>[29]Breakdown!L220</f>
        <v>214.91162276753312</v>
      </c>
      <c r="CJ633" s="887">
        <f>[29]Breakdown!M220</f>
        <v>215.26465157821076</v>
      </c>
      <c r="CK633" s="25">
        <f t="shared" si="595"/>
        <v>213.32299311946767</v>
      </c>
      <c r="CM633" s="2">
        <f t="shared" si="556"/>
        <v>2040</v>
      </c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</row>
    <row r="634" spans="1:119">
      <c r="A634" s="2">
        <f t="shared" si="535"/>
        <v>2041</v>
      </c>
      <c r="B634" s="880"/>
      <c r="C634" s="880"/>
      <c r="D634" s="880"/>
      <c r="E634" s="34"/>
      <c r="F634" s="34"/>
      <c r="G634" s="34"/>
      <c r="H634" s="34"/>
      <c r="I634" s="34"/>
      <c r="J634" s="34"/>
      <c r="K634" s="34"/>
      <c r="L634" s="880"/>
      <c r="M634" s="880"/>
      <c r="N634" s="25"/>
      <c r="P634" s="2">
        <f t="shared" si="575"/>
        <v>2041</v>
      </c>
      <c r="Q634" s="438"/>
      <c r="R634" s="438"/>
      <c r="S634" s="438"/>
      <c r="T634" s="438"/>
      <c r="U634" s="438"/>
      <c r="V634" s="438"/>
      <c r="W634" s="438"/>
      <c r="X634" s="438"/>
      <c r="Y634" s="438"/>
      <c r="Z634" s="438"/>
      <c r="AA634" s="438"/>
      <c r="AB634" s="438"/>
      <c r="AC634" s="25"/>
      <c r="AE634" s="2">
        <f t="shared" si="589"/>
        <v>2041</v>
      </c>
      <c r="AF634" s="887"/>
      <c r="AG634" s="887"/>
      <c r="AH634" s="887"/>
      <c r="AI634" s="1112"/>
      <c r="AJ634" s="25"/>
      <c r="AK634" s="25"/>
      <c r="AL634" s="25"/>
      <c r="AM634" s="25"/>
      <c r="AN634" s="25"/>
      <c r="AO634" s="1113"/>
      <c r="AP634" s="887"/>
      <c r="AQ634" s="887"/>
      <c r="AR634" s="25"/>
      <c r="AT634" s="2">
        <f t="shared" si="591"/>
        <v>2041</v>
      </c>
      <c r="AU634" s="887"/>
      <c r="AV634" s="887"/>
      <c r="AW634" s="887"/>
      <c r="AX634" s="887"/>
      <c r="AY634" s="887"/>
      <c r="AZ634" s="887"/>
      <c r="BA634" s="887"/>
      <c r="BB634" s="887"/>
      <c r="BC634" s="887"/>
      <c r="BD634" s="887"/>
      <c r="BE634" s="887"/>
      <c r="BF634" s="887"/>
      <c r="BG634" s="25"/>
      <c r="BI634" s="2">
        <f t="shared" si="593"/>
        <v>2041</v>
      </c>
      <c r="BJ634" s="887"/>
      <c r="BK634" s="887"/>
      <c r="BL634" s="887"/>
      <c r="BM634" s="887"/>
      <c r="BN634" s="887"/>
      <c r="BO634" s="887"/>
      <c r="BP634" s="887"/>
      <c r="BQ634" s="887"/>
      <c r="BR634" s="887"/>
      <c r="BS634" s="887"/>
      <c r="BT634" s="887"/>
      <c r="BU634" s="887"/>
      <c r="BV634" s="25"/>
      <c r="BX634" s="2">
        <f t="shared" si="594"/>
        <v>2041</v>
      </c>
      <c r="BY634" s="887"/>
      <c r="BZ634" s="887"/>
      <c r="CA634" s="887"/>
      <c r="CB634" s="887"/>
      <c r="CC634" s="887"/>
      <c r="CD634" s="887"/>
      <c r="CE634" s="887"/>
      <c r="CF634" s="887"/>
      <c r="CG634" s="887"/>
      <c r="CH634" s="887"/>
      <c r="CI634" s="887"/>
      <c r="CJ634" s="887"/>
      <c r="CK634" s="25"/>
      <c r="CM634" s="2">
        <f t="shared" si="556"/>
        <v>2041</v>
      </c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</row>
    <row r="635" spans="1:119">
      <c r="A635" s="2">
        <f t="shared" si="535"/>
        <v>2042</v>
      </c>
      <c r="B635" s="880"/>
      <c r="C635" s="880"/>
      <c r="D635" s="880"/>
      <c r="E635" s="34"/>
      <c r="F635" s="34"/>
      <c r="G635" s="34"/>
      <c r="H635" s="34"/>
      <c r="I635" s="34"/>
      <c r="J635" s="34"/>
      <c r="K635" s="34"/>
      <c r="L635" s="880"/>
      <c r="M635" s="880"/>
      <c r="N635" s="25"/>
      <c r="P635" s="2">
        <f t="shared" si="575"/>
        <v>2042</v>
      </c>
      <c r="Q635" s="438"/>
      <c r="R635" s="438"/>
      <c r="S635" s="438"/>
      <c r="T635" s="438"/>
      <c r="U635" s="438"/>
      <c r="V635" s="438"/>
      <c r="W635" s="438"/>
      <c r="X635" s="438"/>
      <c r="Y635" s="438"/>
      <c r="Z635" s="438"/>
      <c r="AA635" s="438"/>
      <c r="AB635" s="438"/>
      <c r="AC635" s="25"/>
      <c r="AE635" s="2">
        <f t="shared" si="589"/>
        <v>2042</v>
      </c>
      <c r="AF635" s="887"/>
      <c r="AG635" s="887"/>
      <c r="AH635" s="887"/>
      <c r="AI635" s="1112"/>
      <c r="AJ635" s="25"/>
      <c r="AK635" s="25"/>
      <c r="AL635" s="25"/>
      <c r="AM635" s="25"/>
      <c r="AN635" s="25"/>
      <c r="AO635" s="1113"/>
      <c r="AP635" s="887"/>
      <c r="AQ635" s="887"/>
      <c r="AR635" s="25"/>
      <c r="AT635" s="2">
        <f t="shared" si="591"/>
        <v>2042</v>
      </c>
      <c r="AU635" s="887"/>
      <c r="AV635" s="887"/>
      <c r="AW635" s="887"/>
      <c r="AX635" s="887"/>
      <c r="AY635" s="887"/>
      <c r="AZ635" s="887"/>
      <c r="BA635" s="887"/>
      <c r="BB635" s="887"/>
      <c r="BC635" s="887"/>
      <c r="BD635" s="887"/>
      <c r="BE635" s="887"/>
      <c r="BF635" s="887"/>
      <c r="BG635" s="25"/>
      <c r="BI635" s="2">
        <f t="shared" si="593"/>
        <v>2042</v>
      </c>
      <c r="BJ635" s="887"/>
      <c r="BK635" s="887"/>
      <c r="BL635" s="887"/>
      <c r="BM635" s="887"/>
      <c r="BN635" s="887"/>
      <c r="BO635" s="887"/>
      <c r="BP635" s="887"/>
      <c r="BQ635" s="887"/>
      <c r="BR635" s="887"/>
      <c r="BS635" s="887"/>
      <c r="BT635" s="887"/>
      <c r="BU635" s="887"/>
      <c r="BV635" s="25"/>
      <c r="BX635" s="2">
        <f t="shared" si="594"/>
        <v>2042</v>
      </c>
      <c r="BY635" s="887"/>
      <c r="BZ635" s="887"/>
      <c r="CA635" s="887"/>
      <c r="CB635" s="887"/>
      <c r="CC635" s="887"/>
      <c r="CD635" s="887"/>
      <c r="CE635" s="887"/>
      <c r="CF635" s="887"/>
      <c r="CG635" s="887"/>
      <c r="CH635" s="887"/>
      <c r="CI635" s="887"/>
      <c r="CJ635" s="887"/>
      <c r="CK635" s="25"/>
      <c r="CM635" s="2">
        <f t="shared" si="556"/>
        <v>2042</v>
      </c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</row>
    <row r="636" spans="1:119">
      <c r="A636" s="2">
        <f t="shared" si="535"/>
        <v>2043</v>
      </c>
      <c r="B636" s="880"/>
      <c r="C636" s="880"/>
      <c r="D636" s="880"/>
      <c r="E636" s="34"/>
      <c r="F636" s="34"/>
      <c r="G636" s="34"/>
      <c r="H636" s="34"/>
      <c r="I636" s="34"/>
      <c r="J636" s="34"/>
      <c r="K636" s="34"/>
      <c r="L636" s="880"/>
      <c r="M636" s="880"/>
      <c r="N636" s="25"/>
      <c r="P636" s="2">
        <f t="shared" si="575"/>
        <v>2043</v>
      </c>
      <c r="Q636" s="438"/>
      <c r="R636" s="438"/>
      <c r="S636" s="438"/>
      <c r="T636" s="438"/>
      <c r="U636" s="438"/>
      <c r="V636" s="438"/>
      <c r="W636" s="438"/>
      <c r="X636" s="438"/>
      <c r="Y636" s="438"/>
      <c r="Z636" s="438"/>
      <c r="AA636" s="438"/>
      <c r="AB636" s="438"/>
      <c r="AC636" s="25"/>
      <c r="AE636" s="2">
        <f t="shared" si="589"/>
        <v>2043</v>
      </c>
      <c r="AF636" s="887"/>
      <c r="AG636" s="887"/>
      <c r="AH636" s="887"/>
      <c r="AI636" s="1112"/>
      <c r="AJ636" s="25"/>
      <c r="AK636" s="25"/>
      <c r="AL636" s="25"/>
      <c r="AM636" s="25"/>
      <c r="AN636" s="25"/>
      <c r="AO636" s="1113"/>
      <c r="AP636" s="887"/>
      <c r="AQ636" s="887"/>
      <c r="AR636" s="25"/>
      <c r="AT636" s="2">
        <f t="shared" si="591"/>
        <v>2043</v>
      </c>
      <c r="AU636" s="887"/>
      <c r="AV636" s="887"/>
      <c r="AW636" s="887"/>
      <c r="AX636" s="887"/>
      <c r="AY636" s="887"/>
      <c r="AZ636" s="887"/>
      <c r="BA636" s="887"/>
      <c r="BB636" s="887"/>
      <c r="BC636" s="887"/>
      <c r="BD636" s="887"/>
      <c r="BE636" s="887"/>
      <c r="BF636" s="887"/>
      <c r="BG636" s="25"/>
      <c r="BI636" s="2">
        <f t="shared" si="593"/>
        <v>2043</v>
      </c>
      <c r="BJ636" s="887"/>
      <c r="BK636" s="887"/>
      <c r="BL636" s="887"/>
      <c r="BM636" s="887"/>
      <c r="BN636" s="887"/>
      <c r="BO636" s="887"/>
      <c r="BP636" s="887"/>
      <c r="BQ636" s="887"/>
      <c r="BR636" s="887"/>
      <c r="BS636" s="887"/>
      <c r="BT636" s="887"/>
      <c r="BU636" s="887"/>
      <c r="BV636" s="25"/>
      <c r="BX636" s="2">
        <f t="shared" si="594"/>
        <v>2043</v>
      </c>
      <c r="BY636" s="887"/>
      <c r="BZ636" s="887"/>
      <c r="CA636" s="887"/>
      <c r="CB636" s="887"/>
      <c r="CC636" s="887"/>
      <c r="CD636" s="887"/>
      <c r="CE636" s="887"/>
      <c r="CF636" s="887"/>
      <c r="CG636" s="887"/>
      <c r="CH636" s="887"/>
      <c r="CI636" s="887"/>
      <c r="CJ636" s="887"/>
      <c r="CK636" s="25"/>
      <c r="CM636" s="2">
        <f t="shared" si="556"/>
        <v>2043</v>
      </c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</row>
    <row r="637" spans="1:119">
      <c r="A637" s="2">
        <f t="shared" si="535"/>
        <v>2044</v>
      </c>
      <c r="P637" s="2">
        <f t="shared" si="575"/>
        <v>2044</v>
      </c>
      <c r="Q637" s="438"/>
      <c r="R637" s="438"/>
      <c r="S637" s="438"/>
      <c r="T637" s="438"/>
      <c r="U637" s="438"/>
      <c r="V637" s="438"/>
      <c r="W637" s="438"/>
      <c r="X637" s="438"/>
      <c r="Y637" s="438"/>
      <c r="Z637" s="438"/>
      <c r="AA637" s="438"/>
      <c r="AB637" s="438"/>
      <c r="AC637" s="25"/>
      <c r="AE637" s="2">
        <f t="shared" si="589"/>
        <v>2044</v>
      </c>
      <c r="AI637" s="1114"/>
      <c r="AO637" s="1115"/>
      <c r="AT637" s="2">
        <f t="shared" si="591"/>
        <v>2044</v>
      </c>
      <c r="BI637" s="2">
        <f t="shared" si="593"/>
        <v>2044</v>
      </c>
      <c r="BJ637" s="887"/>
      <c r="BK637" s="887"/>
      <c r="BL637" s="887"/>
      <c r="BM637" s="887"/>
      <c r="BN637" s="887"/>
      <c r="BO637" s="887"/>
      <c r="BP637" s="887"/>
      <c r="BQ637" s="887"/>
      <c r="BR637" s="887"/>
      <c r="BS637" s="887"/>
      <c r="BT637" s="887"/>
      <c r="BU637" s="887"/>
      <c r="BV637" s="25"/>
      <c r="BX637" s="2">
        <f t="shared" si="594"/>
        <v>2044</v>
      </c>
      <c r="BY637" s="887"/>
      <c r="BZ637" s="887"/>
      <c r="CA637" s="887"/>
      <c r="CB637" s="887"/>
      <c r="CC637" s="887"/>
      <c r="CD637" s="887"/>
      <c r="CE637" s="887"/>
      <c r="CF637" s="887"/>
      <c r="CG637" s="887"/>
      <c r="CH637" s="887"/>
      <c r="CI637" s="887"/>
      <c r="CJ637" s="887"/>
      <c r="CK637" s="25"/>
      <c r="CM637" s="2">
        <f t="shared" si="556"/>
        <v>2044</v>
      </c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</row>
    <row r="638" spans="1:119">
      <c r="A638" s="2">
        <f t="shared" si="535"/>
        <v>2045</v>
      </c>
      <c r="P638" s="2">
        <f t="shared" si="575"/>
        <v>2045</v>
      </c>
      <c r="Q638" s="438"/>
      <c r="R638" s="438"/>
      <c r="S638" s="438"/>
      <c r="T638" s="438"/>
      <c r="U638" s="438"/>
      <c r="V638" s="438"/>
      <c r="W638" s="438"/>
      <c r="X638" s="438"/>
      <c r="Y638" s="438"/>
      <c r="Z638" s="438"/>
      <c r="AA638" s="438"/>
      <c r="AB638" s="438"/>
      <c r="AC638" s="25"/>
      <c r="AE638" s="2">
        <f t="shared" si="589"/>
        <v>2045</v>
      </c>
      <c r="AI638" s="724"/>
      <c r="AJ638" s="27"/>
      <c r="AK638" s="27"/>
      <c r="AL638" s="27"/>
      <c r="AM638" s="27"/>
      <c r="AN638" s="27"/>
      <c r="AO638" s="1111"/>
      <c r="AT638" s="2">
        <f t="shared" si="591"/>
        <v>2045</v>
      </c>
      <c r="BI638" s="2">
        <f t="shared" si="593"/>
        <v>2045</v>
      </c>
      <c r="BJ638" s="887"/>
      <c r="BK638" s="887"/>
      <c r="BL638" s="887"/>
      <c r="BM638" s="887"/>
      <c r="BN638" s="887"/>
      <c r="BO638" s="887"/>
      <c r="BP638" s="887"/>
      <c r="BQ638" s="887"/>
      <c r="BR638" s="887"/>
      <c r="BS638" s="887"/>
      <c r="BT638" s="887"/>
      <c r="BU638" s="887"/>
      <c r="BV638" s="25"/>
      <c r="BX638" s="2">
        <f t="shared" si="594"/>
        <v>2045</v>
      </c>
      <c r="BY638" s="887"/>
      <c r="BZ638" s="887"/>
      <c r="CA638" s="887"/>
      <c r="CB638" s="887"/>
      <c r="CC638" s="887"/>
      <c r="CD638" s="887"/>
      <c r="CE638" s="887"/>
      <c r="CF638" s="887"/>
      <c r="CG638" s="887"/>
      <c r="CH638" s="887"/>
      <c r="CI638" s="887"/>
      <c r="CJ638" s="887"/>
      <c r="CK638" s="25"/>
      <c r="CM638" s="2">
        <f t="shared" si="556"/>
        <v>2045</v>
      </c>
    </row>
    <row r="641" spans="1:14">
      <c r="A641" s="1082" t="s">
        <v>266</v>
      </c>
    </row>
    <row r="642" spans="1:14" s="27" customFormat="1">
      <c r="A642" s="27" t="str">
        <f t="shared" ref="A642:M642" si="597">A602</f>
        <v>YEAR</v>
      </c>
      <c r="B642" s="715" t="str">
        <f t="shared" si="597"/>
        <v>Jan/Winter</v>
      </c>
      <c r="C642" s="27" t="str">
        <f t="shared" si="597"/>
        <v>FEB</v>
      </c>
      <c r="D642" s="27" t="str">
        <f t="shared" si="597"/>
        <v>MAR</v>
      </c>
      <c r="E642" s="27" t="str">
        <f t="shared" si="597"/>
        <v>APR</v>
      </c>
      <c r="F642" s="27" t="str">
        <f t="shared" si="597"/>
        <v>MAY</v>
      </c>
      <c r="G642" s="27" t="str">
        <f t="shared" si="597"/>
        <v>JUN</v>
      </c>
      <c r="H642" s="27" t="str">
        <f t="shared" si="597"/>
        <v>JUL</v>
      </c>
      <c r="I642" s="714" t="str">
        <f t="shared" si="597"/>
        <v>Aug/Sum</v>
      </c>
      <c r="J642" s="27" t="str">
        <f t="shared" si="597"/>
        <v>SEP</v>
      </c>
      <c r="K642" s="27" t="str">
        <f t="shared" si="597"/>
        <v>OCT</v>
      </c>
      <c r="L642" s="27" t="str">
        <f t="shared" si="597"/>
        <v>NOV</v>
      </c>
      <c r="M642" s="27" t="str">
        <f t="shared" si="597"/>
        <v>DEC</v>
      </c>
      <c r="N642" s="27" t="s">
        <v>56</v>
      </c>
    </row>
    <row r="643" spans="1:14">
      <c r="A643" s="2">
        <f t="shared" ref="A643:A678" si="598">A363</f>
        <v>2010</v>
      </c>
      <c r="B643" s="34">
        <f>[30]MW!B166</f>
        <v>977</v>
      </c>
      <c r="C643" s="34">
        <f>[30]MW!C166</f>
        <v>207</v>
      </c>
      <c r="D643" s="34">
        <f>[30]MW!D166</f>
        <v>0</v>
      </c>
      <c r="E643" s="34">
        <f>[30]MW!E166</f>
        <v>0</v>
      </c>
      <c r="F643" s="34">
        <f>[30]MW!F166</f>
        <v>0</v>
      </c>
      <c r="G643" s="34">
        <f>[30]MW!G166</f>
        <v>0</v>
      </c>
      <c r="H643" s="34">
        <f>[30]MW!H166</f>
        <v>62</v>
      </c>
      <c r="I643" s="34">
        <f>[30]MW!I166</f>
        <v>0</v>
      </c>
      <c r="J643" s="34">
        <f>[30]MW!J166</f>
        <v>0</v>
      </c>
      <c r="K643" s="34">
        <f>[30]MW!K166</f>
        <v>0</v>
      </c>
      <c r="L643" s="34">
        <f>[30]MW!L166</f>
        <v>0</v>
      </c>
      <c r="M643" s="34">
        <f>[30]MW!M166</f>
        <v>547</v>
      </c>
      <c r="N643" s="25">
        <f t="shared" ref="N643:N653" si="599">SUM(B643:M643)</f>
        <v>1793</v>
      </c>
    </row>
    <row r="644" spans="1:14">
      <c r="A644" s="2">
        <f t="shared" si="598"/>
        <v>2011</v>
      </c>
      <c r="B644" s="34">
        <f>[30]MW!B167</f>
        <v>228</v>
      </c>
      <c r="C644" s="34">
        <f>[30]MW!C167</f>
        <v>0</v>
      </c>
      <c r="D644" s="34">
        <f>[30]MW!D167</f>
        <v>0</v>
      </c>
      <c r="E644" s="34">
        <f>[30]MW!E167</f>
        <v>0</v>
      </c>
      <c r="F644" s="34">
        <f>[30]MW!F167</f>
        <v>0</v>
      </c>
      <c r="G644" s="34">
        <f>[30]MW!G167</f>
        <v>0</v>
      </c>
      <c r="H644" s="34">
        <f>[30]MW!H167</f>
        <v>0</v>
      </c>
      <c r="I644" s="34">
        <f>[30]MW!I167</f>
        <v>0</v>
      </c>
      <c r="J644" s="34">
        <f>[30]MW!J167</f>
        <v>0</v>
      </c>
      <c r="K644" s="34">
        <f>[30]MW!K167</f>
        <v>0</v>
      </c>
      <c r="L644" s="34">
        <f>[30]MW!L167</f>
        <v>0</v>
      </c>
      <c r="M644" s="34">
        <f>[30]MW!M167</f>
        <v>0</v>
      </c>
      <c r="N644" s="25">
        <f t="shared" si="599"/>
        <v>228</v>
      </c>
    </row>
    <row r="645" spans="1:14">
      <c r="A645" s="2">
        <f t="shared" si="598"/>
        <v>2012</v>
      </c>
      <c r="B645" s="34">
        <f>[30]MW!B168</f>
        <v>0</v>
      </c>
      <c r="C645" s="34">
        <f>[30]MW!C168</f>
        <v>0</v>
      </c>
      <c r="D645" s="34">
        <f>[30]MW!D168</f>
        <v>0</v>
      </c>
      <c r="E645" s="34">
        <f>[30]MW!E168</f>
        <v>0</v>
      </c>
      <c r="F645" s="34">
        <f>[30]MW!F168</f>
        <v>0</v>
      </c>
      <c r="G645" s="34">
        <f>[30]MW!G168</f>
        <v>0</v>
      </c>
      <c r="H645" s="34">
        <f>[30]MW!H168</f>
        <v>0</v>
      </c>
      <c r="I645" s="34">
        <f>[30]MW!I168</f>
        <v>0</v>
      </c>
      <c r="J645" s="34">
        <f>[30]MW!J168</f>
        <v>0</v>
      </c>
      <c r="K645" s="34">
        <f>[30]MW!K168</f>
        <v>0</v>
      </c>
      <c r="L645" s="34">
        <f>[30]MW!L168</f>
        <v>0</v>
      </c>
      <c r="M645" s="34">
        <f>[30]MW!M168</f>
        <v>0</v>
      </c>
      <c r="N645" s="25">
        <f t="shared" si="599"/>
        <v>0</v>
      </c>
    </row>
    <row r="646" spans="1:14">
      <c r="A646" s="2">
        <f t="shared" si="598"/>
        <v>2013</v>
      </c>
      <c r="B646" s="34">
        <f>[30]MW!B169</f>
        <v>0</v>
      </c>
      <c r="C646" s="34">
        <f>[30]MW!C169</f>
        <v>0</v>
      </c>
      <c r="D646" s="34">
        <f>[30]MW!D169</f>
        <v>0</v>
      </c>
      <c r="E646" s="34">
        <f>[30]MW!E169</f>
        <v>0</v>
      </c>
      <c r="F646" s="34">
        <f>[30]MW!F169</f>
        <v>0</v>
      </c>
      <c r="G646" s="34">
        <f>[30]MW!G169</f>
        <v>0</v>
      </c>
      <c r="H646" s="34">
        <f>[30]MW!H169</f>
        <v>0</v>
      </c>
      <c r="I646" s="34">
        <f>[30]MW!I169</f>
        <v>0</v>
      </c>
      <c r="J646" s="34">
        <f>[30]MW!J169</f>
        <v>0</v>
      </c>
      <c r="K646" s="34">
        <f>[30]MW!K169</f>
        <v>0</v>
      </c>
      <c r="L646" s="34">
        <f>[30]MW!L169</f>
        <v>0</v>
      </c>
      <c r="M646" s="34">
        <f>[30]MW!M169</f>
        <v>0</v>
      </c>
      <c r="N646" s="25">
        <f t="shared" si="599"/>
        <v>0</v>
      </c>
    </row>
    <row r="647" spans="1:14">
      <c r="A647" s="2">
        <f t="shared" si="598"/>
        <v>2014</v>
      </c>
      <c r="B647" s="34">
        <f>[30]MW!B170</f>
        <v>0</v>
      </c>
      <c r="C647" s="34">
        <f>[30]MW!C170</f>
        <v>0</v>
      </c>
      <c r="D647" s="34">
        <f>[30]MW!D170</f>
        <v>0</v>
      </c>
      <c r="E647" s="34">
        <f>[30]MW!E170</f>
        <v>0</v>
      </c>
      <c r="F647" s="34">
        <f>[30]MW!F170</f>
        <v>0</v>
      </c>
      <c r="G647" s="34">
        <f>[30]MW!G170</f>
        <v>0</v>
      </c>
      <c r="H647" s="34">
        <f>[30]MW!H170</f>
        <v>0</v>
      </c>
      <c r="I647" s="34">
        <f>[30]MW!I170</f>
        <v>0</v>
      </c>
      <c r="J647" s="34">
        <f>[30]MW!J170</f>
        <v>0</v>
      </c>
      <c r="K647" s="34">
        <f>[30]MW!K170</f>
        <v>0</v>
      </c>
      <c r="L647" s="34">
        <f>[30]MW!L170</f>
        <v>0</v>
      </c>
      <c r="M647" s="34">
        <f>[30]MW!M170</f>
        <v>0</v>
      </c>
      <c r="N647" s="25">
        <f t="shared" si="599"/>
        <v>0</v>
      </c>
    </row>
    <row r="648" spans="1:14">
      <c r="A648" s="2">
        <f t="shared" si="598"/>
        <v>2015</v>
      </c>
      <c r="B648" s="34">
        <f>[30]MW!B171</f>
        <v>0</v>
      </c>
      <c r="C648" s="34">
        <f>[30]MW!C171</f>
        <v>0</v>
      </c>
      <c r="D648" s="34">
        <f>[30]MW!D171</f>
        <v>0</v>
      </c>
      <c r="E648" s="34">
        <f>[30]MW!E171</f>
        <v>0</v>
      </c>
      <c r="F648" s="34">
        <f>[30]MW!F171</f>
        <v>0</v>
      </c>
      <c r="G648" s="34">
        <f>[30]MW!G171</f>
        <v>0</v>
      </c>
      <c r="H648" s="34">
        <f>[30]MW!H171</f>
        <v>0</v>
      </c>
      <c r="I648" s="34">
        <f>[30]MW!I171</f>
        <v>0</v>
      </c>
      <c r="J648" s="34">
        <f>[30]MW!J171</f>
        <v>0</v>
      </c>
      <c r="K648" s="34">
        <f>[30]MW!K171</f>
        <v>0</v>
      </c>
      <c r="L648" s="34">
        <f>[30]MW!L171</f>
        <v>0</v>
      </c>
      <c r="M648" s="34">
        <f>[30]MW!M171</f>
        <v>0</v>
      </c>
      <c r="N648" s="25">
        <f t="shared" si="599"/>
        <v>0</v>
      </c>
    </row>
    <row r="649" spans="1:14">
      <c r="A649" s="2">
        <f t="shared" si="598"/>
        <v>2016</v>
      </c>
      <c r="B649" s="34">
        <f>[30]MW!B172</f>
        <v>0</v>
      </c>
      <c r="C649" s="34">
        <f>[30]MW!C172</f>
        <v>0</v>
      </c>
      <c r="D649" s="34">
        <f>[30]MW!D172</f>
        <v>0</v>
      </c>
      <c r="E649" s="34">
        <f>[30]MW!E172</f>
        <v>0</v>
      </c>
      <c r="F649" s="34">
        <f>[30]MW!F172</f>
        <v>0</v>
      </c>
      <c r="G649" s="34">
        <f>[30]MW!G172</f>
        <v>0</v>
      </c>
      <c r="H649" s="34">
        <f>[30]MW!H172</f>
        <v>0</v>
      </c>
      <c r="I649" s="34">
        <f>[30]MW!I172</f>
        <v>0</v>
      </c>
      <c r="J649" s="34">
        <f>[30]MW!J172</f>
        <v>0</v>
      </c>
      <c r="K649" s="34">
        <f>[30]MW!K172</f>
        <v>0</v>
      </c>
      <c r="L649" s="34">
        <f>[30]MW!L172</f>
        <v>0</v>
      </c>
      <c r="M649" s="34">
        <f>[30]MW!M172</f>
        <v>0</v>
      </c>
      <c r="N649" s="25">
        <f t="shared" si="599"/>
        <v>0</v>
      </c>
    </row>
    <row r="650" spans="1:14">
      <c r="A650" s="2">
        <f t="shared" si="598"/>
        <v>2017</v>
      </c>
      <c r="B650" s="34">
        <f>[30]MW!B173</f>
        <v>0</v>
      </c>
      <c r="C650" s="34">
        <f>[30]MW!C173</f>
        <v>0</v>
      </c>
      <c r="D650" s="34">
        <f>[30]MW!D173</f>
        <v>0</v>
      </c>
      <c r="E650" s="34">
        <f>[30]MW!E173</f>
        <v>0</v>
      </c>
      <c r="F650" s="34">
        <f>[30]MW!F173</f>
        <v>0</v>
      </c>
      <c r="G650" s="34">
        <f>[30]MW!G173</f>
        <v>0</v>
      </c>
      <c r="H650" s="34">
        <f>[30]MW!H173</f>
        <v>0</v>
      </c>
      <c r="I650" s="34">
        <f>[30]MW!I173</f>
        <v>0</v>
      </c>
      <c r="J650" s="34">
        <f>[30]MW!J173</f>
        <v>0</v>
      </c>
      <c r="K650" s="34">
        <f>[30]MW!K173</f>
        <v>0</v>
      </c>
      <c r="L650" s="34">
        <f>[30]MW!L173</f>
        <v>0</v>
      </c>
      <c r="M650" s="34">
        <f>[30]MW!M173</f>
        <v>0</v>
      </c>
      <c r="N650" s="25">
        <f t="shared" si="599"/>
        <v>0</v>
      </c>
    </row>
    <row r="651" spans="1:14">
      <c r="A651" s="2">
        <f t="shared" si="598"/>
        <v>2018</v>
      </c>
      <c r="B651" s="34">
        <f>[30]MW!B174</f>
        <v>0</v>
      </c>
      <c r="C651" s="34">
        <f>[30]MW!C174</f>
        <v>0</v>
      </c>
      <c r="D651" s="34">
        <f>[30]MW!D174</f>
        <v>0</v>
      </c>
      <c r="E651" s="34">
        <f>[30]MW!E174</f>
        <v>0</v>
      </c>
      <c r="F651" s="34">
        <f>[30]MW!F174</f>
        <v>0</v>
      </c>
      <c r="G651" s="34">
        <f>[30]MW!G174</f>
        <v>0</v>
      </c>
      <c r="H651" s="34">
        <f>[30]MW!H174</f>
        <v>0</v>
      </c>
      <c r="I651" s="34">
        <f>[30]MW!I174</f>
        <v>0</v>
      </c>
      <c r="J651" s="34">
        <f>[30]MW!J174</f>
        <v>0</v>
      </c>
      <c r="K651" s="34">
        <f>[30]MW!K174</f>
        <v>0</v>
      </c>
      <c r="L651" s="34">
        <f>[30]MW!L174</f>
        <v>0</v>
      </c>
      <c r="M651" s="34">
        <f>[30]MW!M174</f>
        <v>0</v>
      </c>
      <c r="N651" s="25">
        <f t="shared" si="599"/>
        <v>0</v>
      </c>
    </row>
    <row r="652" spans="1:14">
      <c r="A652" s="2">
        <f t="shared" si="598"/>
        <v>2019</v>
      </c>
      <c r="B652" s="34">
        <f>[30]MW!B175</f>
        <v>0</v>
      </c>
      <c r="C652" s="34">
        <f>[30]MW!C175</f>
        <v>0</v>
      </c>
      <c r="D652" s="34">
        <f>[30]MW!D175</f>
        <v>0</v>
      </c>
      <c r="E652" s="34">
        <f>[30]MW!E175</f>
        <v>0</v>
      </c>
      <c r="F652" s="34">
        <f>[30]MW!F175</f>
        <v>0</v>
      </c>
      <c r="G652" s="34">
        <f>[30]MW!G175</f>
        <v>0</v>
      </c>
      <c r="H652" s="34">
        <f>[30]MW!H175</f>
        <v>0</v>
      </c>
      <c r="I652" s="34">
        <f>[30]MW!I175</f>
        <v>0</v>
      </c>
      <c r="J652" s="34">
        <f>[30]MW!J175</f>
        <v>0</v>
      </c>
      <c r="K652" s="34">
        <f>[30]MW!K175</f>
        <v>0</v>
      </c>
      <c r="L652" s="34">
        <f>[30]MW!L175</f>
        <v>0</v>
      </c>
      <c r="M652" s="34">
        <f>[30]MW!M175</f>
        <v>0</v>
      </c>
      <c r="N652" s="25">
        <f t="shared" si="599"/>
        <v>0</v>
      </c>
    </row>
    <row r="653" spans="1:14">
      <c r="A653" s="2">
        <f t="shared" si="598"/>
        <v>2020</v>
      </c>
      <c r="B653" s="34">
        <f>[30]MW!B176</f>
        <v>0</v>
      </c>
      <c r="C653" s="34">
        <f>[30]MW!C176</f>
        <v>0</v>
      </c>
      <c r="D653" s="34">
        <f>[30]MW!D176</f>
        <v>0</v>
      </c>
      <c r="E653" s="34">
        <f>[30]MW!E176</f>
        <v>0</v>
      </c>
      <c r="F653" s="34">
        <f>[30]MW!F176</f>
        <v>0</v>
      </c>
      <c r="G653" s="34">
        <f>[30]MW!G176</f>
        <v>0</v>
      </c>
      <c r="H653" s="34">
        <f>[30]MW!H176</f>
        <v>0</v>
      </c>
      <c r="I653" s="34">
        <f>[30]MW!I176</f>
        <v>0</v>
      </c>
      <c r="J653" s="34">
        <f>[30]MW!J176</f>
        <v>0</v>
      </c>
      <c r="K653" s="34">
        <f>[30]MW!K176</f>
        <v>0</v>
      </c>
      <c r="L653" s="34">
        <f>[30]MW!L176</f>
        <v>0</v>
      </c>
      <c r="M653" s="34">
        <f>[30]MW!M176</f>
        <v>0</v>
      </c>
      <c r="N653" s="25">
        <f t="shared" si="599"/>
        <v>0</v>
      </c>
    </row>
    <row r="654" spans="1:14">
      <c r="A654" s="2">
        <f t="shared" si="598"/>
        <v>2021</v>
      </c>
      <c r="B654" s="34">
        <f>[30]MW!B177</f>
        <v>0</v>
      </c>
      <c r="C654" s="34">
        <f>[30]MW!C177</f>
        <v>0</v>
      </c>
      <c r="D654" s="34">
        <f>[30]MW!D177</f>
        <v>0</v>
      </c>
      <c r="E654" s="34">
        <f>[30]MW!E177</f>
        <v>0</v>
      </c>
      <c r="F654" s="34">
        <f>[30]MW!F177</f>
        <v>0</v>
      </c>
      <c r="G654" s="34">
        <f>[30]MW!G177</f>
        <v>0</v>
      </c>
      <c r="H654" s="34">
        <f>[30]MW!H177</f>
        <v>0</v>
      </c>
      <c r="I654" s="34">
        <f>[30]MW!I177</f>
        <v>0</v>
      </c>
      <c r="J654" s="34">
        <f>[30]MW!J177</f>
        <v>0</v>
      </c>
      <c r="K654" s="34">
        <f>[30]MW!K177</f>
        <v>0</v>
      </c>
      <c r="L654" s="34">
        <f>[30]MW!L177</f>
        <v>0</v>
      </c>
      <c r="M654" s="34">
        <f>[30]MW!M177</f>
        <v>0</v>
      </c>
      <c r="N654" s="25">
        <f t="shared" ref="N654:N659" si="600">SUM(B654:M654)</f>
        <v>0</v>
      </c>
    </row>
    <row r="655" spans="1:14">
      <c r="A655" s="2">
        <f t="shared" si="598"/>
        <v>2022</v>
      </c>
      <c r="B655" s="34">
        <f>[30]MW!B178</f>
        <v>0</v>
      </c>
      <c r="C655" s="34">
        <f>[30]MW!C178</f>
        <v>0</v>
      </c>
      <c r="D655" s="34">
        <f>[30]MW!D178</f>
        <v>0</v>
      </c>
      <c r="E655" s="34">
        <f>[30]MW!E178</f>
        <v>0</v>
      </c>
      <c r="F655" s="34">
        <f>[30]MW!F178</f>
        <v>0</v>
      </c>
      <c r="G655" s="34">
        <f>[30]MW!G178</f>
        <v>0</v>
      </c>
      <c r="H655" s="34">
        <f>[30]MW!H178</f>
        <v>0</v>
      </c>
      <c r="I655" s="34">
        <f>[30]MW!I178</f>
        <v>0</v>
      </c>
      <c r="J655" s="34">
        <f>[30]MW!J178</f>
        <v>0</v>
      </c>
      <c r="K655" s="34">
        <f>[30]MW!K178</f>
        <v>0</v>
      </c>
      <c r="L655" s="34">
        <f>[30]MW!L178</f>
        <v>0</v>
      </c>
      <c r="M655" s="34">
        <f>[30]MW!M178</f>
        <v>0</v>
      </c>
      <c r="N655" s="25">
        <f t="shared" si="600"/>
        <v>0</v>
      </c>
    </row>
    <row r="656" spans="1:14">
      <c r="A656" s="2">
        <f t="shared" si="598"/>
        <v>2023</v>
      </c>
      <c r="B656" s="34">
        <f>[30]MW!B179</f>
        <v>0</v>
      </c>
      <c r="C656" s="34">
        <f>[30]MW!C179</f>
        <v>0</v>
      </c>
      <c r="D656" s="34">
        <f>[30]MW!D179</f>
        <v>0</v>
      </c>
      <c r="E656" s="34">
        <f>[30]MW!E179</f>
        <v>0</v>
      </c>
      <c r="F656" s="34">
        <f>[30]MW!F179</f>
        <v>0</v>
      </c>
      <c r="G656" s="34">
        <f>[30]MW!G179</f>
        <v>0</v>
      </c>
      <c r="H656" s="34">
        <f>[30]MW!H179</f>
        <v>0</v>
      </c>
      <c r="I656" s="34">
        <f>[30]MW!I179</f>
        <v>0</v>
      </c>
      <c r="J656" s="34">
        <f>[30]MW!J179</f>
        <v>0</v>
      </c>
      <c r="K656" s="34">
        <f>[30]MW!K179</f>
        <v>0</v>
      </c>
      <c r="L656" s="34">
        <f>[30]MW!L179</f>
        <v>0</v>
      </c>
      <c r="M656" s="34">
        <f>[30]MW!M179</f>
        <v>0</v>
      </c>
      <c r="N656" s="25">
        <f t="shared" si="600"/>
        <v>0</v>
      </c>
    </row>
    <row r="657" spans="1:14">
      <c r="A657" s="2">
        <f t="shared" si="598"/>
        <v>2024</v>
      </c>
      <c r="B657" s="34">
        <f>[30]MW!B180</f>
        <v>0</v>
      </c>
      <c r="C657" s="34">
        <f>[30]MW!C180</f>
        <v>0</v>
      </c>
      <c r="D657" s="34">
        <f>[30]MW!D180</f>
        <v>0</v>
      </c>
      <c r="E657" s="34">
        <f>[30]MW!E180</f>
        <v>0</v>
      </c>
      <c r="F657" s="34">
        <f>[30]MW!F180</f>
        <v>0</v>
      </c>
      <c r="G657" s="34">
        <f>[30]MW!G180</f>
        <v>0</v>
      </c>
      <c r="H657" s="34">
        <f>[30]MW!H180</f>
        <v>0</v>
      </c>
      <c r="I657" s="34">
        <f>[30]MW!I180</f>
        <v>0</v>
      </c>
      <c r="J657" s="34">
        <f>[30]MW!J180</f>
        <v>0</v>
      </c>
      <c r="K657" s="34">
        <f>[30]MW!K180</f>
        <v>0</v>
      </c>
      <c r="L657" s="34">
        <f>[30]MW!L180</f>
        <v>0</v>
      </c>
      <c r="M657" s="34">
        <f>[30]MW!M180</f>
        <v>0</v>
      </c>
      <c r="N657" s="25">
        <f t="shared" si="600"/>
        <v>0</v>
      </c>
    </row>
    <row r="658" spans="1:14">
      <c r="A658" s="2">
        <f t="shared" si="598"/>
        <v>2025</v>
      </c>
      <c r="B658" s="34">
        <f>[30]MW!B181</f>
        <v>0</v>
      </c>
      <c r="C658" s="34">
        <f>[30]MW!C181</f>
        <v>0</v>
      </c>
      <c r="D658" s="34">
        <f>[30]MW!D181</f>
        <v>0</v>
      </c>
      <c r="E658" s="34">
        <f>[30]MW!E181</f>
        <v>0</v>
      </c>
      <c r="F658" s="34">
        <f>[30]MW!F181</f>
        <v>0</v>
      </c>
      <c r="G658" s="34">
        <f>[30]MW!G181</f>
        <v>0</v>
      </c>
      <c r="H658" s="34">
        <f>[30]MW!H181</f>
        <v>0</v>
      </c>
      <c r="I658" s="34">
        <f>[30]MW!I181</f>
        <v>0</v>
      </c>
      <c r="J658" s="34">
        <f>[30]MW!J181</f>
        <v>0</v>
      </c>
      <c r="K658" s="34">
        <f>[30]MW!K181</f>
        <v>0</v>
      </c>
      <c r="L658" s="34">
        <f>[30]MW!L181</f>
        <v>0</v>
      </c>
      <c r="M658" s="34">
        <f>[30]MW!M181</f>
        <v>0</v>
      </c>
      <c r="N658" s="25">
        <f t="shared" si="600"/>
        <v>0</v>
      </c>
    </row>
    <row r="659" spans="1:14">
      <c r="A659" s="2">
        <f t="shared" si="598"/>
        <v>2026</v>
      </c>
      <c r="B659" s="34">
        <f>[30]MW!B182</f>
        <v>0</v>
      </c>
      <c r="C659" s="34">
        <f>[30]MW!C182</f>
        <v>0</v>
      </c>
      <c r="D659" s="34">
        <f>[30]MW!D182</f>
        <v>0</v>
      </c>
      <c r="E659" s="34">
        <f>[30]MW!E182</f>
        <v>0</v>
      </c>
      <c r="F659" s="34">
        <f>[30]MW!F182</f>
        <v>0</v>
      </c>
      <c r="G659" s="34">
        <f>[30]MW!G182</f>
        <v>0</v>
      </c>
      <c r="H659" s="34">
        <f>[30]MW!H182</f>
        <v>0</v>
      </c>
      <c r="I659" s="34">
        <f>[30]MW!I182</f>
        <v>0</v>
      </c>
      <c r="J659" s="34">
        <f>[30]MW!J182</f>
        <v>0</v>
      </c>
      <c r="K659" s="34">
        <f>[30]MW!K182</f>
        <v>0</v>
      </c>
      <c r="L659" s="34">
        <f>[30]MW!L182</f>
        <v>0</v>
      </c>
      <c r="M659" s="34">
        <f>[30]MW!M182</f>
        <v>0</v>
      </c>
      <c r="N659" s="25">
        <f t="shared" si="600"/>
        <v>0</v>
      </c>
    </row>
    <row r="660" spans="1:14">
      <c r="A660" s="2">
        <f t="shared" si="598"/>
        <v>2027</v>
      </c>
      <c r="B660" s="34">
        <f>[30]MW!B183</f>
        <v>0</v>
      </c>
      <c r="C660" s="34">
        <f>[30]MW!C183</f>
        <v>0</v>
      </c>
      <c r="D660" s="34">
        <f>[30]MW!D183</f>
        <v>0</v>
      </c>
      <c r="E660" s="34">
        <f>[30]MW!E183</f>
        <v>0</v>
      </c>
      <c r="F660" s="34">
        <f>[30]MW!F183</f>
        <v>0</v>
      </c>
      <c r="G660" s="34">
        <f>[30]MW!G183</f>
        <v>0</v>
      </c>
      <c r="H660" s="34">
        <f>[30]MW!H183</f>
        <v>0</v>
      </c>
      <c r="I660" s="34">
        <f>[30]MW!I183</f>
        <v>0</v>
      </c>
      <c r="J660" s="34">
        <f>[30]MW!J183</f>
        <v>0</v>
      </c>
      <c r="K660" s="34">
        <f>[30]MW!K183</f>
        <v>0</v>
      </c>
      <c r="L660" s="34">
        <f>[30]MW!L183</f>
        <v>0</v>
      </c>
      <c r="M660" s="34">
        <f>[30]MW!M183</f>
        <v>0</v>
      </c>
      <c r="N660" s="25">
        <f>SUM(B660:M660)</f>
        <v>0</v>
      </c>
    </row>
    <row r="661" spans="1:14">
      <c r="A661" s="2">
        <f t="shared" si="598"/>
        <v>2028</v>
      </c>
      <c r="B661" s="34">
        <f>[30]MW!B184</f>
        <v>0</v>
      </c>
      <c r="C661" s="34">
        <f>[30]MW!C184</f>
        <v>0</v>
      </c>
      <c r="D661" s="34">
        <f>[30]MW!D184</f>
        <v>0</v>
      </c>
      <c r="E661" s="34">
        <f>[30]MW!E184</f>
        <v>0</v>
      </c>
      <c r="F661" s="34">
        <f>[30]MW!F184</f>
        <v>0</v>
      </c>
      <c r="G661" s="34">
        <f>[30]MW!G184</f>
        <v>0</v>
      </c>
      <c r="H661" s="34">
        <f>[30]MW!H184</f>
        <v>0</v>
      </c>
      <c r="I661" s="34">
        <f>[30]MW!I184</f>
        <v>0</v>
      </c>
      <c r="J661" s="34">
        <f>[30]MW!J184</f>
        <v>0</v>
      </c>
      <c r="K661" s="34">
        <f>[30]MW!K184</f>
        <v>0</v>
      </c>
      <c r="L661" s="34">
        <f>[30]MW!L184</f>
        <v>0</v>
      </c>
      <c r="M661" s="34">
        <f>[30]MW!M184</f>
        <v>0</v>
      </c>
      <c r="N661" s="25">
        <f>SUM(B661:M661)</f>
        <v>0</v>
      </c>
    </row>
    <row r="662" spans="1:14">
      <c r="A662" s="2">
        <f t="shared" si="598"/>
        <v>2029</v>
      </c>
      <c r="B662" s="34">
        <f>[30]MW!B185</f>
        <v>0</v>
      </c>
      <c r="C662" s="34">
        <f>[30]MW!C185</f>
        <v>0</v>
      </c>
      <c r="D662" s="34">
        <f>[30]MW!D185</f>
        <v>0</v>
      </c>
      <c r="E662" s="34">
        <f>[30]MW!E185</f>
        <v>0</v>
      </c>
      <c r="F662" s="34">
        <f>[30]MW!F185</f>
        <v>0</v>
      </c>
      <c r="G662" s="34">
        <f>[30]MW!G185</f>
        <v>0</v>
      </c>
      <c r="H662" s="34">
        <f>[30]MW!H185</f>
        <v>0</v>
      </c>
      <c r="I662" s="34">
        <f>[30]MW!I185</f>
        <v>0</v>
      </c>
      <c r="J662" s="34">
        <f>[30]MW!J185</f>
        <v>0</v>
      </c>
      <c r="K662" s="34">
        <f>[30]MW!K185</f>
        <v>0</v>
      </c>
      <c r="L662" s="34">
        <f>[30]MW!L185</f>
        <v>0</v>
      </c>
      <c r="M662" s="34">
        <f>[30]MW!M185</f>
        <v>0</v>
      </c>
      <c r="N662" s="25">
        <f>SUM(B662:M662)</f>
        <v>0</v>
      </c>
    </row>
    <row r="663" spans="1:14">
      <c r="A663" s="2">
        <f t="shared" si="598"/>
        <v>2030</v>
      </c>
      <c r="B663" s="34">
        <f>[30]MW!B186</f>
        <v>0</v>
      </c>
      <c r="C663" s="34">
        <f>[30]MW!C186</f>
        <v>0</v>
      </c>
      <c r="D663" s="34">
        <f>[30]MW!D186</f>
        <v>0</v>
      </c>
      <c r="E663" s="34">
        <f>[30]MW!E186</f>
        <v>0</v>
      </c>
      <c r="F663" s="34">
        <f>[30]MW!F186</f>
        <v>0</v>
      </c>
      <c r="G663" s="34">
        <f>[30]MW!G186</f>
        <v>0</v>
      </c>
      <c r="H663" s="34">
        <f>[30]MW!H186</f>
        <v>0</v>
      </c>
      <c r="I663" s="34">
        <f>[30]MW!I186</f>
        <v>0</v>
      </c>
      <c r="J663" s="34">
        <f>[30]MW!J186</f>
        <v>0</v>
      </c>
      <c r="K663" s="34">
        <f>[30]MW!K186</f>
        <v>0</v>
      </c>
      <c r="L663" s="34">
        <f>[30]MW!L186</f>
        <v>0</v>
      </c>
      <c r="M663" s="34">
        <f>[30]MW!M186</f>
        <v>0</v>
      </c>
      <c r="N663" s="25">
        <f>SUM(B663:M663)</f>
        <v>0</v>
      </c>
    </row>
    <row r="664" spans="1:14">
      <c r="A664" s="2">
        <f t="shared" si="598"/>
        <v>2031</v>
      </c>
      <c r="B664" s="34">
        <f>[30]MW!B187</f>
        <v>0</v>
      </c>
      <c r="C664" s="34">
        <f>[30]MW!C187</f>
        <v>0</v>
      </c>
      <c r="D664" s="34">
        <f>[30]MW!D187</f>
        <v>0</v>
      </c>
      <c r="E664" s="34">
        <f>[30]MW!E187</f>
        <v>0</v>
      </c>
      <c r="F664" s="34">
        <f>[30]MW!F187</f>
        <v>0</v>
      </c>
      <c r="G664" s="34">
        <f>[30]MW!G187</f>
        <v>0</v>
      </c>
      <c r="H664" s="34">
        <f>[30]MW!H187</f>
        <v>0</v>
      </c>
      <c r="I664" s="34">
        <f>[30]MW!I187</f>
        <v>0</v>
      </c>
      <c r="J664" s="34">
        <f>[30]MW!J187</f>
        <v>0</v>
      </c>
      <c r="K664" s="34">
        <f>[30]MW!K187</f>
        <v>0</v>
      </c>
      <c r="L664" s="34">
        <f>[30]MW!L187</f>
        <v>0</v>
      </c>
      <c r="M664" s="34">
        <f>[30]MW!M187</f>
        <v>0</v>
      </c>
      <c r="N664" s="25">
        <f t="shared" ref="N664:N673" si="601">SUM(B664:M664)</f>
        <v>0</v>
      </c>
    </row>
    <row r="665" spans="1:14">
      <c r="A665" s="2">
        <f t="shared" si="598"/>
        <v>2032</v>
      </c>
      <c r="B665" s="34">
        <f>[30]MW!B188</f>
        <v>0</v>
      </c>
      <c r="C665" s="34">
        <f>[30]MW!C188</f>
        <v>0</v>
      </c>
      <c r="D665" s="34">
        <f>[30]MW!D188</f>
        <v>0</v>
      </c>
      <c r="E665" s="34">
        <f>[30]MW!E188</f>
        <v>0</v>
      </c>
      <c r="F665" s="34">
        <f>[30]MW!F188</f>
        <v>0</v>
      </c>
      <c r="G665" s="34">
        <f>[30]MW!G188</f>
        <v>0</v>
      </c>
      <c r="H665" s="34">
        <f>[30]MW!H188</f>
        <v>0</v>
      </c>
      <c r="I665" s="34">
        <f>[30]MW!I188</f>
        <v>0</v>
      </c>
      <c r="J665" s="34">
        <f>[30]MW!J188</f>
        <v>0</v>
      </c>
      <c r="K665" s="34">
        <f>[30]MW!K188</f>
        <v>0</v>
      </c>
      <c r="L665" s="34">
        <f>[30]MW!L188</f>
        <v>0</v>
      </c>
      <c r="M665" s="34">
        <f>[30]MW!M188</f>
        <v>0</v>
      </c>
      <c r="N665" s="25">
        <f t="shared" si="601"/>
        <v>0</v>
      </c>
    </row>
    <row r="666" spans="1:14">
      <c r="A666" s="2">
        <f t="shared" si="598"/>
        <v>2033</v>
      </c>
      <c r="B666" s="34">
        <f>[30]MW!B189</f>
        <v>0</v>
      </c>
      <c r="C666" s="34">
        <f>[30]MW!C189</f>
        <v>0</v>
      </c>
      <c r="D666" s="34">
        <f>[30]MW!D189</f>
        <v>0</v>
      </c>
      <c r="E666" s="34">
        <f>[30]MW!E189</f>
        <v>0</v>
      </c>
      <c r="F666" s="34">
        <f>[30]MW!F189</f>
        <v>0</v>
      </c>
      <c r="G666" s="34">
        <f>[30]MW!G189</f>
        <v>0</v>
      </c>
      <c r="H666" s="34">
        <f>[30]MW!H189</f>
        <v>0</v>
      </c>
      <c r="I666" s="34">
        <f>[30]MW!I189</f>
        <v>0</v>
      </c>
      <c r="J666" s="34">
        <f>[30]MW!J189</f>
        <v>0</v>
      </c>
      <c r="K666" s="34">
        <f>[30]MW!K189</f>
        <v>0</v>
      </c>
      <c r="L666" s="34">
        <f>[30]MW!L189</f>
        <v>0</v>
      </c>
      <c r="M666" s="34">
        <f>[30]MW!M189</f>
        <v>0</v>
      </c>
      <c r="N666" s="25">
        <f t="shared" si="601"/>
        <v>0</v>
      </c>
    </row>
    <row r="667" spans="1:14">
      <c r="A667" s="2">
        <f t="shared" si="598"/>
        <v>2034</v>
      </c>
      <c r="B667" s="34">
        <f>[30]MW!B190</f>
        <v>0</v>
      </c>
      <c r="C667" s="34">
        <f>[30]MW!C190</f>
        <v>0</v>
      </c>
      <c r="D667" s="34">
        <f>[30]MW!D190</f>
        <v>0</v>
      </c>
      <c r="E667" s="34">
        <f>[30]MW!E190</f>
        <v>0</v>
      </c>
      <c r="F667" s="34">
        <f>[30]MW!F190</f>
        <v>0</v>
      </c>
      <c r="G667" s="34">
        <f>[30]MW!G190</f>
        <v>0</v>
      </c>
      <c r="H667" s="34">
        <f>[30]MW!H190</f>
        <v>0</v>
      </c>
      <c r="I667" s="34">
        <f>[30]MW!I190</f>
        <v>0</v>
      </c>
      <c r="J667" s="34">
        <f>[30]MW!J190</f>
        <v>0</v>
      </c>
      <c r="K667" s="34">
        <f>[30]MW!K190</f>
        <v>0</v>
      </c>
      <c r="L667" s="34">
        <f>[30]MW!L190</f>
        <v>0</v>
      </c>
      <c r="M667" s="34">
        <f>[30]MW!M190</f>
        <v>0</v>
      </c>
      <c r="N667" s="25">
        <f t="shared" si="601"/>
        <v>0</v>
      </c>
    </row>
    <row r="668" spans="1:14">
      <c r="A668" s="2">
        <f t="shared" si="598"/>
        <v>2035</v>
      </c>
      <c r="B668" s="34">
        <f>[30]MW!B191</f>
        <v>0</v>
      </c>
      <c r="C668" s="34">
        <f>[30]MW!C191</f>
        <v>0</v>
      </c>
      <c r="D668" s="34">
        <f>[30]MW!D191</f>
        <v>0</v>
      </c>
      <c r="E668" s="34">
        <f>[30]MW!E191</f>
        <v>0</v>
      </c>
      <c r="F668" s="34">
        <f>[30]MW!F191</f>
        <v>0</v>
      </c>
      <c r="G668" s="34">
        <f>[30]MW!G191</f>
        <v>0</v>
      </c>
      <c r="H668" s="34">
        <f>[30]MW!H191</f>
        <v>0</v>
      </c>
      <c r="I668" s="34">
        <f>[30]MW!I191</f>
        <v>0</v>
      </c>
      <c r="J668" s="34">
        <f>[30]MW!J191</f>
        <v>0</v>
      </c>
      <c r="K668" s="34">
        <f>[30]MW!K191</f>
        <v>0</v>
      </c>
      <c r="L668" s="34">
        <f>[30]MW!L191</f>
        <v>0</v>
      </c>
      <c r="M668" s="34">
        <f>[30]MW!M191</f>
        <v>0</v>
      </c>
      <c r="N668" s="25">
        <f t="shared" si="601"/>
        <v>0</v>
      </c>
    </row>
    <row r="669" spans="1:14">
      <c r="A669" s="2">
        <f t="shared" si="598"/>
        <v>2036</v>
      </c>
      <c r="B669" s="34">
        <f>[30]MW!B192</f>
        <v>0</v>
      </c>
      <c r="C669" s="34">
        <f>[30]MW!C192</f>
        <v>0</v>
      </c>
      <c r="D669" s="34">
        <f>[30]MW!D192</f>
        <v>0</v>
      </c>
      <c r="E669" s="34">
        <f>[30]MW!E192</f>
        <v>0</v>
      </c>
      <c r="F669" s="34">
        <f>[30]MW!F192</f>
        <v>0</v>
      </c>
      <c r="G669" s="34">
        <f>[30]MW!G192</f>
        <v>0</v>
      </c>
      <c r="H669" s="34">
        <f>[30]MW!H192</f>
        <v>0</v>
      </c>
      <c r="I669" s="34">
        <f>[30]MW!I192</f>
        <v>0</v>
      </c>
      <c r="J669" s="34">
        <f>[30]MW!J192</f>
        <v>0</v>
      </c>
      <c r="K669" s="34">
        <f>[30]MW!K192</f>
        <v>0</v>
      </c>
      <c r="L669" s="34">
        <f>[30]MW!L192</f>
        <v>0</v>
      </c>
      <c r="M669" s="34">
        <f>[30]MW!M192</f>
        <v>0</v>
      </c>
      <c r="N669" s="25">
        <f t="shared" si="601"/>
        <v>0</v>
      </c>
    </row>
    <row r="670" spans="1:14">
      <c r="A670" s="2">
        <f t="shared" si="598"/>
        <v>2037</v>
      </c>
      <c r="B670" s="34">
        <f>[30]MW!B193</f>
        <v>0</v>
      </c>
      <c r="C670" s="34">
        <f>[30]MW!C193</f>
        <v>0</v>
      </c>
      <c r="D670" s="34">
        <f>[30]MW!D193</f>
        <v>0</v>
      </c>
      <c r="E670" s="34">
        <f>[30]MW!E193</f>
        <v>0</v>
      </c>
      <c r="F670" s="34">
        <f>[30]MW!F193</f>
        <v>0</v>
      </c>
      <c r="G670" s="34">
        <f>[30]MW!G193</f>
        <v>0</v>
      </c>
      <c r="H670" s="34">
        <f>[30]MW!H193</f>
        <v>0</v>
      </c>
      <c r="I670" s="34">
        <f>[30]MW!I193</f>
        <v>0</v>
      </c>
      <c r="J670" s="34">
        <f>[30]MW!J193</f>
        <v>0</v>
      </c>
      <c r="K670" s="34">
        <f>[30]MW!K193</f>
        <v>0</v>
      </c>
      <c r="L670" s="34">
        <f>[30]MW!L193</f>
        <v>0</v>
      </c>
      <c r="M670" s="34">
        <f>[30]MW!M193</f>
        <v>0</v>
      </c>
      <c r="N670" s="25">
        <f t="shared" si="601"/>
        <v>0</v>
      </c>
    </row>
    <row r="671" spans="1:14">
      <c r="A671" s="2">
        <f t="shared" si="598"/>
        <v>2038</v>
      </c>
      <c r="B671" s="34">
        <f>[30]MW!B194</f>
        <v>0</v>
      </c>
      <c r="C671" s="34">
        <f>[30]MW!C194</f>
        <v>0</v>
      </c>
      <c r="D671" s="34">
        <f>[30]MW!D194</f>
        <v>0</v>
      </c>
      <c r="E671" s="34">
        <f>[30]MW!E194</f>
        <v>0</v>
      </c>
      <c r="F671" s="34">
        <f>[30]MW!F194</f>
        <v>0</v>
      </c>
      <c r="G671" s="34">
        <f>[30]MW!G194</f>
        <v>0</v>
      </c>
      <c r="H671" s="34">
        <f>[30]MW!H194</f>
        <v>0</v>
      </c>
      <c r="I671" s="34">
        <f>[30]MW!I194</f>
        <v>0</v>
      </c>
      <c r="J671" s="34">
        <f>[30]MW!J194</f>
        <v>0</v>
      </c>
      <c r="K671" s="34">
        <f>[30]MW!K194</f>
        <v>0</v>
      </c>
      <c r="L671" s="34">
        <f>[30]MW!L194</f>
        <v>0</v>
      </c>
      <c r="M671" s="34">
        <f>[30]MW!M194</f>
        <v>0</v>
      </c>
      <c r="N671" s="25">
        <f t="shared" si="601"/>
        <v>0</v>
      </c>
    </row>
    <row r="672" spans="1:14">
      <c r="A672" s="2">
        <f t="shared" si="598"/>
        <v>2039</v>
      </c>
      <c r="B672" s="34">
        <f>[30]MW!B195</f>
        <v>0</v>
      </c>
      <c r="C672" s="34">
        <f>[30]MW!C195</f>
        <v>0</v>
      </c>
      <c r="D672" s="34">
        <f>[30]MW!D195</f>
        <v>0</v>
      </c>
      <c r="E672" s="34">
        <f>[30]MW!E195</f>
        <v>0</v>
      </c>
      <c r="F672" s="34">
        <f>[30]MW!F195</f>
        <v>0</v>
      </c>
      <c r="G672" s="34">
        <f>[30]MW!G195</f>
        <v>0</v>
      </c>
      <c r="H672" s="34">
        <f>[30]MW!H195</f>
        <v>0</v>
      </c>
      <c r="I672" s="34">
        <f>[30]MW!I195</f>
        <v>0</v>
      </c>
      <c r="J672" s="34">
        <f>[30]MW!J195</f>
        <v>0</v>
      </c>
      <c r="K672" s="34">
        <f>[30]MW!K195</f>
        <v>0</v>
      </c>
      <c r="L672" s="34">
        <f>[30]MW!L195</f>
        <v>0</v>
      </c>
      <c r="M672" s="34">
        <f>[30]MW!M195</f>
        <v>0</v>
      </c>
      <c r="N672" s="25">
        <f t="shared" si="601"/>
        <v>0</v>
      </c>
    </row>
    <row r="673" spans="1:15">
      <c r="A673" s="2">
        <f t="shared" si="598"/>
        <v>2040</v>
      </c>
      <c r="B673" s="34">
        <f>[30]MW!B196</f>
        <v>0</v>
      </c>
      <c r="C673" s="34">
        <f>[30]MW!C196</f>
        <v>0</v>
      </c>
      <c r="D673" s="34">
        <f>[30]MW!D196</f>
        <v>0</v>
      </c>
      <c r="E673" s="34">
        <f>[30]MW!E196</f>
        <v>0</v>
      </c>
      <c r="F673" s="34">
        <f>[30]MW!F196</f>
        <v>0</v>
      </c>
      <c r="G673" s="34">
        <f>[30]MW!G196</f>
        <v>0</v>
      </c>
      <c r="H673" s="34">
        <f>[30]MW!H196</f>
        <v>0</v>
      </c>
      <c r="I673" s="34">
        <f>[30]MW!I196</f>
        <v>0</v>
      </c>
      <c r="J673" s="34">
        <f>[30]MW!J196</f>
        <v>0</v>
      </c>
      <c r="K673" s="34">
        <f>[30]MW!K196</f>
        <v>0</v>
      </c>
      <c r="L673" s="34">
        <f>[30]MW!L196</f>
        <v>0</v>
      </c>
      <c r="M673" s="34">
        <f>[30]MW!M196</f>
        <v>0</v>
      </c>
      <c r="N673" s="25">
        <f t="shared" si="601"/>
        <v>0</v>
      </c>
    </row>
    <row r="674" spans="1:15">
      <c r="A674" s="2">
        <f t="shared" si="598"/>
        <v>2041</v>
      </c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25"/>
    </row>
    <row r="675" spans="1:15">
      <c r="A675" s="2">
        <f t="shared" si="598"/>
        <v>2042</v>
      </c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25"/>
    </row>
    <row r="676" spans="1:15">
      <c r="A676" s="2">
        <f t="shared" si="598"/>
        <v>2043</v>
      </c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25"/>
    </row>
    <row r="677" spans="1:15">
      <c r="A677" s="2">
        <f t="shared" si="598"/>
        <v>2044</v>
      </c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25"/>
    </row>
    <row r="678" spans="1:15">
      <c r="A678" s="2">
        <f t="shared" si="598"/>
        <v>2045</v>
      </c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25"/>
    </row>
    <row r="681" spans="1:15">
      <c r="A681" s="1079" t="s">
        <v>466</v>
      </c>
    </row>
    <row r="682" spans="1:15">
      <c r="A682" s="27" t="str">
        <f t="shared" ref="A682:M682" si="602">A642</f>
        <v>YEAR</v>
      </c>
      <c r="B682" s="27" t="str">
        <f t="shared" si="602"/>
        <v>Jan/Winter</v>
      </c>
      <c r="C682" s="27" t="str">
        <f t="shared" si="602"/>
        <v>FEB</v>
      </c>
      <c r="D682" s="27" t="str">
        <f t="shared" si="602"/>
        <v>MAR</v>
      </c>
      <c r="E682" s="27" t="str">
        <f t="shared" si="602"/>
        <v>APR</v>
      </c>
      <c r="F682" s="27" t="str">
        <f t="shared" si="602"/>
        <v>MAY</v>
      </c>
      <c r="G682" s="27" t="str">
        <f t="shared" si="602"/>
        <v>JUN</v>
      </c>
      <c r="H682" s="27" t="str">
        <f t="shared" si="602"/>
        <v>JUL</v>
      </c>
      <c r="I682" s="27" t="str">
        <f t="shared" si="602"/>
        <v>Aug/Sum</v>
      </c>
      <c r="J682" s="27" t="str">
        <f t="shared" si="602"/>
        <v>SEP</v>
      </c>
      <c r="K682" s="27" t="str">
        <f t="shared" si="602"/>
        <v>OCT</v>
      </c>
      <c r="L682" s="27" t="str">
        <f t="shared" si="602"/>
        <v>NOV</v>
      </c>
      <c r="M682" s="27" t="str">
        <f t="shared" si="602"/>
        <v>DEC</v>
      </c>
      <c r="N682" s="33" t="s">
        <v>56</v>
      </c>
      <c r="O682" s="27"/>
    </row>
    <row r="683" spans="1:15">
      <c r="A683" s="2">
        <f t="shared" ref="A683:A703" si="603">A643</f>
        <v>2010</v>
      </c>
      <c r="B683" s="596">
        <f>[30]MW!B206</f>
        <v>450</v>
      </c>
      <c r="C683" s="596">
        <f>[30]MW!C206</f>
        <v>450</v>
      </c>
      <c r="D683" s="596">
        <f>[30]MW!D206</f>
        <v>450</v>
      </c>
      <c r="E683" s="596">
        <f>[30]MW!E206</f>
        <v>0</v>
      </c>
      <c r="F683" s="596">
        <f>[30]MW!F206</f>
        <v>450</v>
      </c>
      <c r="G683" s="596">
        <f>[30]MW!G206</f>
        <v>450</v>
      </c>
      <c r="H683" s="596">
        <f>[30]MW!H206</f>
        <v>450</v>
      </c>
      <c r="I683" s="596">
        <f>[30]MW!I206</f>
        <v>400</v>
      </c>
      <c r="J683" s="596">
        <f>[30]MW!J206</f>
        <v>300</v>
      </c>
      <c r="K683" s="596">
        <f>[30]MW!K206</f>
        <v>225</v>
      </c>
      <c r="L683" s="596">
        <f>[30]MW!L206</f>
        <v>85</v>
      </c>
      <c r="M683" s="596">
        <f>[30]MW!M206</f>
        <v>450</v>
      </c>
      <c r="N683" s="25">
        <f t="shared" ref="N683:N693" si="604">SUM(B683:M683)</f>
        <v>4160</v>
      </c>
    </row>
    <row r="684" spans="1:15">
      <c r="A684" s="2">
        <f t="shared" si="603"/>
        <v>2011</v>
      </c>
      <c r="B684" s="596">
        <f>[30]MW!B207</f>
        <v>300</v>
      </c>
      <c r="C684" s="596">
        <f>[30]MW!C207</f>
        <v>300</v>
      </c>
      <c r="D684" s="596">
        <f>[30]MW!D207</f>
        <v>300</v>
      </c>
      <c r="E684" s="596">
        <f>[30]MW!E207</f>
        <v>300</v>
      </c>
      <c r="F684" s="596">
        <f>[30]MW!F207</f>
        <v>300</v>
      </c>
      <c r="G684" s="596">
        <f>[30]MW!G207</f>
        <v>300</v>
      </c>
      <c r="H684" s="596">
        <f>[30]MW!H207</f>
        <v>300</v>
      </c>
      <c r="I684" s="596">
        <f>[30]MW!I207</f>
        <v>300</v>
      </c>
      <c r="J684" s="596">
        <f>[30]MW!J207</f>
        <v>300</v>
      </c>
      <c r="K684" s="596">
        <f>[30]MW!K207</f>
        <v>300</v>
      </c>
      <c r="L684" s="596">
        <f>[30]MW!L207</f>
        <v>300</v>
      </c>
      <c r="M684" s="596">
        <f>[30]MW!M207</f>
        <v>300</v>
      </c>
      <c r="N684" s="25">
        <f t="shared" si="604"/>
        <v>3600</v>
      </c>
    </row>
    <row r="685" spans="1:15">
      <c r="A685" s="2">
        <f t="shared" si="603"/>
        <v>2012</v>
      </c>
      <c r="B685" s="887">
        <f>ROUND([30]MW!B208,0)</f>
        <v>425</v>
      </c>
      <c r="C685" s="887">
        <f>ROUND([30]MW!C208,0)</f>
        <v>425</v>
      </c>
      <c r="D685" s="887">
        <f>ROUND([30]MW!D208,0)</f>
        <v>375</v>
      </c>
      <c r="E685" s="887">
        <f>ROUND([30]MW!E208,0)</f>
        <v>350</v>
      </c>
      <c r="F685" s="887">
        <f>ROUND([30]MW!F208,0)</f>
        <v>400</v>
      </c>
      <c r="G685" s="887">
        <f>ROUND([30]MW!G208,0)</f>
        <v>475</v>
      </c>
      <c r="H685" s="887">
        <f>ROUND([30]MW!H208,0)</f>
        <v>475</v>
      </c>
      <c r="I685" s="887">
        <f>ROUND([30]MW!I208,0)</f>
        <v>475</v>
      </c>
      <c r="J685" s="887">
        <f>ROUND([30]MW!J208,0)</f>
        <v>475</v>
      </c>
      <c r="K685" s="887">
        <f>ROUND([30]MW!K208,0)</f>
        <v>400</v>
      </c>
      <c r="L685" s="887">
        <f>ROUND([30]MW!L208,0)</f>
        <v>350</v>
      </c>
      <c r="M685" s="887">
        <f>ROUND([30]MW!M208,0)</f>
        <v>375</v>
      </c>
      <c r="N685" s="25">
        <f t="shared" si="604"/>
        <v>5000</v>
      </c>
    </row>
    <row r="686" spans="1:15">
      <c r="A686" s="2">
        <f t="shared" si="603"/>
        <v>2013</v>
      </c>
      <c r="B686" s="887">
        <f>ROUND([30]MW!B209,0)</f>
        <v>300</v>
      </c>
      <c r="C686" s="887">
        <f>ROUND([30]MW!C209,0)</f>
        <v>300</v>
      </c>
      <c r="D686" s="887">
        <f>ROUND([30]MW!D209,0)</f>
        <v>300</v>
      </c>
      <c r="E686" s="887">
        <f>ROUND([30]MW!E209,0)</f>
        <v>300</v>
      </c>
      <c r="F686" s="887">
        <f>ROUND([30]MW!F209,0)</f>
        <v>300</v>
      </c>
      <c r="G686" s="887">
        <f>ROUND([30]MW!G209,0)</f>
        <v>300</v>
      </c>
      <c r="H686" s="887">
        <f>ROUND([30]MW!H209,0)</f>
        <v>300</v>
      </c>
      <c r="I686" s="887">
        <f>ROUND([30]MW!I209,0)</f>
        <v>300</v>
      </c>
      <c r="J686" s="887">
        <f>ROUND([30]MW!J209,0)</f>
        <v>300</v>
      </c>
      <c r="K686" s="887">
        <f>ROUND([30]MW!K209,0)</f>
        <v>300</v>
      </c>
      <c r="L686" s="887">
        <f>ROUND([30]MW!L209,0)</f>
        <v>300</v>
      </c>
      <c r="M686" s="887">
        <f>ROUND([30]MW!M209,0)</f>
        <v>300</v>
      </c>
      <c r="N686" s="25">
        <f t="shared" si="604"/>
        <v>3600</v>
      </c>
    </row>
    <row r="687" spans="1:15">
      <c r="A687" s="2">
        <f t="shared" si="603"/>
        <v>2014</v>
      </c>
      <c r="B687" s="887">
        <f>ROUND([30]MW!B210,0)</f>
        <v>0</v>
      </c>
      <c r="C687" s="887">
        <f>ROUND([30]MW!C210,0)</f>
        <v>0</v>
      </c>
      <c r="D687" s="887">
        <f>ROUND([30]MW!D210,0)</f>
        <v>0</v>
      </c>
      <c r="E687" s="887">
        <f>ROUND([30]MW!E210,0)</f>
        <v>0</v>
      </c>
      <c r="F687" s="887">
        <f>ROUND([30]MW!F210,0)</f>
        <v>0</v>
      </c>
      <c r="G687" s="887">
        <f>ROUND([30]MW!G210,0)</f>
        <v>0</v>
      </c>
      <c r="H687" s="887">
        <f>ROUND([30]MW!H210,0)</f>
        <v>0</v>
      </c>
      <c r="I687" s="887">
        <f>ROUND([30]MW!I210,0)</f>
        <v>0</v>
      </c>
      <c r="J687" s="887">
        <f>ROUND([30]MW!J210,0)</f>
        <v>0</v>
      </c>
      <c r="K687" s="887">
        <f>ROUND([30]MW!K210,0)</f>
        <v>0</v>
      </c>
      <c r="L687" s="887">
        <f>ROUND([30]MW!L210,0)</f>
        <v>0</v>
      </c>
      <c r="M687" s="887">
        <f>ROUND([30]MW!M210,0)</f>
        <v>0</v>
      </c>
      <c r="N687" s="25">
        <f t="shared" si="604"/>
        <v>0</v>
      </c>
    </row>
    <row r="688" spans="1:15">
      <c r="A688" s="2">
        <f t="shared" si="603"/>
        <v>2015</v>
      </c>
      <c r="B688" s="887">
        <f>[30]MW!B211</f>
        <v>0</v>
      </c>
      <c r="C688" s="887">
        <f>[30]MW!C211</f>
        <v>0</v>
      </c>
      <c r="D688" s="887">
        <f>[30]MW!D211</f>
        <v>0</v>
      </c>
      <c r="E688" s="887">
        <f>[30]MW!E211</f>
        <v>0</v>
      </c>
      <c r="F688" s="887">
        <f>[30]MW!F211</f>
        <v>0</v>
      </c>
      <c r="G688" s="887">
        <f>[30]MW!G211</f>
        <v>0</v>
      </c>
      <c r="H688" s="887">
        <f>[30]MW!H211</f>
        <v>0</v>
      </c>
      <c r="I688" s="887">
        <f>[30]MW!I211</f>
        <v>0</v>
      </c>
      <c r="J688" s="887">
        <f>[30]MW!J211</f>
        <v>0</v>
      </c>
      <c r="K688" s="887">
        <f>[30]MW!K211</f>
        <v>0</v>
      </c>
      <c r="L688" s="887">
        <f>[30]MW!L211</f>
        <v>0</v>
      </c>
      <c r="M688" s="887">
        <f>[30]MW!M211</f>
        <v>0</v>
      </c>
      <c r="N688" s="25">
        <f t="shared" si="604"/>
        <v>0</v>
      </c>
    </row>
    <row r="689" spans="1:15">
      <c r="A689" s="2">
        <f t="shared" si="603"/>
        <v>2016</v>
      </c>
      <c r="B689" s="887">
        <f>[30]MW!B212</f>
        <v>0</v>
      </c>
      <c r="C689" s="887">
        <f>[30]MW!C212</f>
        <v>0</v>
      </c>
      <c r="D689" s="887">
        <f>[30]MW!D212</f>
        <v>0</v>
      </c>
      <c r="E689" s="887">
        <f>[30]MW!E212</f>
        <v>0</v>
      </c>
      <c r="F689" s="887">
        <f>[30]MW!F212</f>
        <v>0</v>
      </c>
      <c r="G689" s="887">
        <f>[30]MW!G212</f>
        <v>0</v>
      </c>
      <c r="H689" s="887">
        <f>[30]MW!H212</f>
        <v>0</v>
      </c>
      <c r="I689" s="887">
        <f>[30]MW!I212</f>
        <v>0</v>
      </c>
      <c r="J689" s="887">
        <f>[30]MW!J212</f>
        <v>0</v>
      </c>
      <c r="K689" s="887">
        <f>[30]MW!K212</f>
        <v>0</v>
      </c>
      <c r="L689" s="887">
        <f>[30]MW!L212</f>
        <v>0</v>
      </c>
      <c r="M689" s="887">
        <f>[30]MW!M212</f>
        <v>0</v>
      </c>
      <c r="N689" s="25">
        <f t="shared" si="604"/>
        <v>0</v>
      </c>
    </row>
    <row r="690" spans="1:15">
      <c r="A690" s="2">
        <f t="shared" si="603"/>
        <v>2017</v>
      </c>
      <c r="B690" s="887">
        <f>[30]MW!B213</f>
        <v>0</v>
      </c>
      <c r="C690" s="887">
        <f>[30]MW!C213</f>
        <v>0</v>
      </c>
      <c r="D690" s="887">
        <f>[30]MW!D213</f>
        <v>0</v>
      </c>
      <c r="E690" s="887">
        <f>[30]MW!E213</f>
        <v>0</v>
      </c>
      <c r="F690" s="887">
        <f>[30]MW!F213</f>
        <v>0</v>
      </c>
      <c r="G690" s="887">
        <f>[30]MW!G213</f>
        <v>0</v>
      </c>
      <c r="H690" s="887">
        <f>[30]MW!H213</f>
        <v>0</v>
      </c>
      <c r="I690" s="887">
        <f>[30]MW!I213</f>
        <v>0</v>
      </c>
      <c r="J690" s="887">
        <f>[30]MW!J213</f>
        <v>0</v>
      </c>
      <c r="K690" s="887">
        <f>[30]MW!K213</f>
        <v>0</v>
      </c>
      <c r="L690" s="887">
        <f>[30]MW!L213</f>
        <v>0</v>
      </c>
      <c r="M690" s="887">
        <f>[30]MW!M213</f>
        <v>0</v>
      </c>
      <c r="N690" s="25">
        <f t="shared" si="604"/>
        <v>0</v>
      </c>
    </row>
    <row r="691" spans="1:15">
      <c r="A691" s="2">
        <f t="shared" si="603"/>
        <v>2018</v>
      </c>
      <c r="B691" s="887">
        <f>[30]MW!B214</f>
        <v>0</v>
      </c>
      <c r="C691" s="887">
        <f>[30]MW!C214</f>
        <v>0</v>
      </c>
      <c r="D691" s="887">
        <f>[30]MW!D214</f>
        <v>0</v>
      </c>
      <c r="E691" s="887">
        <f>[30]MW!E214</f>
        <v>0</v>
      </c>
      <c r="F691" s="887">
        <f>[30]MW!F214</f>
        <v>0</v>
      </c>
      <c r="G691" s="887">
        <f>[30]MW!G214</f>
        <v>0</v>
      </c>
      <c r="H691" s="887">
        <f>[30]MW!H214</f>
        <v>0</v>
      </c>
      <c r="I691" s="887">
        <f>[30]MW!I214</f>
        <v>0</v>
      </c>
      <c r="J691" s="887">
        <f>[30]MW!J214</f>
        <v>0</v>
      </c>
      <c r="K691" s="887">
        <f>[30]MW!K214</f>
        <v>0</v>
      </c>
      <c r="L691" s="887">
        <f>[30]MW!L214</f>
        <v>0</v>
      </c>
      <c r="M691" s="887">
        <f>[30]MW!M214</f>
        <v>0</v>
      </c>
      <c r="N691" s="25">
        <f t="shared" si="604"/>
        <v>0</v>
      </c>
      <c r="O691" s="25"/>
    </row>
    <row r="692" spans="1:15">
      <c r="A692" s="2">
        <f t="shared" si="603"/>
        <v>2019</v>
      </c>
      <c r="B692" s="887">
        <f>[30]MW!B215</f>
        <v>0</v>
      </c>
      <c r="C692" s="887">
        <f>[30]MW!C215</f>
        <v>0</v>
      </c>
      <c r="D692" s="887">
        <f>[30]MW!D215</f>
        <v>0</v>
      </c>
      <c r="E692" s="887">
        <f>[30]MW!E215</f>
        <v>0</v>
      </c>
      <c r="F692" s="887">
        <f>[30]MW!F215</f>
        <v>0</v>
      </c>
      <c r="G692" s="887">
        <f>[30]MW!G215</f>
        <v>0</v>
      </c>
      <c r="H692" s="887">
        <f>[30]MW!H215</f>
        <v>0</v>
      </c>
      <c r="I692" s="887">
        <f>[30]MW!I215</f>
        <v>0</v>
      </c>
      <c r="J692" s="887">
        <f>[30]MW!J215</f>
        <v>0</v>
      </c>
      <c r="K692" s="887">
        <f>[30]MW!K215</f>
        <v>0</v>
      </c>
      <c r="L692" s="887">
        <f>[30]MW!L215</f>
        <v>0</v>
      </c>
      <c r="M692" s="887">
        <f>[30]MW!M215</f>
        <v>0</v>
      </c>
      <c r="N692" s="25">
        <f t="shared" si="604"/>
        <v>0</v>
      </c>
      <c r="O692" s="25"/>
    </row>
    <row r="693" spans="1:15">
      <c r="A693" s="2">
        <f t="shared" si="603"/>
        <v>2020</v>
      </c>
      <c r="B693" s="887">
        <f>[30]MW!B216</f>
        <v>0</v>
      </c>
      <c r="C693" s="887">
        <f>[30]MW!C216</f>
        <v>0</v>
      </c>
      <c r="D693" s="887">
        <f>[30]MW!D216</f>
        <v>0</v>
      </c>
      <c r="E693" s="887">
        <f>[30]MW!E216</f>
        <v>0</v>
      </c>
      <c r="F693" s="887">
        <f>[30]MW!F216</f>
        <v>0</v>
      </c>
      <c r="G693" s="887">
        <f>[30]MW!G216</f>
        <v>0</v>
      </c>
      <c r="H693" s="887">
        <f>[30]MW!H216</f>
        <v>0</v>
      </c>
      <c r="I693" s="887">
        <f>[30]MW!I216</f>
        <v>0</v>
      </c>
      <c r="J693" s="887">
        <f>[30]MW!J216</f>
        <v>0</v>
      </c>
      <c r="K693" s="887">
        <f>[30]MW!K216</f>
        <v>0</v>
      </c>
      <c r="L693" s="887">
        <f>[30]MW!L216</f>
        <v>0</v>
      </c>
      <c r="M693" s="887">
        <f>[30]MW!M216</f>
        <v>0</v>
      </c>
      <c r="N693" s="25">
        <f t="shared" si="604"/>
        <v>0</v>
      </c>
      <c r="O693" s="25"/>
    </row>
    <row r="694" spans="1:15">
      <c r="A694" s="2">
        <f t="shared" si="603"/>
        <v>2021</v>
      </c>
      <c r="B694" s="887">
        <f>[30]MW!B217</f>
        <v>0</v>
      </c>
      <c r="C694" s="887">
        <f>[30]MW!C217</f>
        <v>0</v>
      </c>
      <c r="D694" s="887">
        <f>[30]MW!D217</f>
        <v>0</v>
      </c>
      <c r="E694" s="887">
        <f>[30]MW!E217</f>
        <v>0</v>
      </c>
      <c r="F694" s="887">
        <f>[30]MW!F217</f>
        <v>0</v>
      </c>
      <c r="G694" s="887">
        <f>[30]MW!G217</f>
        <v>0</v>
      </c>
      <c r="H694" s="887">
        <f>[30]MW!H217</f>
        <v>0</v>
      </c>
      <c r="I694" s="887">
        <f>[30]MW!I217</f>
        <v>0</v>
      </c>
      <c r="J694" s="887">
        <f>[30]MW!J217</f>
        <v>0</v>
      </c>
      <c r="K694" s="887">
        <f>[30]MW!K217</f>
        <v>0</v>
      </c>
      <c r="L694" s="887">
        <f>[30]MW!L217</f>
        <v>0</v>
      </c>
      <c r="M694" s="887">
        <f>[30]MW!M217</f>
        <v>0</v>
      </c>
      <c r="N694" s="25">
        <f t="shared" ref="N694:N699" si="605">SUM(B694:M694)</f>
        <v>0</v>
      </c>
      <c r="O694" s="25"/>
    </row>
    <row r="695" spans="1:15">
      <c r="A695" s="2">
        <f t="shared" si="603"/>
        <v>2022</v>
      </c>
      <c r="B695" s="887">
        <f>[30]MW!B218</f>
        <v>0</v>
      </c>
      <c r="C695" s="887">
        <f>[30]MW!C218</f>
        <v>0</v>
      </c>
      <c r="D695" s="887">
        <f>[30]MW!D218</f>
        <v>0</v>
      </c>
      <c r="E695" s="887">
        <f>[30]MW!E218</f>
        <v>0</v>
      </c>
      <c r="F695" s="887">
        <f>[30]MW!F218</f>
        <v>0</v>
      </c>
      <c r="G695" s="887">
        <f>[30]MW!G218</f>
        <v>0</v>
      </c>
      <c r="H695" s="887">
        <f>[30]MW!H218</f>
        <v>0</v>
      </c>
      <c r="I695" s="887">
        <f>[30]MW!I218</f>
        <v>0</v>
      </c>
      <c r="J695" s="887">
        <f>[30]MW!J218</f>
        <v>0</v>
      </c>
      <c r="K695" s="887">
        <f>[30]MW!K218</f>
        <v>0</v>
      </c>
      <c r="L695" s="887">
        <f>[30]MW!L218</f>
        <v>0</v>
      </c>
      <c r="M695" s="887">
        <f>[30]MW!M218</f>
        <v>0</v>
      </c>
      <c r="N695" s="25">
        <f t="shared" si="605"/>
        <v>0</v>
      </c>
      <c r="O695" s="25"/>
    </row>
    <row r="696" spans="1:15">
      <c r="A696" s="2">
        <f t="shared" si="603"/>
        <v>2023</v>
      </c>
      <c r="B696" s="887">
        <f>[30]MW!B219</f>
        <v>0</v>
      </c>
      <c r="C696" s="887">
        <f>[30]MW!C219</f>
        <v>0</v>
      </c>
      <c r="D696" s="887">
        <f>[30]MW!D219</f>
        <v>0</v>
      </c>
      <c r="E696" s="887">
        <f>[30]MW!E219</f>
        <v>0</v>
      </c>
      <c r="F696" s="887">
        <f>[30]MW!F219</f>
        <v>0</v>
      </c>
      <c r="G696" s="887">
        <f>[30]MW!G219</f>
        <v>0</v>
      </c>
      <c r="H696" s="887">
        <f>[30]MW!H219</f>
        <v>0</v>
      </c>
      <c r="I696" s="887">
        <f>[30]MW!I219</f>
        <v>0</v>
      </c>
      <c r="J696" s="887">
        <f>[30]MW!J219</f>
        <v>0</v>
      </c>
      <c r="K696" s="887">
        <f>[30]MW!K219</f>
        <v>0</v>
      </c>
      <c r="L696" s="887">
        <f>[30]MW!L219</f>
        <v>0</v>
      </c>
      <c r="M696" s="887">
        <f>[30]MW!M219</f>
        <v>0</v>
      </c>
      <c r="N696" s="25">
        <f t="shared" si="605"/>
        <v>0</v>
      </c>
      <c r="O696" s="25"/>
    </row>
    <row r="697" spans="1:15">
      <c r="A697" s="2">
        <f t="shared" si="603"/>
        <v>2024</v>
      </c>
      <c r="B697" s="887">
        <f>[30]MW!B220</f>
        <v>0</v>
      </c>
      <c r="C697" s="887">
        <f>[30]MW!C220</f>
        <v>0</v>
      </c>
      <c r="D697" s="887">
        <f>[30]MW!D220</f>
        <v>0</v>
      </c>
      <c r="E697" s="887">
        <f>[30]MW!E220</f>
        <v>0</v>
      </c>
      <c r="F697" s="887">
        <f>[30]MW!F220</f>
        <v>0</v>
      </c>
      <c r="G697" s="887">
        <f>[30]MW!G220</f>
        <v>0</v>
      </c>
      <c r="H697" s="887">
        <f>[30]MW!H220</f>
        <v>0</v>
      </c>
      <c r="I697" s="887">
        <f>[30]MW!I220</f>
        <v>0</v>
      </c>
      <c r="J697" s="887">
        <f>[30]MW!J220</f>
        <v>0</v>
      </c>
      <c r="K697" s="887">
        <f>[30]MW!K220</f>
        <v>0</v>
      </c>
      <c r="L697" s="887">
        <f>[30]MW!L220</f>
        <v>0</v>
      </c>
      <c r="M697" s="887">
        <f>[30]MW!M220</f>
        <v>0</v>
      </c>
      <c r="N697" s="25">
        <f t="shared" si="605"/>
        <v>0</v>
      </c>
      <c r="O697" s="25"/>
    </row>
    <row r="698" spans="1:15">
      <c r="A698" s="2">
        <f t="shared" si="603"/>
        <v>2025</v>
      </c>
      <c r="B698" s="887">
        <f>[30]MW!B221</f>
        <v>0</v>
      </c>
      <c r="C698" s="887">
        <f>[30]MW!C221</f>
        <v>0</v>
      </c>
      <c r="D698" s="887">
        <f>[30]MW!D221</f>
        <v>0</v>
      </c>
      <c r="E698" s="887">
        <f>[30]MW!E221</f>
        <v>0</v>
      </c>
      <c r="F698" s="887">
        <f>[30]MW!F221</f>
        <v>0</v>
      </c>
      <c r="G698" s="887">
        <f>[30]MW!G221</f>
        <v>0</v>
      </c>
      <c r="H698" s="887">
        <f>[30]MW!H221</f>
        <v>0</v>
      </c>
      <c r="I698" s="887">
        <f>[30]MW!I221</f>
        <v>0</v>
      </c>
      <c r="J698" s="887">
        <f>[30]MW!J221</f>
        <v>0</v>
      </c>
      <c r="K698" s="887">
        <f>[30]MW!K221</f>
        <v>0</v>
      </c>
      <c r="L698" s="887">
        <f>[30]MW!L221</f>
        <v>0</v>
      </c>
      <c r="M698" s="887">
        <f>[30]MW!M221</f>
        <v>0</v>
      </c>
      <c r="N698" s="25">
        <f t="shared" si="605"/>
        <v>0</v>
      </c>
      <c r="O698" s="25"/>
    </row>
    <row r="699" spans="1:15">
      <c r="A699" s="2">
        <f t="shared" si="603"/>
        <v>2026</v>
      </c>
      <c r="B699" s="887">
        <f>[30]MW!B222</f>
        <v>0</v>
      </c>
      <c r="C699" s="887">
        <f>[30]MW!C222</f>
        <v>0</v>
      </c>
      <c r="D699" s="887">
        <f>[30]MW!D222</f>
        <v>0</v>
      </c>
      <c r="E699" s="887">
        <f>[30]MW!E222</f>
        <v>0</v>
      </c>
      <c r="F699" s="887">
        <f>[30]MW!F222</f>
        <v>0</v>
      </c>
      <c r="G699" s="887">
        <f>[30]MW!G222</f>
        <v>0</v>
      </c>
      <c r="H699" s="887">
        <f>[30]MW!H222</f>
        <v>0</v>
      </c>
      <c r="I699" s="887">
        <f>[30]MW!I222</f>
        <v>0</v>
      </c>
      <c r="J699" s="887">
        <f>[30]MW!J222</f>
        <v>0</v>
      </c>
      <c r="K699" s="887">
        <f>[30]MW!K222</f>
        <v>0</v>
      </c>
      <c r="L699" s="887">
        <f>[30]MW!L222</f>
        <v>0</v>
      </c>
      <c r="M699" s="887">
        <f>[30]MW!M222</f>
        <v>0</v>
      </c>
      <c r="N699" s="25">
        <f t="shared" si="605"/>
        <v>0</v>
      </c>
      <c r="O699" s="25"/>
    </row>
    <row r="700" spans="1:15">
      <c r="A700" s="2">
        <f t="shared" si="603"/>
        <v>2027</v>
      </c>
      <c r="B700" s="887">
        <f>[30]MW!B223</f>
        <v>0</v>
      </c>
      <c r="C700" s="887">
        <f>[30]MW!C223</f>
        <v>0</v>
      </c>
      <c r="D700" s="887">
        <f>[30]MW!D223</f>
        <v>0</v>
      </c>
      <c r="E700" s="887">
        <f>[30]MW!E223</f>
        <v>0</v>
      </c>
      <c r="F700" s="887">
        <f>[30]MW!F223</f>
        <v>0</v>
      </c>
      <c r="G700" s="887">
        <f>[30]MW!G223</f>
        <v>0</v>
      </c>
      <c r="H700" s="887">
        <f>[30]MW!H223</f>
        <v>0</v>
      </c>
      <c r="I700" s="887">
        <f>[30]MW!I223</f>
        <v>0</v>
      </c>
      <c r="J700" s="887">
        <f>[30]MW!J223</f>
        <v>0</v>
      </c>
      <c r="K700" s="887">
        <f>[30]MW!K223</f>
        <v>0</v>
      </c>
      <c r="L700" s="887">
        <f>[30]MW!L223</f>
        <v>0</v>
      </c>
      <c r="M700" s="887">
        <f>[30]MW!M223</f>
        <v>0</v>
      </c>
      <c r="N700" s="25">
        <f>SUM(B700:M700)</f>
        <v>0</v>
      </c>
      <c r="O700" s="25"/>
    </row>
    <row r="701" spans="1:15">
      <c r="A701" s="2">
        <f t="shared" si="603"/>
        <v>2028</v>
      </c>
      <c r="B701" s="887">
        <f>[30]MW!B224</f>
        <v>0</v>
      </c>
      <c r="C701" s="887">
        <f>[30]MW!C224</f>
        <v>0</v>
      </c>
      <c r="D701" s="887">
        <f>[30]MW!D224</f>
        <v>0</v>
      </c>
      <c r="E701" s="887">
        <f>[30]MW!E224</f>
        <v>0</v>
      </c>
      <c r="F701" s="887">
        <f>[30]MW!F224</f>
        <v>0</v>
      </c>
      <c r="G701" s="887">
        <f>[30]MW!G224</f>
        <v>0</v>
      </c>
      <c r="H701" s="887">
        <f>[30]MW!H224</f>
        <v>0</v>
      </c>
      <c r="I701" s="887">
        <f>[30]MW!I224</f>
        <v>0</v>
      </c>
      <c r="J701" s="887">
        <f>[30]MW!J224</f>
        <v>0</v>
      </c>
      <c r="K701" s="887">
        <f>[30]MW!K224</f>
        <v>0</v>
      </c>
      <c r="L701" s="887">
        <f>[30]MW!L224</f>
        <v>0</v>
      </c>
      <c r="M701" s="887">
        <f>[30]MW!M224</f>
        <v>0</v>
      </c>
      <c r="N701" s="25">
        <f>SUM(B701:M701)</f>
        <v>0</v>
      </c>
      <c r="O701" s="25"/>
    </row>
    <row r="702" spans="1:15">
      <c r="A702" s="2">
        <f t="shared" si="603"/>
        <v>2029</v>
      </c>
      <c r="B702" s="887">
        <f>[30]MW!B225</f>
        <v>0</v>
      </c>
      <c r="C702" s="887">
        <f>[30]MW!C225</f>
        <v>0</v>
      </c>
      <c r="D702" s="887">
        <f>[30]MW!D225</f>
        <v>0</v>
      </c>
      <c r="E702" s="887">
        <f>[30]MW!E225</f>
        <v>0</v>
      </c>
      <c r="F702" s="887">
        <f>[30]MW!F225</f>
        <v>0</v>
      </c>
      <c r="G702" s="887">
        <f>[30]MW!G225</f>
        <v>0</v>
      </c>
      <c r="H702" s="887">
        <f>[30]MW!H225</f>
        <v>0</v>
      </c>
      <c r="I702" s="887">
        <f>[30]MW!I225</f>
        <v>0</v>
      </c>
      <c r="J702" s="887">
        <f>[30]MW!J225</f>
        <v>0</v>
      </c>
      <c r="K702" s="887">
        <f>[30]MW!K225</f>
        <v>0</v>
      </c>
      <c r="L702" s="887">
        <f>[30]MW!L225</f>
        <v>0</v>
      </c>
      <c r="M702" s="887">
        <f>[30]MW!M225</f>
        <v>0</v>
      </c>
      <c r="N702" s="25">
        <f>SUM(B702:M702)</f>
        <v>0</v>
      </c>
      <c r="O702" s="25"/>
    </row>
    <row r="703" spans="1:15">
      <c r="A703" s="2">
        <f t="shared" si="603"/>
        <v>2030</v>
      </c>
      <c r="B703" s="887">
        <f>[30]MW!B226</f>
        <v>0</v>
      </c>
      <c r="C703" s="887">
        <f>[30]MW!C226</f>
        <v>0</v>
      </c>
      <c r="D703" s="887">
        <f>[30]MW!D226</f>
        <v>0</v>
      </c>
      <c r="E703" s="887">
        <f>[30]MW!E226</f>
        <v>0</v>
      </c>
      <c r="F703" s="887">
        <f>[30]MW!F226</f>
        <v>0</v>
      </c>
      <c r="G703" s="887">
        <f>[30]MW!G226</f>
        <v>0</v>
      </c>
      <c r="H703" s="887">
        <f>[30]MW!H226</f>
        <v>0</v>
      </c>
      <c r="I703" s="887">
        <f>[30]MW!I226</f>
        <v>0</v>
      </c>
      <c r="J703" s="887">
        <f>[30]MW!J226</f>
        <v>0</v>
      </c>
      <c r="K703" s="887">
        <f>[30]MW!K226</f>
        <v>0</v>
      </c>
      <c r="L703" s="887">
        <f>[30]MW!L226</f>
        <v>0</v>
      </c>
      <c r="M703" s="887">
        <f>[30]MW!M226</f>
        <v>0</v>
      </c>
      <c r="N703" s="25">
        <f>SUM(B703:M703)</f>
        <v>0</v>
      </c>
      <c r="O703" s="25"/>
    </row>
    <row r="704" spans="1:15">
      <c r="A704" s="2">
        <f t="shared" ref="A704:A717" si="606">A664</f>
        <v>2031</v>
      </c>
      <c r="B704" s="887">
        <f>[30]MW!B227</f>
        <v>0</v>
      </c>
      <c r="C704" s="887">
        <f>[30]MW!C227</f>
        <v>0</v>
      </c>
      <c r="D704" s="887">
        <f>[30]MW!D227</f>
        <v>0</v>
      </c>
      <c r="E704" s="887">
        <f>[30]MW!E227</f>
        <v>0</v>
      </c>
      <c r="F704" s="887">
        <f>[30]MW!F227</f>
        <v>0</v>
      </c>
      <c r="G704" s="887">
        <f>[30]MW!G227</f>
        <v>0</v>
      </c>
      <c r="H704" s="887">
        <f>[30]MW!H227</f>
        <v>0</v>
      </c>
      <c r="I704" s="887">
        <f>[30]MW!I227</f>
        <v>0</v>
      </c>
      <c r="J704" s="887">
        <f>[30]MW!J227</f>
        <v>0</v>
      </c>
      <c r="K704" s="887">
        <f>[30]MW!K227</f>
        <v>0</v>
      </c>
      <c r="L704" s="887">
        <f>[30]MW!L227</f>
        <v>0</v>
      </c>
      <c r="M704" s="887">
        <f>[30]MW!M227</f>
        <v>0</v>
      </c>
      <c r="N704" s="25">
        <f t="shared" ref="N704:N713" si="607">SUM(B704:M704)</f>
        <v>0</v>
      </c>
      <c r="O704" s="25"/>
    </row>
    <row r="705" spans="1:16">
      <c r="A705" s="2">
        <f t="shared" si="606"/>
        <v>2032</v>
      </c>
      <c r="B705" s="887">
        <f>[30]MW!B228</f>
        <v>0</v>
      </c>
      <c r="C705" s="887">
        <f>[30]MW!C228</f>
        <v>0</v>
      </c>
      <c r="D705" s="887">
        <f>[30]MW!D228</f>
        <v>0</v>
      </c>
      <c r="E705" s="887">
        <f>[30]MW!E228</f>
        <v>0</v>
      </c>
      <c r="F705" s="887">
        <f>[30]MW!F228</f>
        <v>0</v>
      </c>
      <c r="G705" s="887">
        <f>[30]MW!G228</f>
        <v>0</v>
      </c>
      <c r="H705" s="887">
        <f>[30]MW!H228</f>
        <v>0</v>
      </c>
      <c r="I705" s="887">
        <f>[30]MW!I228</f>
        <v>0</v>
      </c>
      <c r="J705" s="887">
        <f>[30]MW!J228</f>
        <v>0</v>
      </c>
      <c r="K705" s="887">
        <f>[30]MW!K228</f>
        <v>0</v>
      </c>
      <c r="L705" s="887">
        <f>[30]MW!L228</f>
        <v>0</v>
      </c>
      <c r="M705" s="887">
        <f>[30]MW!M228</f>
        <v>0</v>
      </c>
      <c r="N705" s="25">
        <f t="shared" si="607"/>
        <v>0</v>
      </c>
      <c r="O705" s="25"/>
    </row>
    <row r="706" spans="1:16">
      <c r="A706" s="2">
        <f t="shared" si="606"/>
        <v>2033</v>
      </c>
      <c r="B706" s="887">
        <f>[30]MW!B229</f>
        <v>0</v>
      </c>
      <c r="C706" s="887">
        <f>[30]MW!C229</f>
        <v>0</v>
      </c>
      <c r="D706" s="887">
        <f>[30]MW!D229</f>
        <v>0</v>
      </c>
      <c r="E706" s="887">
        <f>[30]MW!E229</f>
        <v>0</v>
      </c>
      <c r="F706" s="887">
        <f>[30]MW!F229</f>
        <v>0</v>
      </c>
      <c r="G706" s="887">
        <f>[30]MW!G229</f>
        <v>0</v>
      </c>
      <c r="H706" s="887">
        <f>[30]MW!H229</f>
        <v>0</v>
      </c>
      <c r="I706" s="887">
        <f>[30]MW!I229</f>
        <v>0</v>
      </c>
      <c r="J706" s="887">
        <f>[30]MW!J229</f>
        <v>0</v>
      </c>
      <c r="K706" s="887">
        <f>[30]MW!K229</f>
        <v>0</v>
      </c>
      <c r="L706" s="887">
        <f>[30]MW!L229</f>
        <v>0</v>
      </c>
      <c r="M706" s="887">
        <f>[30]MW!M229</f>
        <v>0</v>
      </c>
      <c r="N706" s="25">
        <f t="shared" si="607"/>
        <v>0</v>
      </c>
      <c r="O706" s="25"/>
    </row>
    <row r="707" spans="1:16">
      <c r="A707" s="2">
        <f t="shared" si="606"/>
        <v>2034</v>
      </c>
      <c r="B707" s="887">
        <f>[30]MW!B230</f>
        <v>0</v>
      </c>
      <c r="C707" s="887">
        <f>[30]MW!C230</f>
        <v>0</v>
      </c>
      <c r="D707" s="887">
        <f>[30]MW!D230</f>
        <v>0</v>
      </c>
      <c r="E707" s="887">
        <f>[30]MW!E230</f>
        <v>0</v>
      </c>
      <c r="F707" s="887">
        <f>[30]MW!F230</f>
        <v>0</v>
      </c>
      <c r="G707" s="887">
        <f>[30]MW!G230</f>
        <v>0</v>
      </c>
      <c r="H707" s="887">
        <f>[30]MW!H230</f>
        <v>0</v>
      </c>
      <c r="I707" s="887">
        <f>[30]MW!I230</f>
        <v>0</v>
      </c>
      <c r="J707" s="887">
        <f>[30]MW!J230</f>
        <v>0</v>
      </c>
      <c r="K707" s="887">
        <f>[30]MW!K230</f>
        <v>0</v>
      </c>
      <c r="L707" s="887">
        <f>[30]MW!L230</f>
        <v>0</v>
      </c>
      <c r="M707" s="887">
        <f>[30]MW!M230</f>
        <v>0</v>
      </c>
      <c r="N707" s="25">
        <f t="shared" si="607"/>
        <v>0</v>
      </c>
      <c r="O707" s="25"/>
    </row>
    <row r="708" spans="1:16">
      <c r="A708" s="2">
        <f t="shared" si="606"/>
        <v>2035</v>
      </c>
      <c r="B708" s="887">
        <f>[30]MW!B231</f>
        <v>0</v>
      </c>
      <c r="C708" s="887">
        <f>[30]MW!C231</f>
        <v>0</v>
      </c>
      <c r="D708" s="887">
        <f>[30]MW!D231</f>
        <v>0</v>
      </c>
      <c r="E708" s="887">
        <f>[30]MW!E231</f>
        <v>0</v>
      </c>
      <c r="F708" s="887">
        <f>[30]MW!F231</f>
        <v>0</v>
      </c>
      <c r="G708" s="887">
        <f>[30]MW!G231</f>
        <v>0</v>
      </c>
      <c r="H708" s="887">
        <f>[30]MW!H231</f>
        <v>0</v>
      </c>
      <c r="I708" s="887">
        <f>[30]MW!I231</f>
        <v>0</v>
      </c>
      <c r="J708" s="887">
        <f>[30]MW!J231</f>
        <v>0</v>
      </c>
      <c r="K708" s="887">
        <f>[30]MW!K231</f>
        <v>0</v>
      </c>
      <c r="L708" s="887">
        <f>[30]MW!L231</f>
        <v>0</v>
      </c>
      <c r="M708" s="887">
        <f>[30]MW!M231</f>
        <v>0</v>
      </c>
      <c r="N708" s="25">
        <f t="shared" si="607"/>
        <v>0</v>
      </c>
      <c r="O708" s="25"/>
    </row>
    <row r="709" spans="1:16">
      <c r="A709" s="2">
        <f t="shared" si="606"/>
        <v>2036</v>
      </c>
      <c r="B709" s="887">
        <f>[30]MW!B232</f>
        <v>0</v>
      </c>
      <c r="C709" s="887">
        <f>[30]MW!C232</f>
        <v>0</v>
      </c>
      <c r="D709" s="887">
        <f>[30]MW!D232</f>
        <v>0</v>
      </c>
      <c r="E709" s="887">
        <f>[30]MW!E232</f>
        <v>0</v>
      </c>
      <c r="F709" s="887">
        <f>[30]MW!F232</f>
        <v>0</v>
      </c>
      <c r="G709" s="887">
        <f>[30]MW!G232</f>
        <v>0</v>
      </c>
      <c r="H709" s="887">
        <f>[30]MW!H232</f>
        <v>0</v>
      </c>
      <c r="I709" s="887">
        <f>[30]MW!I232</f>
        <v>0</v>
      </c>
      <c r="J709" s="887">
        <f>[30]MW!J232</f>
        <v>0</v>
      </c>
      <c r="K709" s="887">
        <f>[30]MW!K232</f>
        <v>0</v>
      </c>
      <c r="L709" s="887">
        <f>[30]MW!L232</f>
        <v>0</v>
      </c>
      <c r="M709" s="887">
        <f>[30]MW!M232</f>
        <v>0</v>
      </c>
      <c r="N709" s="25">
        <f t="shared" si="607"/>
        <v>0</v>
      </c>
      <c r="O709" s="25"/>
    </row>
    <row r="710" spans="1:16">
      <c r="A710" s="2">
        <f t="shared" si="606"/>
        <v>2037</v>
      </c>
      <c r="B710" s="887">
        <f>[30]MW!B233</f>
        <v>0</v>
      </c>
      <c r="C710" s="887">
        <f>[30]MW!C233</f>
        <v>0</v>
      </c>
      <c r="D710" s="887">
        <f>[30]MW!D233</f>
        <v>0</v>
      </c>
      <c r="E710" s="887">
        <f>[30]MW!E233</f>
        <v>0</v>
      </c>
      <c r="F710" s="887">
        <f>[30]MW!F233</f>
        <v>0</v>
      </c>
      <c r="G710" s="887">
        <f>[30]MW!G233</f>
        <v>0</v>
      </c>
      <c r="H710" s="887">
        <f>[30]MW!H233</f>
        <v>0</v>
      </c>
      <c r="I710" s="887">
        <f>[30]MW!I233</f>
        <v>0</v>
      </c>
      <c r="J710" s="887">
        <f>[30]MW!J233</f>
        <v>0</v>
      </c>
      <c r="K710" s="887">
        <f>[30]MW!K233</f>
        <v>0</v>
      </c>
      <c r="L710" s="887">
        <f>[30]MW!L233</f>
        <v>0</v>
      </c>
      <c r="M710" s="887">
        <f>[30]MW!M233</f>
        <v>0</v>
      </c>
      <c r="N710" s="25">
        <f t="shared" si="607"/>
        <v>0</v>
      </c>
      <c r="O710" s="25"/>
    </row>
    <row r="711" spans="1:16">
      <c r="A711" s="2">
        <f t="shared" si="606"/>
        <v>2038</v>
      </c>
      <c r="B711" s="887">
        <f>[30]MW!B234</f>
        <v>0</v>
      </c>
      <c r="C711" s="887">
        <f>[30]MW!C234</f>
        <v>0</v>
      </c>
      <c r="D711" s="887">
        <f>[30]MW!D234</f>
        <v>0</v>
      </c>
      <c r="E711" s="887">
        <f>[30]MW!E234</f>
        <v>0</v>
      </c>
      <c r="F711" s="887">
        <f>[30]MW!F234</f>
        <v>0</v>
      </c>
      <c r="G711" s="887">
        <f>[30]MW!G234</f>
        <v>0</v>
      </c>
      <c r="H711" s="887">
        <f>[30]MW!H234</f>
        <v>0</v>
      </c>
      <c r="I711" s="887">
        <f>[30]MW!I234</f>
        <v>0</v>
      </c>
      <c r="J711" s="887">
        <f>[30]MW!J234</f>
        <v>0</v>
      </c>
      <c r="K711" s="887">
        <f>[30]MW!K234</f>
        <v>0</v>
      </c>
      <c r="L711" s="887">
        <f>[30]MW!L234</f>
        <v>0</v>
      </c>
      <c r="M711" s="887">
        <f>[30]MW!M234</f>
        <v>0</v>
      </c>
      <c r="N711" s="25">
        <f t="shared" si="607"/>
        <v>0</v>
      </c>
      <c r="O711" s="25"/>
    </row>
    <row r="712" spans="1:16">
      <c r="A712" s="2">
        <f t="shared" si="606"/>
        <v>2039</v>
      </c>
      <c r="B712" s="887">
        <f>[30]MW!B235</f>
        <v>0</v>
      </c>
      <c r="C712" s="887">
        <f>[30]MW!C235</f>
        <v>0</v>
      </c>
      <c r="D712" s="887">
        <f>[30]MW!D235</f>
        <v>0</v>
      </c>
      <c r="E712" s="887">
        <f>[30]MW!E235</f>
        <v>0</v>
      </c>
      <c r="F712" s="887">
        <f>[30]MW!F235</f>
        <v>0</v>
      </c>
      <c r="G712" s="887">
        <f>[30]MW!G235</f>
        <v>0</v>
      </c>
      <c r="H712" s="887">
        <f>[30]MW!H235</f>
        <v>0</v>
      </c>
      <c r="I712" s="887">
        <f>[30]MW!I235</f>
        <v>0</v>
      </c>
      <c r="J712" s="887">
        <f>[30]MW!J235</f>
        <v>0</v>
      </c>
      <c r="K712" s="887">
        <f>[30]MW!K235</f>
        <v>0</v>
      </c>
      <c r="L712" s="887">
        <f>[30]MW!L235</f>
        <v>0</v>
      </c>
      <c r="M712" s="887">
        <f>[30]MW!M235</f>
        <v>0</v>
      </c>
      <c r="N712" s="25">
        <f t="shared" si="607"/>
        <v>0</v>
      </c>
      <c r="O712" s="25"/>
    </row>
    <row r="713" spans="1:16">
      <c r="A713" s="2">
        <f t="shared" si="606"/>
        <v>2040</v>
      </c>
      <c r="B713" s="887">
        <f>[30]MW!B236</f>
        <v>0</v>
      </c>
      <c r="C713" s="887">
        <f>[30]MW!C236</f>
        <v>0</v>
      </c>
      <c r="D713" s="887">
        <f>[30]MW!D236</f>
        <v>0</v>
      </c>
      <c r="E713" s="887">
        <f>[30]MW!E236</f>
        <v>0</v>
      </c>
      <c r="F713" s="887">
        <f>[30]MW!F236</f>
        <v>0</v>
      </c>
      <c r="G713" s="887">
        <f>[30]MW!G236</f>
        <v>0</v>
      </c>
      <c r="H713" s="887">
        <f>[30]MW!H236</f>
        <v>0</v>
      </c>
      <c r="I713" s="887">
        <f>[30]MW!I236</f>
        <v>0</v>
      </c>
      <c r="J713" s="887">
        <f>[30]MW!J236</f>
        <v>0</v>
      </c>
      <c r="K713" s="887">
        <f>[30]MW!K236</f>
        <v>0</v>
      </c>
      <c r="L713" s="887">
        <f>[30]MW!L236</f>
        <v>0</v>
      </c>
      <c r="M713" s="887">
        <f>[30]MW!M236</f>
        <v>0</v>
      </c>
      <c r="N713" s="25">
        <f t="shared" si="607"/>
        <v>0</v>
      </c>
      <c r="O713" s="25"/>
    </row>
    <row r="714" spans="1:16">
      <c r="A714" s="2">
        <f t="shared" si="606"/>
        <v>2041</v>
      </c>
      <c r="B714" s="887"/>
      <c r="C714" s="887"/>
      <c r="D714" s="887"/>
      <c r="E714" s="887"/>
      <c r="F714" s="887"/>
      <c r="G714" s="887"/>
      <c r="H714" s="887"/>
      <c r="I714" s="887"/>
      <c r="J714" s="887"/>
      <c r="K714" s="887"/>
      <c r="L714" s="887"/>
      <c r="M714" s="887"/>
      <c r="N714" s="25"/>
      <c r="O714" s="25"/>
    </row>
    <row r="715" spans="1:16">
      <c r="A715" s="2">
        <f t="shared" si="606"/>
        <v>2042</v>
      </c>
      <c r="B715" s="887"/>
      <c r="C715" s="887"/>
      <c r="D715" s="887"/>
      <c r="E715" s="887"/>
      <c r="F715" s="887"/>
      <c r="G715" s="887"/>
      <c r="H715" s="887"/>
      <c r="I715" s="887"/>
      <c r="J715" s="887"/>
      <c r="K715" s="887"/>
      <c r="L715" s="887"/>
      <c r="M715" s="887"/>
      <c r="N715" s="25"/>
      <c r="O715" s="25"/>
    </row>
    <row r="716" spans="1:16">
      <c r="A716" s="2">
        <f t="shared" si="606"/>
        <v>2043</v>
      </c>
      <c r="B716" s="887"/>
      <c r="C716" s="887"/>
      <c r="D716" s="887"/>
      <c r="E716" s="887"/>
      <c r="F716" s="887"/>
      <c r="G716" s="887"/>
      <c r="H716" s="887"/>
      <c r="I716" s="887"/>
      <c r="J716" s="887"/>
      <c r="K716" s="887"/>
      <c r="L716" s="887"/>
      <c r="M716" s="887"/>
      <c r="N716" s="25"/>
      <c r="O716" s="25"/>
    </row>
    <row r="717" spans="1:16">
      <c r="A717" s="2">
        <f t="shared" si="606"/>
        <v>2044</v>
      </c>
      <c r="B717" s="887"/>
      <c r="C717" s="887"/>
      <c r="D717" s="887"/>
      <c r="E717" s="887"/>
      <c r="F717" s="887"/>
      <c r="G717" s="887"/>
      <c r="H717" s="887"/>
      <c r="I717" s="887"/>
      <c r="J717" s="887"/>
      <c r="K717" s="887"/>
      <c r="L717" s="887"/>
      <c r="M717" s="887"/>
      <c r="N717" s="25"/>
      <c r="O717" s="25"/>
    </row>
    <row r="718" spans="1:16">
      <c r="A718" s="2">
        <f>A678</f>
        <v>2045</v>
      </c>
      <c r="B718" s="887"/>
      <c r="C718" s="887"/>
      <c r="D718" s="887"/>
      <c r="E718" s="887"/>
      <c r="F718" s="887"/>
      <c r="G718" s="887"/>
      <c r="H718" s="887"/>
      <c r="I718" s="887"/>
      <c r="J718" s="887"/>
      <c r="K718" s="887"/>
      <c r="L718" s="887"/>
      <c r="M718" s="887"/>
      <c r="N718" s="25"/>
    </row>
    <row r="720" spans="1:16">
      <c r="P720" s="175"/>
    </row>
    <row r="721" spans="1:14">
      <c r="A721" s="1109" t="s">
        <v>468</v>
      </c>
      <c r="D721" s="175"/>
      <c r="E721" s="192"/>
      <c r="F721" s="2" t="s">
        <v>469</v>
      </c>
    </row>
    <row r="722" spans="1:14" s="27" customFormat="1">
      <c r="A722" s="27" t="s">
        <v>9</v>
      </c>
      <c r="B722" s="27" t="s">
        <v>28</v>
      </c>
      <c r="C722" s="27" t="s">
        <v>29</v>
      </c>
      <c r="D722" s="27" t="s">
        <v>30</v>
      </c>
      <c r="E722" s="27" t="s">
        <v>31</v>
      </c>
      <c r="F722" s="27" t="s">
        <v>32</v>
      </c>
      <c r="G722" s="27" t="s">
        <v>33</v>
      </c>
      <c r="H722" s="27" t="s">
        <v>34</v>
      </c>
      <c r="I722" s="27" t="s">
        <v>35</v>
      </c>
      <c r="J722" s="27" t="s">
        <v>36</v>
      </c>
      <c r="K722" s="27" t="s">
        <v>37</v>
      </c>
      <c r="L722" s="27" t="s">
        <v>38</v>
      </c>
      <c r="M722" s="27" t="s">
        <v>39</v>
      </c>
      <c r="N722" s="33" t="s">
        <v>56</v>
      </c>
    </row>
    <row r="723" spans="1:14">
      <c r="A723" s="2">
        <f t="shared" ref="A723:A757" si="608">A683</f>
        <v>2010</v>
      </c>
      <c r="B723" s="1086">
        <f>[30]MW!B286</f>
        <v>160</v>
      </c>
      <c r="C723" s="1086">
        <f>[30]MW!C286</f>
        <v>122</v>
      </c>
      <c r="D723" s="1086">
        <f>[30]MW!D286</f>
        <v>118</v>
      </c>
      <c r="E723" s="1086">
        <f>[30]MW!E286</f>
        <v>87</v>
      </c>
      <c r="F723" s="1086">
        <f>[30]MW!F286</f>
        <v>107</v>
      </c>
      <c r="G723" s="1086">
        <f>[30]MW!G286</f>
        <v>117</v>
      </c>
      <c r="H723" s="1086">
        <f>[30]MW!H286</f>
        <v>117</v>
      </c>
      <c r="I723" s="1086">
        <f>[30]MW!I286</f>
        <v>131</v>
      </c>
      <c r="J723" s="1086">
        <f>[30]MW!J286</f>
        <v>116</v>
      </c>
      <c r="K723" s="1086">
        <f>[30]MW!K286</f>
        <v>104</v>
      </c>
      <c r="L723" s="1086">
        <f>[30]MW!L286</f>
        <v>86</v>
      </c>
      <c r="M723" s="1086">
        <f>[30]MW!M286</f>
        <v>94</v>
      </c>
      <c r="N723" s="25">
        <f t="shared" ref="N723:N733" si="609">SUM(B723:M723)</f>
        <v>1359</v>
      </c>
    </row>
    <row r="724" spans="1:14">
      <c r="A724" s="2">
        <f t="shared" si="608"/>
        <v>2011</v>
      </c>
      <c r="B724" s="1087">
        <f>[30]MW!B287</f>
        <v>75</v>
      </c>
      <c r="C724" s="1087">
        <f>[30]MW!C287</f>
        <v>75</v>
      </c>
      <c r="D724" s="1087">
        <f>[30]MW!D287</f>
        <v>75</v>
      </c>
      <c r="E724" s="1087">
        <f>[30]MW!E287</f>
        <v>100</v>
      </c>
      <c r="F724" s="1087">
        <f>[30]MW!F287</f>
        <v>133</v>
      </c>
      <c r="G724" s="1087">
        <f>[30]MW!G287</f>
        <v>175</v>
      </c>
      <c r="H724" s="1087">
        <f>[30]MW!H287</f>
        <v>175</v>
      </c>
      <c r="I724" s="1087">
        <f>[30]MW!I287</f>
        <v>175</v>
      </c>
      <c r="J724" s="1087">
        <f>[30]MW!J287</f>
        <v>175</v>
      </c>
      <c r="K724" s="1087">
        <f>[30]MW!K287</f>
        <v>100</v>
      </c>
      <c r="L724" s="1087">
        <f>[30]MW!L287</f>
        <v>50</v>
      </c>
      <c r="M724" s="1087">
        <f>[30]MW!M287</f>
        <v>50</v>
      </c>
      <c r="N724" s="25">
        <f t="shared" si="609"/>
        <v>1358</v>
      </c>
    </row>
    <row r="725" spans="1:14">
      <c r="A725" s="2">
        <f t="shared" si="608"/>
        <v>2012</v>
      </c>
      <c r="B725" s="1087">
        <f>[30]MW!B288</f>
        <v>0</v>
      </c>
      <c r="C725" s="1087">
        <f>[30]MW!C288</f>
        <v>0</v>
      </c>
      <c r="D725" s="1087">
        <f>[30]MW!D288</f>
        <v>0</v>
      </c>
      <c r="E725" s="1087">
        <f>[30]MW!E288</f>
        <v>0</v>
      </c>
      <c r="F725" s="1087">
        <f>[30]MW!F288</f>
        <v>0</v>
      </c>
      <c r="G725" s="1087">
        <f>[30]MW!G288</f>
        <v>0</v>
      </c>
      <c r="H725" s="1087">
        <f>[30]MW!H288</f>
        <v>0</v>
      </c>
      <c r="I725" s="1087">
        <f>[30]MW!I288</f>
        <v>0</v>
      </c>
      <c r="J725" s="1087">
        <f>[30]MW!J288</f>
        <v>0</v>
      </c>
      <c r="K725" s="1087">
        <f>[30]MW!K288</f>
        <v>0</v>
      </c>
      <c r="L725" s="1087">
        <f>[30]MW!L288</f>
        <v>0</v>
      </c>
      <c r="M725" s="1087">
        <f>[30]MW!M288</f>
        <v>0</v>
      </c>
      <c r="N725" s="25">
        <f t="shared" si="609"/>
        <v>0</v>
      </c>
    </row>
    <row r="726" spans="1:14">
      <c r="A726" s="2">
        <f t="shared" si="608"/>
        <v>2013</v>
      </c>
      <c r="B726" s="1087">
        <f>[30]MW!B289</f>
        <v>0</v>
      </c>
      <c r="C726" s="1087">
        <f>[30]MW!C289</f>
        <v>0</v>
      </c>
      <c r="D726" s="1087">
        <f>[30]MW!D289</f>
        <v>0</v>
      </c>
      <c r="E726" s="1087">
        <f>[30]MW!E289</f>
        <v>0</v>
      </c>
      <c r="F726" s="1087">
        <f>[30]MW!F289</f>
        <v>0</v>
      </c>
      <c r="G726" s="1087">
        <f>[30]MW!G289</f>
        <v>0</v>
      </c>
      <c r="H726" s="1087">
        <f>[30]MW!H289</f>
        <v>0</v>
      </c>
      <c r="I726" s="1087">
        <f>[30]MW!I289</f>
        <v>0</v>
      </c>
      <c r="J726" s="1087">
        <f>[30]MW!J289</f>
        <v>0</v>
      </c>
      <c r="K726" s="1087">
        <f>[30]MW!K289</f>
        <v>0</v>
      </c>
      <c r="L726" s="1087">
        <f>[30]MW!L289</f>
        <v>0</v>
      </c>
      <c r="M726" s="1087">
        <f>[30]MW!M289</f>
        <v>0</v>
      </c>
      <c r="N726" s="25">
        <f t="shared" si="609"/>
        <v>0</v>
      </c>
    </row>
    <row r="727" spans="1:14">
      <c r="A727" s="2">
        <f t="shared" si="608"/>
        <v>2014</v>
      </c>
      <c r="B727" s="1087">
        <f>[30]MW!B290</f>
        <v>0</v>
      </c>
      <c r="C727" s="1087">
        <f>[30]MW!C290</f>
        <v>0</v>
      </c>
      <c r="D727" s="1087">
        <f>[30]MW!D290</f>
        <v>0</v>
      </c>
      <c r="E727" s="1087">
        <f>[30]MW!E290</f>
        <v>0</v>
      </c>
      <c r="F727" s="1087">
        <f>[30]MW!F290</f>
        <v>0</v>
      </c>
      <c r="G727" s="1087">
        <f>[30]MW!G290</f>
        <v>0</v>
      </c>
      <c r="H727" s="1087">
        <f>[30]MW!H290</f>
        <v>0</v>
      </c>
      <c r="I727" s="1087">
        <f>[30]MW!I290</f>
        <v>0</v>
      </c>
      <c r="J727" s="1087">
        <f>[30]MW!J290</f>
        <v>0</v>
      </c>
      <c r="K727" s="1087">
        <f>[30]MW!K290</f>
        <v>0</v>
      </c>
      <c r="L727" s="1087">
        <f>[30]MW!L290</f>
        <v>0</v>
      </c>
      <c r="M727" s="1087">
        <f>[30]MW!M290</f>
        <v>0</v>
      </c>
      <c r="N727" s="25">
        <f t="shared" si="609"/>
        <v>0</v>
      </c>
    </row>
    <row r="728" spans="1:14">
      <c r="A728" s="2">
        <f t="shared" si="608"/>
        <v>2015</v>
      </c>
      <c r="B728" s="1087">
        <f>[30]MW!B291</f>
        <v>0</v>
      </c>
      <c r="C728" s="1087">
        <f>[30]MW!C291</f>
        <v>0</v>
      </c>
      <c r="D728" s="1087">
        <f>[30]MW!D291</f>
        <v>0</v>
      </c>
      <c r="E728" s="1087">
        <f>[30]MW!E291</f>
        <v>0</v>
      </c>
      <c r="F728" s="1087">
        <f>[30]MW!F291</f>
        <v>0</v>
      </c>
      <c r="G728" s="1087">
        <f>[30]MW!G291</f>
        <v>0</v>
      </c>
      <c r="H728" s="1087">
        <f>[30]MW!H291</f>
        <v>0</v>
      </c>
      <c r="I728" s="1087">
        <f>[30]MW!I291</f>
        <v>0</v>
      </c>
      <c r="J728" s="1087">
        <f>[30]MW!J291</f>
        <v>0</v>
      </c>
      <c r="K728" s="1087">
        <f>[30]MW!K291</f>
        <v>0</v>
      </c>
      <c r="L728" s="1087">
        <f>[30]MW!L291</f>
        <v>0</v>
      </c>
      <c r="M728" s="1087">
        <f>[30]MW!M291</f>
        <v>0</v>
      </c>
      <c r="N728" s="25">
        <f t="shared" si="609"/>
        <v>0</v>
      </c>
    </row>
    <row r="729" spans="1:14">
      <c r="A729" s="2">
        <f t="shared" si="608"/>
        <v>2016</v>
      </c>
      <c r="B729" s="1087">
        <f>[30]MW!B292</f>
        <v>0</v>
      </c>
      <c r="C729" s="1087">
        <f>[30]MW!C292</f>
        <v>0</v>
      </c>
      <c r="D729" s="1087">
        <f>[30]MW!D292</f>
        <v>0</v>
      </c>
      <c r="E729" s="1087">
        <f>[30]MW!E292</f>
        <v>0</v>
      </c>
      <c r="F729" s="1087">
        <f>[30]MW!F292</f>
        <v>0</v>
      </c>
      <c r="G729" s="1087">
        <f>[30]MW!G292</f>
        <v>0</v>
      </c>
      <c r="H729" s="1087">
        <f>[30]MW!H292</f>
        <v>0</v>
      </c>
      <c r="I729" s="1087">
        <f>[30]MW!I292</f>
        <v>0</v>
      </c>
      <c r="J729" s="1087">
        <f>[30]MW!J292</f>
        <v>0</v>
      </c>
      <c r="K729" s="1087">
        <f>[30]MW!K292</f>
        <v>0</v>
      </c>
      <c r="L729" s="1087">
        <f>[30]MW!L292</f>
        <v>0</v>
      </c>
      <c r="M729" s="1087">
        <f>[30]MW!M292</f>
        <v>0</v>
      </c>
      <c r="N729" s="25">
        <f t="shared" si="609"/>
        <v>0</v>
      </c>
    </row>
    <row r="730" spans="1:14">
      <c r="A730" s="2">
        <f t="shared" si="608"/>
        <v>2017</v>
      </c>
      <c r="B730" s="1087">
        <f>[30]MW!B293</f>
        <v>0</v>
      </c>
      <c r="C730" s="1087">
        <f>[30]MW!C293</f>
        <v>0</v>
      </c>
      <c r="D730" s="1087">
        <f>[30]MW!D293</f>
        <v>0</v>
      </c>
      <c r="E730" s="1087">
        <f>[30]MW!E293</f>
        <v>0</v>
      </c>
      <c r="F730" s="1087">
        <f>[30]MW!F293</f>
        <v>0</v>
      </c>
      <c r="G730" s="1087">
        <f>[30]MW!G293</f>
        <v>0</v>
      </c>
      <c r="H730" s="1087">
        <f>[30]MW!H293</f>
        <v>0</v>
      </c>
      <c r="I730" s="1087">
        <f>[30]MW!I293</f>
        <v>0</v>
      </c>
      <c r="J730" s="1087">
        <f>[30]MW!J293</f>
        <v>0</v>
      </c>
      <c r="K730" s="1087">
        <f>[30]MW!K293</f>
        <v>0</v>
      </c>
      <c r="L730" s="1087">
        <f>[30]MW!L293</f>
        <v>0</v>
      </c>
      <c r="M730" s="1087">
        <f>[30]MW!M293</f>
        <v>0</v>
      </c>
      <c r="N730" s="25">
        <f t="shared" si="609"/>
        <v>0</v>
      </c>
    </row>
    <row r="731" spans="1:14">
      <c r="A731" s="2">
        <f t="shared" si="608"/>
        <v>2018</v>
      </c>
      <c r="B731" s="1087">
        <f>[30]MW!B294</f>
        <v>0</v>
      </c>
      <c r="C731" s="1087">
        <f>[30]MW!C294</f>
        <v>0</v>
      </c>
      <c r="D731" s="1087">
        <f>[30]MW!D294</f>
        <v>0</v>
      </c>
      <c r="E731" s="1087">
        <f>[30]MW!E294</f>
        <v>0</v>
      </c>
      <c r="F731" s="1087">
        <f>[30]MW!F294</f>
        <v>0</v>
      </c>
      <c r="G731" s="1087">
        <f>[30]MW!G294</f>
        <v>0</v>
      </c>
      <c r="H731" s="1087">
        <f>[30]MW!H294</f>
        <v>0</v>
      </c>
      <c r="I731" s="1087">
        <f>[30]MW!I294</f>
        <v>0</v>
      </c>
      <c r="J731" s="1087">
        <f>[30]MW!J294</f>
        <v>0</v>
      </c>
      <c r="K731" s="1087">
        <f>[30]MW!K294</f>
        <v>0</v>
      </c>
      <c r="L731" s="1087">
        <f>[30]MW!L294</f>
        <v>0</v>
      </c>
      <c r="M731" s="1087">
        <f>[30]MW!M294</f>
        <v>0</v>
      </c>
      <c r="N731" s="25">
        <f t="shared" si="609"/>
        <v>0</v>
      </c>
    </row>
    <row r="732" spans="1:14">
      <c r="A732" s="2">
        <f t="shared" si="608"/>
        <v>2019</v>
      </c>
      <c r="B732" s="1087">
        <f>[30]MW!B295</f>
        <v>0</v>
      </c>
      <c r="C732" s="1087">
        <f>[30]MW!C295</f>
        <v>0</v>
      </c>
      <c r="D732" s="1087">
        <f>[30]MW!D295</f>
        <v>0</v>
      </c>
      <c r="E732" s="1087">
        <f>[30]MW!E295</f>
        <v>0</v>
      </c>
      <c r="F732" s="1087">
        <f>[30]MW!F295</f>
        <v>0</v>
      </c>
      <c r="G732" s="1087">
        <f>[30]MW!G295</f>
        <v>0</v>
      </c>
      <c r="H732" s="1087">
        <f>[30]MW!H295</f>
        <v>0</v>
      </c>
      <c r="I732" s="1087">
        <f>[30]MW!I295</f>
        <v>0</v>
      </c>
      <c r="J732" s="1087">
        <f>[30]MW!J295</f>
        <v>0</v>
      </c>
      <c r="K732" s="1087">
        <f>[30]MW!K295</f>
        <v>0</v>
      </c>
      <c r="L732" s="1087">
        <f>[30]MW!L295</f>
        <v>0</v>
      </c>
      <c r="M732" s="1087">
        <f>[30]MW!M295</f>
        <v>0</v>
      </c>
      <c r="N732" s="25">
        <f t="shared" si="609"/>
        <v>0</v>
      </c>
    </row>
    <row r="733" spans="1:14">
      <c r="A733" s="2">
        <f t="shared" si="608"/>
        <v>2020</v>
      </c>
      <c r="B733" s="1087">
        <f>[30]MW!B296</f>
        <v>0</v>
      </c>
      <c r="C733" s="1087">
        <f>[30]MW!C296</f>
        <v>0</v>
      </c>
      <c r="D733" s="1087">
        <f>[30]MW!D296</f>
        <v>0</v>
      </c>
      <c r="E733" s="1087">
        <f>[30]MW!E296</f>
        <v>0</v>
      </c>
      <c r="F733" s="1087">
        <f>[30]MW!F296</f>
        <v>0</v>
      </c>
      <c r="G733" s="1087">
        <f>[30]MW!G296</f>
        <v>0</v>
      </c>
      <c r="H733" s="1087">
        <f>[30]MW!H296</f>
        <v>0</v>
      </c>
      <c r="I733" s="1087">
        <f>[30]MW!I296</f>
        <v>0</v>
      </c>
      <c r="J733" s="1087">
        <f>[30]MW!J296</f>
        <v>0</v>
      </c>
      <c r="K733" s="1087">
        <f>[30]MW!K296</f>
        <v>0</v>
      </c>
      <c r="L733" s="1087">
        <f>[30]MW!L296</f>
        <v>0</v>
      </c>
      <c r="M733" s="1087">
        <f>[30]MW!M296</f>
        <v>0</v>
      </c>
      <c r="N733" s="25">
        <f t="shared" si="609"/>
        <v>0</v>
      </c>
    </row>
    <row r="734" spans="1:14">
      <c r="A734" s="2">
        <f t="shared" si="608"/>
        <v>2021</v>
      </c>
      <c r="B734" s="1087">
        <f>[30]MW!B297</f>
        <v>0</v>
      </c>
      <c r="C734" s="1087">
        <f>[30]MW!C297</f>
        <v>0</v>
      </c>
      <c r="D734" s="1087">
        <f>[30]MW!D297</f>
        <v>0</v>
      </c>
      <c r="E734" s="1087">
        <f>[30]MW!E297</f>
        <v>0</v>
      </c>
      <c r="F734" s="1087">
        <f>[30]MW!F297</f>
        <v>0</v>
      </c>
      <c r="G734" s="1087">
        <f>[30]MW!G297</f>
        <v>0</v>
      </c>
      <c r="H734" s="1087">
        <f>[30]MW!H297</f>
        <v>0</v>
      </c>
      <c r="I734" s="1087">
        <f>[30]MW!I297</f>
        <v>0</v>
      </c>
      <c r="J734" s="1087">
        <f>[30]MW!J297</f>
        <v>0</v>
      </c>
      <c r="K734" s="1087">
        <f>[30]MW!K297</f>
        <v>0</v>
      </c>
      <c r="L734" s="1087">
        <f>[30]MW!L297</f>
        <v>0</v>
      </c>
      <c r="M734" s="1087">
        <f>[30]MW!M297</f>
        <v>0</v>
      </c>
      <c r="N734" s="25">
        <f t="shared" ref="N734:N739" si="610">SUM(B734:M734)</f>
        <v>0</v>
      </c>
    </row>
    <row r="735" spans="1:14">
      <c r="A735" s="2">
        <f t="shared" si="608"/>
        <v>2022</v>
      </c>
      <c r="B735" s="1087">
        <f>[30]MW!B298</f>
        <v>0</v>
      </c>
      <c r="C735" s="1087">
        <f>[30]MW!C298</f>
        <v>0</v>
      </c>
      <c r="D735" s="1087">
        <f>[30]MW!D298</f>
        <v>0</v>
      </c>
      <c r="E735" s="1087">
        <f>[30]MW!E298</f>
        <v>0</v>
      </c>
      <c r="F735" s="1087">
        <f>[30]MW!F298</f>
        <v>0</v>
      </c>
      <c r="G735" s="1087">
        <f>[30]MW!G298</f>
        <v>0</v>
      </c>
      <c r="H735" s="1087">
        <f>[30]MW!H298</f>
        <v>0</v>
      </c>
      <c r="I735" s="1087">
        <f>[30]MW!I298</f>
        <v>0</v>
      </c>
      <c r="J735" s="1087">
        <f>[30]MW!J298</f>
        <v>0</v>
      </c>
      <c r="K735" s="1087">
        <f>[30]MW!K298</f>
        <v>0</v>
      </c>
      <c r="L735" s="1087">
        <f>[30]MW!L298</f>
        <v>0</v>
      </c>
      <c r="M735" s="1087">
        <f>[30]MW!M298</f>
        <v>0</v>
      </c>
      <c r="N735" s="25">
        <f t="shared" si="610"/>
        <v>0</v>
      </c>
    </row>
    <row r="736" spans="1:14">
      <c r="A736" s="2">
        <f t="shared" si="608"/>
        <v>2023</v>
      </c>
      <c r="B736" s="1087">
        <f>[30]MW!B299</f>
        <v>0</v>
      </c>
      <c r="C736" s="1087">
        <f>[30]MW!C299</f>
        <v>0</v>
      </c>
      <c r="D736" s="1087">
        <f>[30]MW!D299</f>
        <v>0</v>
      </c>
      <c r="E736" s="1087">
        <f>[30]MW!E299</f>
        <v>0</v>
      </c>
      <c r="F736" s="1087">
        <f>[30]MW!F299</f>
        <v>0</v>
      </c>
      <c r="G736" s="1087">
        <f>[30]MW!G299</f>
        <v>0</v>
      </c>
      <c r="H736" s="1087">
        <f>[30]MW!H299</f>
        <v>0</v>
      </c>
      <c r="I736" s="1087">
        <f>[30]MW!I299</f>
        <v>0</v>
      </c>
      <c r="J736" s="1087">
        <f>[30]MW!J299</f>
        <v>0</v>
      </c>
      <c r="K736" s="1087">
        <f>[30]MW!K299</f>
        <v>0</v>
      </c>
      <c r="L736" s="1087">
        <f>[30]MW!L299</f>
        <v>0</v>
      </c>
      <c r="M736" s="1087">
        <f>[30]MW!M299</f>
        <v>0</v>
      </c>
      <c r="N736" s="25">
        <f t="shared" si="610"/>
        <v>0</v>
      </c>
    </row>
    <row r="737" spans="1:14">
      <c r="A737" s="2">
        <f t="shared" si="608"/>
        <v>2024</v>
      </c>
      <c r="B737" s="1087">
        <f>[30]MW!B300</f>
        <v>0</v>
      </c>
      <c r="C737" s="1087">
        <f>[30]MW!C300</f>
        <v>0</v>
      </c>
      <c r="D737" s="1087">
        <f>[30]MW!D300</f>
        <v>0</v>
      </c>
      <c r="E737" s="1087">
        <f>[30]MW!E300</f>
        <v>0</v>
      </c>
      <c r="F737" s="1087">
        <f>[30]MW!F300</f>
        <v>0</v>
      </c>
      <c r="G737" s="1087">
        <f>[30]MW!G300</f>
        <v>0</v>
      </c>
      <c r="H737" s="1087">
        <f>[30]MW!H300</f>
        <v>0</v>
      </c>
      <c r="I737" s="1087">
        <f>[30]MW!I300</f>
        <v>0</v>
      </c>
      <c r="J737" s="1087">
        <f>[30]MW!J300</f>
        <v>0</v>
      </c>
      <c r="K737" s="1087">
        <f>[30]MW!K300</f>
        <v>0</v>
      </c>
      <c r="L737" s="1087">
        <f>[30]MW!L300</f>
        <v>0</v>
      </c>
      <c r="M737" s="1087">
        <f>[30]MW!M300</f>
        <v>0</v>
      </c>
      <c r="N737" s="25">
        <f t="shared" si="610"/>
        <v>0</v>
      </c>
    </row>
    <row r="738" spans="1:14">
      <c r="A738" s="2">
        <f t="shared" si="608"/>
        <v>2025</v>
      </c>
      <c r="B738" s="1087">
        <f>[30]MW!B301</f>
        <v>0</v>
      </c>
      <c r="C738" s="1087">
        <f>[30]MW!C301</f>
        <v>0</v>
      </c>
      <c r="D738" s="1087">
        <f>[30]MW!D301</f>
        <v>0</v>
      </c>
      <c r="E738" s="1087">
        <f>[30]MW!E301</f>
        <v>0</v>
      </c>
      <c r="F738" s="1087">
        <f>[30]MW!F301</f>
        <v>0</v>
      </c>
      <c r="G738" s="1087">
        <f>[30]MW!G301</f>
        <v>0</v>
      </c>
      <c r="H738" s="1087">
        <f>[30]MW!H301</f>
        <v>0</v>
      </c>
      <c r="I738" s="1087">
        <f>[30]MW!I301</f>
        <v>0</v>
      </c>
      <c r="J738" s="1087">
        <f>[30]MW!J301</f>
        <v>0</v>
      </c>
      <c r="K738" s="1087">
        <f>[30]MW!K301</f>
        <v>0</v>
      </c>
      <c r="L738" s="1087">
        <f>[30]MW!L301</f>
        <v>0</v>
      </c>
      <c r="M738" s="1087">
        <f>[30]MW!M301</f>
        <v>0</v>
      </c>
      <c r="N738" s="25">
        <f t="shared" si="610"/>
        <v>0</v>
      </c>
    </row>
    <row r="739" spans="1:14">
      <c r="A739" s="2">
        <f t="shared" si="608"/>
        <v>2026</v>
      </c>
      <c r="B739" s="1087">
        <f>[30]MW!B302</f>
        <v>0</v>
      </c>
      <c r="C739" s="1087">
        <f>[30]MW!C302</f>
        <v>0</v>
      </c>
      <c r="D739" s="1087">
        <f>[30]MW!D302</f>
        <v>0</v>
      </c>
      <c r="E739" s="1087">
        <f>[30]MW!E302</f>
        <v>0</v>
      </c>
      <c r="F739" s="1087">
        <f>[30]MW!F302</f>
        <v>0</v>
      </c>
      <c r="G739" s="1087">
        <f>[30]MW!G302</f>
        <v>0</v>
      </c>
      <c r="H739" s="1087">
        <f>[30]MW!H302</f>
        <v>0</v>
      </c>
      <c r="I739" s="1087">
        <f>[30]MW!I302</f>
        <v>0</v>
      </c>
      <c r="J739" s="1087">
        <f>[30]MW!J302</f>
        <v>0</v>
      </c>
      <c r="K739" s="1087">
        <f>[30]MW!K302</f>
        <v>0</v>
      </c>
      <c r="L739" s="1087">
        <f>[30]MW!L302</f>
        <v>0</v>
      </c>
      <c r="M739" s="1087">
        <f>[30]MW!M302</f>
        <v>0</v>
      </c>
      <c r="N739" s="25">
        <f t="shared" si="610"/>
        <v>0</v>
      </c>
    </row>
    <row r="740" spans="1:14">
      <c r="A740" s="2">
        <f t="shared" si="608"/>
        <v>2027</v>
      </c>
      <c r="B740" s="1087">
        <f>[30]MW!B303</f>
        <v>0</v>
      </c>
      <c r="C740" s="1087">
        <f>[30]MW!C303</f>
        <v>0</v>
      </c>
      <c r="D740" s="1087">
        <f>[30]MW!D303</f>
        <v>0</v>
      </c>
      <c r="E740" s="1087">
        <f>[30]MW!E303</f>
        <v>0</v>
      </c>
      <c r="F740" s="1087">
        <f>[30]MW!F303</f>
        <v>0</v>
      </c>
      <c r="G740" s="1087">
        <f>[30]MW!G303</f>
        <v>0</v>
      </c>
      <c r="H740" s="1087">
        <f>[30]MW!H303</f>
        <v>0</v>
      </c>
      <c r="I740" s="1087">
        <f>[30]MW!I303</f>
        <v>0</v>
      </c>
      <c r="J740" s="1087">
        <f>[30]MW!J303</f>
        <v>0</v>
      </c>
      <c r="K740" s="1087">
        <f>[30]MW!K303</f>
        <v>0</v>
      </c>
      <c r="L740" s="1087">
        <f>[30]MW!L303</f>
        <v>0</v>
      </c>
      <c r="M740" s="1087">
        <f>[30]MW!M303</f>
        <v>0</v>
      </c>
      <c r="N740" s="25">
        <f>SUM(B740:M740)</f>
        <v>0</v>
      </c>
    </row>
    <row r="741" spans="1:14">
      <c r="A741" s="2">
        <f t="shared" si="608"/>
        <v>2028</v>
      </c>
      <c r="B741" s="1087">
        <f>[30]MW!B304</f>
        <v>0</v>
      </c>
      <c r="C741" s="1087">
        <f>[30]MW!C304</f>
        <v>0</v>
      </c>
      <c r="D741" s="1087">
        <f>[30]MW!D304</f>
        <v>0</v>
      </c>
      <c r="E741" s="1087">
        <f>[30]MW!E304</f>
        <v>0</v>
      </c>
      <c r="F741" s="1087">
        <f>[30]MW!F304</f>
        <v>0</v>
      </c>
      <c r="G741" s="1087">
        <f>[30]MW!G304</f>
        <v>0</v>
      </c>
      <c r="H741" s="1087">
        <f>[30]MW!H304</f>
        <v>0</v>
      </c>
      <c r="I741" s="1087">
        <f>[30]MW!I304</f>
        <v>0</v>
      </c>
      <c r="J741" s="1087">
        <f>[30]MW!J304</f>
        <v>0</v>
      </c>
      <c r="K741" s="1087">
        <f>[30]MW!K304</f>
        <v>0</v>
      </c>
      <c r="L741" s="1087">
        <f>[30]MW!L304</f>
        <v>0</v>
      </c>
      <c r="M741" s="1087">
        <f>[30]MW!M304</f>
        <v>0</v>
      </c>
      <c r="N741" s="25">
        <f>SUM(B741:M741)</f>
        <v>0</v>
      </c>
    </row>
    <row r="742" spans="1:14">
      <c r="A742" s="2">
        <f t="shared" si="608"/>
        <v>2029</v>
      </c>
      <c r="B742" s="1087">
        <f>[30]MW!B305</f>
        <v>0</v>
      </c>
      <c r="C742" s="1087">
        <f>[30]MW!C305</f>
        <v>0</v>
      </c>
      <c r="D742" s="1087">
        <f>[30]MW!D305</f>
        <v>0</v>
      </c>
      <c r="E742" s="1087">
        <f>[30]MW!E305</f>
        <v>0</v>
      </c>
      <c r="F742" s="1087">
        <f>[30]MW!F305</f>
        <v>0</v>
      </c>
      <c r="G742" s="1087">
        <f>[30]MW!G305</f>
        <v>0</v>
      </c>
      <c r="H742" s="1087">
        <f>[30]MW!H305</f>
        <v>0</v>
      </c>
      <c r="I742" s="1087">
        <f>[30]MW!I305</f>
        <v>0</v>
      </c>
      <c r="J742" s="1087">
        <f>[30]MW!J305</f>
        <v>0</v>
      </c>
      <c r="K742" s="1087">
        <f>[30]MW!K305</f>
        <v>0</v>
      </c>
      <c r="L742" s="1087">
        <f>[30]MW!L305</f>
        <v>0</v>
      </c>
      <c r="M742" s="1087">
        <f>[30]MW!M305</f>
        <v>0</v>
      </c>
      <c r="N742" s="25">
        <f>SUM(B742:M742)</f>
        <v>0</v>
      </c>
    </row>
    <row r="743" spans="1:14">
      <c r="A743" s="2">
        <f t="shared" si="608"/>
        <v>2030</v>
      </c>
      <c r="B743" s="1087">
        <f>[30]MW!B306</f>
        <v>0</v>
      </c>
      <c r="C743" s="1087">
        <f>[30]MW!C306</f>
        <v>0</v>
      </c>
      <c r="D743" s="1087">
        <f>[30]MW!D306</f>
        <v>0</v>
      </c>
      <c r="E743" s="1087">
        <f>[30]MW!E306</f>
        <v>0</v>
      </c>
      <c r="F743" s="1087">
        <f>[30]MW!F306</f>
        <v>0</v>
      </c>
      <c r="G743" s="1087">
        <f>[30]MW!G306</f>
        <v>0</v>
      </c>
      <c r="H743" s="1087">
        <f>[30]MW!H306</f>
        <v>0</v>
      </c>
      <c r="I743" s="1087">
        <f>[30]MW!I306</f>
        <v>0</v>
      </c>
      <c r="J743" s="1087">
        <f>[30]MW!J306</f>
        <v>0</v>
      </c>
      <c r="K743" s="1087">
        <f>[30]MW!K306</f>
        <v>0</v>
      </c>
      <c r="L743" s="1087">
        <f>[30]MW!L306</f>
        <v>0</v>
      </c>
      <c r="M743" s="1087">
        <f>[30]MW!M306</f>
        <v>0</v>
      </c>
      <c r="N743" s="25">
        <f>SUM(B743:M743)</f>
        <v>0</v>
      </c>
    </row>
    <row r="744" spans="1:14">
      <c r="A744" s="2">
        <f t="shared" si="608"/>
        <v>2031</v>
      </c>
      <c r="B744" s="1087">
        <f>[30]MW!B307</f>
        <v>0</v>
      </c>
      <c r="C744" s="1087">
        <f>[30]MW!C307</f>
        <v>0</v>
      </c>
      <c r="D744" s="1087">
        <f>[30]MW!D307</f>
        <v>0</v>
      </c>
      <c r="E744" s="1087">
        <f>[30]MW!E307</f>
        <v>0</v>
      </c>
      <c r="F744" s="1087">
        <f>[30]MW!F307</f>
        <v>0</v>
      </c>
      <c r="G744" s="1087">
        <f>[30]MW!G307</f>
        <v>0</v>
      </c>
      <c r="H744" s="1087">
        <f>[30]MW!H307</f>
        <v>0</v>
      </c>
      <c r="I744" s="1087">
        <f>[30]MW!I307</f>
        <v>0</v>
      </c>
      <c r="J744" s="1087">
        <f>[30]MW!J307</f>
        <v>0</v>
      </c>
      <c r="K744" s="1087">
        <f>[30]MW!K307</f>
        <v>0</v>
      </c>
      <c r="L744" s="1087">
        <f>[30]MW!L307</f>
        <v>0</v>
      </c>
      <c r="M744" s="1087">
        <f>[30]MW!M307</f>
        <v>0</v>
      </c>
      <c r="N744" s="25">
        <f t="shared" ref="N744:N753" si="611">SUM(B744:M744)</f>
        <v>0</v>
      </c>
    </row>
    <row r="745" spans="1:14">
      <c r="A745" s="2">
        <f t="shared" si="608"/>
        <v>2032</v>
      </c>
      <c r="B745" s="1087">
        <f>[30]MW!B308</f>
        <v>0</v>
      </c>
      <c r="C745" s="1087">
        <f>[30]MW!C308</f>
        <v>0</v>
      </c>
      <c r="D745" s="1087">
        <f>[30]MW!D308</f>
        <v>0</v>
      </c>
      <c r="E745" s="1087">
        <f>[30]MW!E308</f>
        <v>0</v>
      </c>
      <c r="F745" s="1087">
        <f>[30]MW!F308</f>
        <v>0</v>
      </c>
      <c r="G745" s="1087">
        <f>[30]MW!G308</f>
        <v>0</v>
      </c>
      <c r="H745" s="1087">
        <f>[30]MW!H308</f>
        <v>0</v>
      </c>
      <c r="I745" s="1087">
        <f>[30]MW!I308</f>
        <v>0</v>
      </c>
      <c r="J745" s="1087">
        <f>[30]MW!J308</f>
        <v>0</v>
      </c>
      <c r="K745" s="1087">
        <f>[30]MW!K308</f>
        <v>0</v>
      </c>
      <c r="L745" s="1087">
        <f>[30]MW!L308</f>
        <v>0</v>
      </c>
      <c r="M745" s="1087">
        <f>[30]MW!M308</f>
        <v>0</v>
      </c>
      <c r="N745" s="25">
        <f t="shared" si="611"/>
        <v>0</v>
      </c>
    </row>
    <row r="746" spans="1:14">
      <c r="A746" s="2">
        <f t="shared" si="608"/>
        <v>2033</v>
      </c>
      <c r="B746" s="1087">
        <f>[30]MW!B309</f>
        <v>0</v>
      </c>
      <c r="C746" s="1087">
        <f>[30]MW!C309</f>
        <v>0</v>
      </c>
      <c r="D746" s="1087">
        <f>[30]MW!D309</f>
        <v>0</v>
      </c>
      <c r="E746" s="1087">
        <f>[30]MW!E309</f>
        <v>0</v>
      </c>
      <c r="F746" s="1087">
        <f>[30]MW!F309</f>
        <v>0</v>
      </c>
      <c r="G746" s="1087">
        <f>[30]MW!G309</f>
        <v>0</v>
      </c>
      <c r="H746" s="1087">
        <f>[30]MW!H309</f>
        <v>0</v>
      </c>
      <c r="I746" s="1087">
        <f>[30]MW!I309</f>
        <v>0</v>
      </c>
      <c r="J746" s="1087">
        <f>[30]MW!J309</f>
        <v>0</v>
      </c>
      <c r="K746" s="1087">
        <f>[30]MW!K309</f>
        <v>0</v>
      </c>
      <c r="L746" s="1087">
        <f>[30]MW!L309</f>
        <v>0</v>
      </c>
      <c r="M746" s="1087">
        <f>[30]MW!M309</f>
        <v>0</v>
      </c>
      <c r="N746" s="25">
        <f t="shared" si="611"/>
        <v>0</v>
      </c>
    </row>
    <row r="747" spans="1:14">
      <c r="A747" s="2">
        <f t="shared" si="608"/>
        <v>2034</v>
      </c>
      <c r="B747" s="1087">
        <f>[30]MW!B310</f>
        <v>0</v>
      </c>
      <c r="C747" s="1087">
        <f>[30]MW!C310</f>
        <v>0</v>
      </c>
      <c r="D747" s="1087">
        <f>[30]MW!D310</f>
        <v>0</v>
      </c>
      <c r="E747" s="1087">
        <f>[30]MW!E310</f>
        <v>0</v>
      </c>
      <c r="F747" s="1087">
        <f>[30]MW!F310</f>
        <v>0</v>
      </c>
      <c r="G747" s="1087">
        <f>[30]MW!G310</f>
        <v>0</v>
      </c>
      <c r="H747" s="1087">
        <f>[30]MW!H310</f>
        <v>0</v>
      </c>
      <c r="I747" s="1087">
        <f>[30]MW!I310</f>
        <v>0</v>
      </c>
      <c r="J747" s="1087">
        <f>[30]MW!J310</f>
        <v>0</v>
      </c>
      <c r="K747" s="1087">
        <f>[30]MW!K310</f>
        <v>0</v>
      </c>
      <c r="L747" s="1087">
        <f>[30]MW!L310</f>
        <v>0</v>
      </c>
      <c r="M747" s="1087">
        <f>[30]MW!M310</f>
        <v>0</v>
      </c>
      <c r="N747" s="25">
        <f t="shared" si="611"/>
        <v>0</v>
      </c>
    </row>
    <row r="748" spans="1:14">
      <c r="A748" s="2">
        <f t="shared" si="608"/>
        <v>2035</v>
      </c>
      <c r="B748" s="1087">
        <f>[30]MW!B311</f>
        <v>0</v>
      </c>
      <c r="C748" s="1087">
        <f>[30]MW!C311</f>
        <v>0</v>
      </c>
      <c r="D748" s="1087">
        <f>[30]MW!D311</f>
        <v>0</v>
      </c>
      <c r="E748" s="1087">
        <f>[30]MW!E311</f>
        <v>0</v>
      </c>
      <c r="F748" s="1087">
        <f>[30]MW!F311</f>
        <v>0</v>
      </c>
      <c r="G748" s="1087">
        <f>[30]MW!G311</f>
        <v>0</v>
      </c>
      <c r="H748" s="1087">
        <f>[30]MW!H311</f>
        <v>0</v>
      </c>
      <c r="I748" s="1087">
        <f>[30]MW!I311</f>
        <v>0</v>
      </c>
      <c r="J748" s="1087">
        <f>[30]MW!J311</f>
        <v>0</v>
      </c>
      <c r="K748" s="1087">
        <f>[30]MW!K311</f>
        <v>0</v>
      </c>
      <c r="L748" s="1087">
        <f>[30]MW!L311</f>
        <v>0</v>
      </c>
      <c r="M748" s="1087">
        <f>[30]MW!M311</f>
        <v>0</v>
      </c>
      <c r="N748" s="25">
        <f t="shared" si="611"/>
        <v>0</v>
      </c>
    </row>
    <row r="749" spans="1:14">
      <c r="A749" s="2">
        <f t="shared" si="608"/>
        <v>2036</v>
      </c>
      <c r="B749" s="1087">
        <f>[30]MW!B312</f>
        <v>0</v>
      </c>
      <c r="C749" s="1087">
        <f>[30]MW!C312</f>
        <v>0</v>
      </c>
      <c r="D749" s="1087">
        <f>[30]MW!D312</f>
        <v>0</v>
      </c>
      <c r="E749" s="1087">
        <f>[30]MW!E312</f>
        <v>0</v>
      </c>
      <c r="F749" s="1087">
        <f>[30]MW!F312</f>
        <v>0</v>
      </c>
      <c r="G749" s="1087">
        <f>[30]MW!G312</f>
        <v>0</v>
      </c>
      <c r="H749" s="1087">
        <f>[30]MW!H312</f>
        <v>0</v>
      </c>
      <c r="I749" s="1087">
        <f>[30]MW!I312</f>
        <v>0</v>
      </c>
      <c r="J749" s="1087">
        <f>[30]MW!J312</f>
        <v>0</v>
      </c>
      <c r="K749" s="1087">
        <f>[30]MW!K312</f>
        <v>0</v>
      </c>
      <c r="L749" s="1087">
        <f>[30]MW!L312</f>
        <v>0</v>
      </c>
      <c r="M749" s="1087">
        <f>[30]MW!M312</f>
        <v>0</v>
      </c>
      <c r="N749" s="25">
        <f t="shared" si="611"/>
        <v>0</v>
      </c>
    </row>
    <row r="750" spans="1:14">
      <c r="A750" s="2">
        <f t="shared" si="608"/>
        <v>2037</v>
      </c>
      <c r="B750" s="1087">
        <f>[30]MW!B313</f>
        <v>0</v>
      </c>
      <c r="C750" s="1087">
        <f>[30]MW!C313</f>
        <v>0</v>
      </c>
      <c r="D750" s="1087">
        <f>[30]MW!D313</f>
        <v>0</v>
      </c>
      <c r="E750" s="1087">
        <f>[30]MW!E313</f>
        <v>0</v>
      </c>
      <c r="F750" s="1087">
        <f>[30]MW!F313</f>
        <v>0</v>
      </c>
      <c r="G750" s="1087">
        <f>[30]MW!G313</f>
        <v>0</v>
      </c>
      <c r="H750" s="1087">
        <f>[30]MW!H313</f>
        <v>0</v>
      </c>
      <c r="I750" s="1087">
        <f>[30]MW!I313</f>
        <v>0</v>
      </c>
      <c r="J750" s="1087">
        <f>[30]MW!J313</f>
        <v>0</v>
      </c>
      <c r="K750" s="1087">
        <f>[30]MW!K313</f>
        <v>0</v>
      </c>
      <c r="L750" s="1087">
        <f>[30]MW!L313</f>
        <v>0</v>
      </c>
      <c r="M750" s="1087">
        <f>[30]MW!M313</f>
        <v>0</v>
      </c>
      <c r="N750" s="25">
        <f t="shared" si="611"/>
        <v>0</v>
      </c>
    </row>
    <row r="751" spans="1:14">
      <c r="A751" s="2">
        <f t="shared" si="608"/>
        <v>2038</v>
      </c>
      <c r="B751" s="1087">
        <f>[30]MW!B314</f>
        <v>0</v>
      </c>
      <c r="C751" s="1087">
        <f>[30]MW!C314</f>
        <v>0</v>
      </c>
      <c r="D751" s="1087">
        <f>[30]MW!D314</f>
        <v>0</v>
      </c>
      <c r="E751" s="1087">
        <f>[30]MW!E314</f>
        <v>0</v>
      </c>
      <c r="F751" s="1087">
        <f>[30]MW!F314</f>
        <v>0</v>
      </c>
      <c r="G751" s="1087">
        <f>[30]MW!G314</f>
        <v>0</v>
      </c>
      <c r="H751" s="1087">
        <f>[30]MW!H314</f>
        <v>0</v>
      </c>
      <c r="I751" s="1087">
        <f>[30]MW!I314</f>
        <v>0</v>
      </c>
      <c r="J751" s="1087">
        <f>[30]MW!J314</f>
        <v>0</v>
      </c>
      <c r="K751" s="1087">
        <f>[30]MW!K314</f>
        <v>0</v>
      </c>
      <c r="L751" s="1087">
        <f>[30]MW!L314</f>
        <v>0</v>
      </c>
      <c r="M751" s="1087">
        <f>[30]MW!M314</f>
        <v>0</v>
      </c>
      <c r="N751" s="25">
        <f t="shared" si="611"/>
        <v>0</v>
      </c>
    </row>
    <row r="752" spans="1:14">
      <c r="A752" s="2">
        <f t="shared" si="608"/>
        <v>2039</v>
      </c>
      <c r="B752" s="1087">
        <f>[30]MW!B315</f>
        <v>0</v>
      </c>
      <c r="C752" s="1087">
        <f>[30]MW!C315</f>
        <v>0</v>
      </c>
      <c r="D752" s="1087">
        <f>[30]MW!D315</f>
        <v>0</v>
      </c>
      <c r="E752" s="1087">
        <f>[30]MW!E315</f>
        <v>0</v>
      </c>
      <c r="F752" s="1087">
        <f>[30]MW!F315</f>
        <v>0</v>
      </c>
      <c r="G752" s="1087">
        <f>[30]MW!G315</f>
        <v>0</v>
      </c>
      <c r="H752" s="1087">
        <f>[30]MW!H315</f>
        <v>0</v>
      </c>
      <c r="I752" s="1087">
        <f>[30]MW!I315</f>
        <v>0</v>
      </c>
      <c r="J752" s="1087">
        <f>[30]MW!J315</f>
        <v>0</v>
      </c>
      <c r="K752" s="1087">
        <f>[30]MW!K315</f>
        <v>0</v>
      </c>
      <c r="L752" s="1087">
        <f>[30]MW!L315</f>
        <v>0</v>
      </c>
      <c r="M752" s="1087">
        <f>[30]MW!M315</f>
        <v>0</v>
      </c>
      <c r="N752" s="25">
        <f t="shared" si="611"/>
        <v>0</v>
      </c>
    </row>
    <row r="753" spans="1:14">
      <c r="A753" s="2">
        <f t="shared" si="608"/>
        <v>2040</v>
      </c>
      <c r="B753" s="1087">
        <f>[30]MW!B316</f>
        <v>0</v>
      </c>
      <c r="C753" s="1087">
        <f>[30]MW!C316</f>
        <v>0</v>
      </c>
      <c r="D753" s="1087">
        <f>[30]MW!D316</f>
        <v>0</v>
      </c>
      <c r="E753" s="1087">
        <f>[30]MW!E316</f>
        <v>0</v>
      </c>
      <c r="F753" s="1087">
        <f>[30]MW!F316</f>
        <v>0</v>
      </c>
      <c r="G753" s="1087">
        <f>[30]MW!G316</f>
        <v>0</v>
      </c>
      <c r="H753" s="1087">
        <f>[30]MW!H316</f>
        <v>0</v>
      </c>
      <c r="I753" s="1087">
        <f>[30]MW!I316</f>
        <v>0</v>
      </c>
      <c r="J753" s="1087">
        <f>[30]MW!J316</f>
        <v>0</v>
      </c>
      <c r="K753" s="1087">
        <f>[30]MW!K316</f>
        <v>0</v>
      </c>
      <c r="L753" s="1087">
        <f>[30]MW!L316</f>
        <v>0</v>
      </c>
      <c r="M753" s="1087">
        <f>[30]MW!M316</f>
        <v>0</v>
      </c>
      <c r="N753" s="25">
        <f t="shared" si="611"/>
        <v>0</v>
      </c>
    </row>
    <row r="754" spans="1:14">
      <c r="A754" s="2">
        <f t="shared" si="608"/>
        <v>2041</v>
      </c>
    </row>
    <row r="755" spans="1:14">
      <c r="A755" s="2">
        <f t="shared" si="608"/>
        <v>2042</v>
      </c>
    </row>
    <row r="756" spans="1:14">
      <c r="A756" s="2">
        <f t="shared" si="608"/>
        <v>2043</v>
      </c>
    </row>
    <row r="757" spans="1:14">
      <c r="A757" s="2">
        <f t="shared" si="608"/>
        <v>2044</v>
      </c>
    </row>
    <row r="758" spans="1:14">
      <c r="A758" s="2">
        <f>A718</f>
        <v>2045</v>
      </c>
    </row>
    <row r="761" spans="1:14">
      <c r="A761" s="1109" t="s">
        <v>557</v>
      </c>
    </row>
    <row r="762" spans="1:14" s="27" customFormat="1">
      <c r="A762" s="27" t="str">
        <f t="shared" ref="A762:N762" si="612">A682</f>
        <v>YEAR</v>
      </c>
      <c r="B762" s="27" t="str">
        <f t="shared" si="612"/>
        <v>Jan/Winter</v>
      </c>
      <c r="C762" s="27" t="str">
        <f t="shared" si="612"/>
        <v>FEB</v>
      </c>
      <c r="D762" s="27" t="str">
        <f t="shared" si="612"/>
        <v>MAR</v>
      </c>
      <c r="E762" s="27" t="str">
        <f t="shared" si="612"/>
        <v>APR</v>
      </c>
      <c r="F762" s="27" t="str">
        <f t="shared" si="612"/>
        <v>MAY</v>
      </c>
      <c r="G762" s="27" t="str">
        <f t="shared" si="612"/>
        <v>JUN</v>
      </c>
      <c r="H762" s="27" t="str">
        <f t="shared" si="612"/>
        <v>JUL</v>
      </c>
      <c r="I762" s="27" t="str">
        <f t="shared" si="612"/>
        <v>Aug/Sum</v>
      </c>
      <c r="J762" s="27" t="str">
        <f t="shared" si="612"/>
        <v>SEP</v>
      </c>
      <c r="K762" s="27" t="str">
        <f t="shared" si="612"/>
        <v>OCT</v>
      </c>
      <c r="L762" s="27" t="str">
        <f t="shared" si="612"/>
        <v>NOV</v>
      </c>
      <c r="M762" s="27" t="str">
        <f t="shared" si="612"/>
        <v>DEC</v>
      </c>
      <c r="N762" s="27" t="str">
        <f t="shared" si="612"/>
        <v>SUM</v>
      </c>
    </row>
    <row r="763" spans="1:14">
      <c r="A763" s="2">
        <f t="shared" ref="A763:A797" si="613">A723</f>
        <v>2010</v>
      </c>
      <c r="B763" s="596">
        <v>0</v>
      </c>
      <c r="C763" s="596">
        <v>0</v>
      </c>
      <c r="D763" s="596">
        <v>0</v>
      </c>
      <c r="E763" s="596">
        <v>0</v>
      </c>
      <c r="F763" s="596">
        <v>0</v>
      </c>
      <c r="G763" s="596">
        <v>0</v>
      </c>
      <c r="H763" s="596">
        <v>0</v>
      </c>
      <c r="I763" s="596">
        <v>0</v>
      </c>
      <c r="J763" s="596">
        <v>0</v>
      </c>
      <c r="K763" s="596">
        <v>0</v>
      </c>
      <c r="L763" s="596">
        <v>0</v>
      </c>
      <c r="M763" s="596">
        <v>0</v>
      </c>
      <c r="N763" s="25">
        <f t="shared" ref="N763:N783" si="614">SUM(B763:M763)</f>
        <v>0</v>
      </c>
    </row>
    <row r="764" spans="1:14">
      <c r="A764" s="2">
        <f t="shared" si="613"/>
        <v>2011</v>
      </c>
      <c r="B764" s="1085">
        <f>[30]MW!B327</f>
        <v>150</v>
      </c>
      <c r="C764" s="1085">
        <f>[30]MW!C327</f>
        <v>150</v>
      </c>
      <c r="D764" s="1085">
        <f>[30]MW!D327</f>
        <v>150</v>
      </c>
      <c r="E764" s="1085">
        <f>[30]MW!E327</f>
        <v>150</v>
      </c>
      <c r="F764" s="1085">
        <f>[30]MW!F327</f>
        <v>150</v>
      </c>
      <c r="G764" s="1085">
        <f>[30]MW!G327</f>
        <v>150</v>
      </c>
      <c r="H764" s="1085">
        <f>[30]MW!H327</f>
        <v>150</v>
      </c>
      <c r="I764" s="1085">
        <f>[30]MW!I327</f>
        <v>150</v>
      </c>
      <c r="J764" s="1085">
        <f>[30]MW!J327</f>
        <v>150</v>
      </c>
      <c r="K764" s="1085">
        <f>[30]MW!K327</f>
        <v>150</v>
      </c>
      <c r="L764" s="1085">
        <f>[30]MW!L327</f>
        <v>150</v>
      </c>
      <c r="M764" s="1085">
        <f>[30]MW!M327</f>
        <v>150</v>
      </c>
      <c r="N764" s="25">
        <f t="shared" si="614"/>
        <v>1800</v>
      </c>
    </row>
    <row r="765" spans="1:14">
      <c r="A765" s="2">
        <f t="shared" si="613"/>
        <v>2012</v>
      </c>
      <c r="B765" s="1085">
        <f>ROUND([30]MW!B328,0)</f>
        <v>150</v>
      </c>
      <c r="C765" s="1085">
        <f>ROUND([30]MW!C328,0)</f>
        <v>150</v>
      </c>
      <c r="D765" s="1085">
        <f>ROUND([30]MW!D328,0)</f>
        <v>150</v>
      </c>
      <c r="E765" s="1085">
        <f>ROUND([30]MW!E328,0)</f>
        <v>150</v>
      </c>
      <c r="F765" s="1085">
        <f>ROUND([30]MW!F328,0)</f>
        <v>150</v>
      </c>
      <c r="G765" s="1085">
        <f>ROUND([30]MW!G328,0)</f>
        <v>150</v>
      </c>
      <c r="H765" s="1085">
        <f>ROUND([30]MW!H328,0)</f>
        <v>150</v>
      </c>
      <c r="I765" s="1085">
        <f>ROUND([30]MW!I328,0)</f>
        <v>150</v>
      </c>
      <c r="J765" s="1085">
        <f>ROUND([30]MW!J328,0)</f>
        <v>150</v>
      </c>
      <c r="K765" s="1085">
        <f>ROUND([30]MW!K328,0)</f>
        <v>150</v>
      </c>
      <c r="L765" s="1085">
        <f>ROUND([30]MW!L328,0)</f>
        <v>150</v>
      </c>
      <c r="M765" s="1085">
        <f>ROUND([30]MW!M328,0)</f>
        <v>150</v>
      </c>
      <c r="N765" s="25">
        <f t="shared" si="614"/>
        <v>1800</v>
      </c>
    </row>
    <row r="766" spans="1:14">
      <c r="A766" s="2">
        <f t="shared" si="613"/>
        <v>2013</v>
      </c>
      <c r="B766" s="1085">
        <f>ROUND([30]MW!B329,0)</f>
        <v>150</v>
      </c>
      <c r="C766" s="1085">
        <f>ROUND([30]MW!C329,0)</f>
        <v>150</v>
      </c>
      <c r="D766" s="1085">
        <f>ROUND([30]MW!D329,0)</f>
        <v>150</v>
      </c>
      <c r="E766" s="1085">
        <f>ROUND([30]MW!E329,0)</f>
        <v>150</v>
      </c>
      <c r="F766" s="1085">
        <f>ROUND([30]MW!F329,0)</f>
        <v>150</v>
      </c>
      <c r="G766" s="1085">
        <f>ROUND([30]MW!G329,0)</f>
        <v>150</v>
      </c>
      <c r="H766" s="1085">
        <f>ROUND([30]MW!H329,0)</f>
        <v>150</v>
      </c>
      <c r="I766" s="1085">
        <f>ROUND([30]MW!I329,0)</f>
        <v>150</v>
      </c>
      <c r="J766" s="1085">
        <f>ROUND([30]MW!J329,0)</f>
        <v>150</v>
      </c>
      <c r="K766" s="1085">
        <f>ROUND([30]MW!K329,0)</f>
        <v>150</v>
      </c>
      <c r="L766" s="1085">
        <f>ROUND([30]MW!L329,0)</f>
        <v>150</v>
      </c>
      <c r="M766" s="1085">
        <f>ROUND([30]MW!M329,0)</f>
        <v>150</v>
      </c>
      <c r="N766" s="25">
        <f t="shared" si="614"/>
        <v>1800</v>
      </c>
    </row>
    <row r="767" spans="1:14">
      <c r="A767" s="2">
        <f t="shared" si="613"/>
        <v>2014</v>
      </c>
      <c r="B767" s="1085">
        <f>ROUND([30]MW!B330,0)</f>
        <v>0</v>
      </c>
      <c r="C767" s="1085">
        <f>ROUND([30]MW!C330,0)</f>
        <v>0</v>
      </c>
      <c r="D767" s="1085">
        <f>ROUND([30]MW!D330,0)</f>
        <v>0</v>
      </c>
      <c r="E767" s="1085">
        <f>ROUND([30]MW!E330,0)</f>
        <v>0</v>
      </c>
      <c r="F767" s="1085">
        <f>ROUND([30]MW!F330,0)</f>
        <v>0</v>
      </c>
      <c r="G767" s="1085">
        <f>ROUND([30]MW!G330,0)</f>
        <v>0</v>
      </c>
      <c r="H767" s="1085">
        <f>ROUND([30]MW!H330,0)</f>
        <v>0</v>
      </c>
      <c r="I767" s="1085">
        <f>ROUND([30]MW!I330,0)</f>
        <v>0</v>
      </c>
      <c r="J767" s="1085">
        <f>ROUND([30]MW!J330,0)</f>
        <v>0</v>
      </c>
      <c r="K767" s="1085">
        <f>ROUND([30]MW!K330,0)</f>
        <v>0</v>
      </c>
      <c r="L767" s="1085">
        <f>ROUND([30]MW!L330,0)</f>
        <v>0</v>
      </c>
      <c r="M767" s="1085">
        <f>ROUND([30]MW!M330,0)</f>
        <v>0</v>
      </c>
      <c r="N767" s="25">
        <f t="shared" si="614"/>
        <v>0</v>
      </c>
    </row>
    <row r="768" spans="1:14">
      <c r="A768" s="2">
        <f t="shared" si="613"/>
        <v>2015</v>
      </c>
      <c r="B768" s="1085">
        <f>[30]MW!B331</f>
        <v>0</v>
      </c>
      <c r="C768" s="1085">
        <f>[30]MW!C331</f>
        <v>0</v>
      </c>
      <c r="D768" s="1085">
        <f>[30]MW!D331</f>
        <v>0</v>
      </c>
      <c r="E768" s="1085">
        <f>[30]MW!E331</f>
        <v>0</v>
      </c>
      <c r="F768" s="1085">
        <f>[30]MW!F331</f>
        <v>0</v>
      </c>
      <c r="G768" s="1085">
        <f>[30]MW!G331</f>
        <v>0</v>
      </c>
      <c r="H768" s="1085">
        <f>[30]MW!H331</f>
        <v>0</v>
      </c>
      <c r="I768" s="1085">
        <f>[30]MW!I331</f>
        <v>0</v>
      </c>
      <c r="J768" s="1085">
        <f>[30]MW!J331</f>
        <v>0</v>
      </c>
      <c r="K768" s="1085">
        <f>[30]MW!K331</f>
        <v>0</v>
      </c>
      <c r="L768" s="1085">
        <f>[30]MW!L331</f>
        <v>0</v>
      </c>
      <c r="M768" s="1085">
        <f>[30]MW!M331</f>
        <v>0</v>
      </c>
      <c r="N768" s="25">
        <f t="shared" si="614"/>
        <v>0</v>
      </c>
    </row>
    <row r="769" spans="1:14">
      <c r="A769" s="2">
        <f t="shared" si="613"/>
        <v>2016</v>
      </c>
      <c r="B769" s="1085">
        <f>[30]MW!B332</f>
        <v>0</v>
      </c>
      <c r="C769" s="1085">
        <f>[30]MW!C332</f>
        <v>0</v>
      </c>
      <c r="D769" s="1085">
        <f>[30]MW!D332</f>
        <v>0</v>
      </c>
      <c r="E769" s="1085">
        <f>[30]MW!E332</f>
        <v>0</v>
      </c>
      <c r="F769" s="1085">
        <f>[30]MW!F332</f>
        <v>0</v>
      </c>
      <c r="G769" s="1085">
        <f>[30]MW!G332</f>
        <v>0</v>
      </c>
      <c r="H769" s="1085">
        <f>[30]MW!H332</f>
        <v>0</v>
      </c>
      <c r="I769" s="1085">
        <f>[30]MW!I332</f>
        <v>0</v>
      </c>
      <c r="J769" s="1085">
        <f>[30]MW!J332</f>
        <v>0</v>
      </c>
      <c r="K769" s="1085">
        <f>[30]MW!K332</f>
        <v>0</v>
      </c>
      <c r="L769" s="1085">
        <f>[30]MW!L332</f>
        <v>0</v>
      </c>
      <c r="M769" s="1085">
        <f>[30]MW!M332</f>
        <v>0</v>
      </c>
      <c r="N769" s="25">
        <f t="shared" si="614"/>
        <v>0</v>
      </c>
    </row>
    <row r="770" spans="1:14">
      <c r="A770" s="2">
        <f t="shared" si="613"/>
        <v>2017</v>
      </c>
      <c r="B770" s="1085">
        <f>[30]MW!B333</f>
        <v>0</v>
      </c>
      <c r="C770" s="1085">
        <f>[30]MW!C333</f>
        <v>0</v>
      </c>
      <c r="D770" s="1085">
        <f>[30]MW!D333</f>
        <v>0</v>
      </c>
      <c r="E770" s="1085">
        <f>[30]MW!E333</f>
        <v>0</v>
      </c>
      <c r="F770" s="1085">
        <f>[30]MW!F333</f>
        <v>0</v>
      </c>
      <c r="G770" s="1085">
        <f>[30]MW!G333</f>
        <v>0</v>
      </c>
      <c r="H770" s="1085">
        <f>[30]MW!H333</f>
        <v>0</v>
      </c>
      <c r="I770" s="1085">
        <f>[30]MW!I333</f>
        <v>0</v>
      </c>
      <c r="J770" s="1085">
        <f>[30]MW!J333</f>
        <v>0</v>
      </c>
      <c r="K770" s="1085">
        <f>[30]MW!K333</f>
        <v>0</v>
      </c>
      <c r="L770" s="1085">
        <f>[30]MW!L333</f>
        <v>0</v>
      </c>
      <c r="M770" s="1085">
        <f>[30]MW!M333</f>
        <v>0</v>
      </c>
      <c r="N770" s="25">
        <f t="shared" si="614"/>
        <v>0</v>
      </c>
    </row>
    <row r="771" spans="1:14">
      <c r="A771" s="2">
        <f t="shared" si="613"/>
        <v>2018</v>
      </c>
      <c r="B771" s="1085">
        <f>[30]MW!B334</f>
        <v>0</v>
      </c>
      <c r="C771" s="1085">
        <f>[30]MW!C334</f>
        <v>0</v>
      </c>
      <c r="D771" s="1085">
        <f>[30]MW!D334</f>
        <v>0</v>
      </c>
      <c r="E771" s="1085">
        <f>[30]MW!E334</f>
        <v>0</v>
      </c>
      <c r="F771" s="1085">
        <f>[30]MW!F334</f>
        <v>0</v>
      </c>
      <c r="G771" s="1085">
        <f>[30]MW!G334</f>
        <v>0</v>
      </c>
      <c r="H771" s="1085">
        <f>[30]MW!H334</f>
        <v>0</v>
      </c>
      <c r="I771" s="1085">
        <f>[30]MW!I334</f>
        <v>0</v>
      </c>
      <c r="J771" s="1085">
        <f>[30]MW!J334</f>
        <v>0</v>
      </c>
      <c r="K771" s="1085">
        <f>[30]MW!K334</f>
        <v>0</v>
      </c>
      <c r="L771" s="1085">
        <f>[30]MW!L334</f>
        <v>0</v>
      </c>
      <c r="M771" s="1085">
        <f>[30]MW!M334</f>
        <v>0</v>
      </c>
      <c r="N771" s="25">
        <f t="shared" si="614"/>
        <v>0</v>
      </c>
    </row>
    <row r="772" spans="1:14">
      <c r="A772" s="2">
        <f t="shared" si="613"/>
        <v>2019</v>
      </c>
      <c r="B772" s="1085">
        <f>[30]MW!B335</f>
        <v>0</v>
      </c>
      <c r="C772" s="1085">
        <f>[30]MW!C335</f>
        <v>0</v>
      </c>
      <c r="D772" s="1085">
        <f>[30]MW!D335</f>
        <v>0</v>
      </c>
      <c r="E772" s="1085">
        <f>[30]MW!E335</f>
        <v>0</v>
      </c>
      <c r="F772" s="1085">
        <f>[30]MW!F335</f>
        <v>0</v>
      </c>
      <c r="G772" s="1085">
        <f>[30]MW!G335</f>
        <v>0</v>
      </c>
      <c r="H772" s="1085">
        <f>[30]MW!H335</f>
        <v>0</v>
      </c>
      <c r="I772" s="1085">
        <f>[30]MW!I335</f>
        <v>0</v>
      </c>
      <c r="J772" s="1085">
        <f>[30]MW!J335</f>
        <v>0</v>
      </c>
      <c r="K772" s="1085">
        <f>[30]MW!K335</f>
        <v>0</v>
      </c>
      <c r="L772" s="1085">
        <f>[30]MW!L335</f>
        <v>0</v>
      </c>
      <c r="M772" s="1085">
        <f>[30]MW!M335</f>
        <v>0</v>
      </c>
      <c r="N772" s="25">
        <f t="shared" si="614"/>
        <v>0</v>
      </c>
    </row>
    <row r="773" spans="1:14">
      <c r="A773" s="2">
        <f t="shared" si="613"/>
        <v>2020</v>
      </c>
      <c r="B773" s="1085">
        <f>[30]MW!B336</f>
        <v>0</v>
      </c>
      <c r="C773" s="1085">
        <f>[30]MW!C336</f>
        <v>0</v>
      </c>
      <c r="D773" s="1085">
        <f>[30]MW!D336</f>
        <v>0</v>
      </c>
      <c r="E773" s="1085">
        <f>[30]MW!E336</f>
        <v>0</v>
      </c>
      <c r="F773" s="1085">
        <f>[30]MW!F336</f>
        <v>0</v>
      </c>
      <c r="G773" s="1085">
        <f>[30]MW!G336</f>
        <v>0</v>
      </c>
      <c r="H773" s="1085">
        <f>[30]MW!H336</f>
        <v>0</v>
      </c>
      <c r="I773" s="1085">
        <f>[30]MW!I336</f>
        <v>0</v>
      </c>
      <c r="J773" s="1085">
        <f>[30]MW!J336</f>
        <v>0</v>
      </c>
      <c r="K773" s="1085">
        <f>[30]MW!K336</f>
        <v>0</v>
      </c>
      <c r="L773" s="1085">
        <f>[30]MW!L336</f>
        <v>0</v>
      </c>
      <c r="M773" s="1085">
        <f>[30]MW!M336</f>
        <v>0</v>
      </c>
      <c r="N773" s="25">
        <f t="shared" si="614"/>
        <v>0</v>
      </c>
    </row>
    <row r="774" spans="1:14">
      <c r="A774" s="2">
        <f t="shared" si="613"/>
        <v>2021</v>
      </c>
      <c r="B774" s="1085">
        <f>[30]MW!B337</f>
        <v>0</v>
      </c>
      <c r="C774" s="1085">
        <f>[30]MW!C337</f>
        <v>0</v>
      </c>
      <c r="D774" s="1085">
        <f>[30]MW!D337</f>
        <v>0</v>
      </c>
      <c r="E774" s="1085">
        <f>[30]MW!E337</f>
        <v>0</v>
      </c>
      <c r="F774" s="1085">
        <f>[30]MW!F337</f>
        <v>0</v>
      </c>
      <c r="G774" s="1085">
        <f>[30]MW!G337</f>
        <v>0</v>
      </c>
      <c r="H774" s="1085">
        <f>[30]MW!H337</f>
        <v>0</v>
      </c>
      <c r="I774" s="1085">
        <f>[30]MW!I337</f>
        <v>0</v>
      </c>
      <c r="J774" s="1085">
        <f>[30]MW!J337</f>
        <v>0</v>
      </c>
      <c r="K774" s="1085">
        <f>[30]MW!K337</f>
        <v>0</v>
      </c>
      <c r="L774" s="1085">
        <f>[30]MW!L337</f>
        <v>0</v>
      </c>
      <c r="M774" s="1085">
        <f>[30]MW!M337</f>
        <v>0</v>
      </c>
      <c r="N774" s="25">
        <f t="shared" si="614"/>
        <v>0</v>
      </c>
    </row>
    <row r="775" spans="1:14">
      <c r="A775" s="2">
        <f t="shared" si="613"/>
        <v>2022</v>
      </c>
      <c r="B775" s="1085">
        <f>[30]MW!B338</f>
        <v>0</v>
      </c>
      <c r="C775" s="1085">
        <f>[30]MW!C338</f>
        <v>0</v>
      </c>
      <c r="D775" s="1085">
        <f>[30]MW!D338</f>
        <v>0</v>
      </c>
      <c r="E775" s="1085">
        <f>[30]MW!E338</f>
        <v>0</v>
      </c>
      <c r="F775" s="1085">
        <f>[30]MW!F338</f>
        <v>0</v>
      </c>
      <c r="G775" s="1085">
        <f>[30]MW!G338</f>
        <v>0</v>
      </c>
      <c r="H775" s="1085">
        <f>[30]MW!H338</f>
        <v>0</v>
      </c>
      <c r="I775" s="1085">
        <f>[30]MW!I338</f>
        <v>0</v>
      </c>
      <c r="J775" s="1085">
        <f>[30]MW!J338</f>
        <v>0</v>
      </c>
      <c r="K775" s="1085">
        <f>[30]MW!K338</f>
        <v>0</v>
      </c>
      <c r="L775" s="1085">
        <f>[30]MW!L338</f>
        <v>0</v>
      </c>
      <c r="M775" s="1085">
        <f>[30]MW!M338</f>
        <v>0</v>
      </c>
      <c r="N775" s="25">
        <f t="shared" si="614"/>
        <v>0</v>
      </c>
    </row>
    <row r="776" spans="1:14">
      <c r="A776" s="2">
        <f t="shared" si="613"/>
        <v>2023</v>
      </c>
      <c r="B776" s="1085">
        <f>[30]MW!B339</f>
        <v>0</v>
      </c>
      <c r="C776" s="1085">
        <f>[30]MW!C339</f>
        <v>0</v>
      </c>
      <c r="D776" s="1085">
        <f>[30]MW!D339</f>
        <v>0</v>
      </c>
      <c r="E776" s="1085">
        <f>[30]MW!E339</f>
        <v>0</v>
      </c>
      <c r="F776" s="1085">
        <f>[30]MW!F339</f>
        <v>0</v>
      </c>
      <c r="G776" s="1085">
        <f>[30]MW!G339</f>
        <v>0</v>
      </c>
      <c r="H776" s="1085">
        <f>[30]MW!H339</f>
        <v>0</v>
      </c>
      <c r="I776" s="1085">
        <f>[30]MW!I339</f>
        <v>0</v>
      </c>
      <c r="J776" s="1085">
        <f>[30]MW!J339</f>
        <v>0</v>
      </c>
      <c r="K776" s="1085">
        <f>[30]MW!K339</f>
        <v>0</v>
      </c>
      <c r="L776" s="1085">
        <f>[30]MW!L339</f>
        <v>0</v>
      </c>
      <c r="M776" s="1085">
        <f>[30]MW!M339</f>
        <v>0</v>
      </c>
      <c r="N776" s="25">
        <f t="shared" si="614"/>
        <v>0</v>
      </c>
    </row>
    <row r="777" spans="1:14">
      <c r="A777" s="2">
        <f t="shared" si="613"/>
        <v>2024</v>
      </c>
      <c r="B777" s="1085">
        <f>[30]MW!B340</f>
        <v>0</v>
      </c>
      <c r="C777" s="1085">
        <f>[30]MW!C340</f>
        <v>0</v>
      </c>
      <c r="D777" s="1085">
        <f>[30]MW!D340</f>
        <v>0</v>
      </c>
      <c r="E777" s="1085">
        <f>[30]MW!E340</f>
        <v>0</v>
      </c>
      <c r="F777" s="1085">
        <f>[30]MW!F340</f>
        <v>0</v>
      </c>
      <c r="G777" s="1085">
        <f>[30]MW!G340</f>
        <v>0</v>
      </c>
      <c r="H777" s="1085">
        <f>[30]MW!H340</f>
        <v>0</v>
      </c>
      <c r="I777" s="1085">
        <f>[30]MW!I340</f>
        <v>0</v>
      </c>
      <c r="J777" s="1085">
        <f>[30]MW!J340</f>
        <v>0</v>
      </c>
      <c r="K777" s="1085">
        <f>[30]MW!K340</f>
        <v>0</v>
      </c>
      <c r="L777" s="1085">
        <f>[30]MW!L340</f>
        <v>0</v>
      </c>
      <c r="M777" s="1085">
        <f>[30]MW!M340</f>
        <v>0</v>
      </c>
      <c r="N777" s="25">
        <f t="shared" si="614"/>
        <v>0</v>
      </c>
    </row>
    <row r="778" spans="1:14">
      <c r="A778" s="2">
        <f t="shared" si="613"/>
        <v>2025</v>
      </c>
      <c r="B778" s="1085">
        <f>[30]MW!B341</f>
        <v>0</v>
      </c>
      <c r="C778" s="1085">
        <f>[30]MW!C341</f>
        <v>0</v>
      </c>
      <c r="D778" s="1085">
        <f>[30]MW!D341</f>
        <v>0</v>
      </c>
      <c r="E778" s="1085">
        <f>[30]MW!E341</f>
        <v>0</v>
      </c>
      <c r="F778" s="1085">
        <f>[30]MW!F341</f>
        <v>0</v>
      </c>
      <c r="G778" s="1085">
        <f>[30]MW!G341</f>
        <v>0</v>
      </c>
      <c r="H778" s="1085">
        <f>[30]MW!H341</f>
        <v>0</v>
      </c>
      <c r="I778" s="1085">
        <f>[30]MW!I341</f>
        <v>0</v>
      </c>
      <c r="J778" s="1085">
        <f>[30]MW!J341</f>
        <v>0</v>
      </c>
      <c r="K778" s="1085">
        <f>[30]MW!K341</f>
        <v>0</v>
      </c>
      <c r="L778" s="1085">
        <f>[30]MW!L341</f>
        <v>0</v>
      </c>
      <c r="M778" s="1085">
        <f>[30]MW!M341</f>
        <v>0</v>
      </c>
      <c r="N778" s="25">
        <f t="shared" si="614"/>
        <v>0</v>
      </c>
    </row>
    <row r="779" spans="1:14">
      <c r="A779" s="2">
        <f t="shared" si="613"/>
        <v>2026</v>
      </c>
      <c r="B779" s="1085">
        <f>[30]MW!B342</f>
        <v>0</v>
      </c>
      <c r="C779" s="1085">
        <f>[30]MW!C342</f>
        <v>0</v>
      </c>
      <c r="D779" s="1085">
        <f>[30]MW!D342</f>
        <v>0</v>
      </c>
      <c r="E779" s="1085">
        <f>[30]MW!E342</f>
        <v>0</v>
      </c>
      <c r="F779" s="1085">
        <f>[30]MW!F342</f>
        <v>0</v>
      </c>
      <c r="G779" s="1085">
        <f>[30]MW!G342</f>
        <v>0</v>
      </c>
      <c r="H779" s="1085">
        <f>[30]MW!H342</f>
        <v>0</v>
      </c>
      <c r="I779" s="1085">
        <f>[30]MW!I342</f>
        <v>0</v>
      </c>
      <c r="J779" s="1085">
        <f>[30]MW!J342</f>
        <v>0</v>
      </c>
      <c r="K779" s="1085">
        <f>[30]MW!K342</f>
        <v>0</v>
      </c>
      <c r="L779" s="1085">
        <f>[30]MW!L342</f>
        <v>0</v>
      </c>
      <c r="M779" s="1085">
        <f>[30]MW!M342</f>
        <v>0</v>
      </c>
      <c r="N779" s="25">
        <f t="shared" si="614"/>
        <v>0</v>
      </c>
    </row>
    <row r="780" spans="1:14">
      <c r="A780" s="2">
        <f t="shared" si="613"/>
        <v>2027</v>
      </c>
      <c r="B780" s="1085">
        <f>[30]MW!B343</f>
        <v>0</v>
      </c>
      <c r="C780" s="1085">
        <f>[30]MW!C343</f>
        <v>0</v>
      </c>
      <c r="D780" s="1085">
        <f>[30]MW!D343</f>
        <v>0</v>
      </c>
      <c r="E780" s="1085">
        <f>[30]MW!E343</f>
        <v>0</v>
      </c>
      <c r="F780" s="1085">
        <f>[30]MW!F343</f>
        <v>0</v>
      </c>
      <c r="G780" s="1085">
        <f>[30]MW!G343</f>
        <v>0</v>
      </c>
      <c r="H780" s="1085">
        <f>[30]MW!H343</f>
        <v>0</v>
      </c>
      <c r="I780" s="1085">
        <f>[30]MW!I343</f>
        <v>0</v>
      </c>
      <c r="J780" s="1085">
        <f>[30]MW!J343</f>
        <v>0</v>
      </c>
      <c r="K780" s="1085">
        <f>[30]MW!K343</f>
        <v>0</v>
      </c>
      <c r="L780" s="1085">
        <f>[30]MW!L343</f>
        <v>0</v>
      </c>
      <c r="M780" s="1085">
        <f>[30]MW!M343</f>
        <v>0</v>
      </c>
      <c r="N780" s="25">
        <f t="shared" si="614"/>
        <v>0</v>
      </c>
    </row>
    <row r="781" spans="1:14">
      <c r="A781" s="2">
        <f t="shared" si="613"/>
        <v>2028</v>
      </c>
      <c r="B781" s="1085">
        <f>[30]MW!B344</f>
        <v>0</v>
      </c>
      <c r="C781" s="1085">
        <f>[30]MW!C344</f>
        <v>0</v>
      </c>
      <c r="D781" s="1085">
        <f>[30]MW!D344</f>
        <v>0</v>
      </c>
      <c r="E781" s="1085">
        <f>[30]MW!E344</f>
        <v>0</v>
      </c>
      <c r="F781" s="1085">
        <f>[30]MW!F344</f>
        <v>0</v>
      </c>
      <c r="G781" s="1085">
        <f>[30]MW!G344</f>
        <v>0</v>
      </c>
      <c r="H781" s="1085">
        <f>[30]MW!H344</f>
        <v>0</v>
      </c>
      <c r="I781" s="1085">
        <f>[30]MW!I344</f>
        <v>0</v>
      </c>
      <c r="J781" s="1085">
        <f>[30]MW!J344</f>
        <v>0</v>
      </c>
      <c r="K781" s="1085">
        <f>[30]MW!K344</f>
        <v>0</v>
      </c>
      <c r="L781" s="1085">
        <f>[30]MW!L344</f>
        <v>0</v>
      </c>
      <c r="M781" s="1085">
        <f>[30]MW!M344</f>
        <v>0</v>
      </c>
      <c r="N781" s="25">
        <f t="shared" si="614"/>
        <v>0</v>
      </c>
    </row>
    <row r="782" spans="1:14">
      <c r="A782" s="2">
        <f t="shared" si="613"/>
        <v>2029</v>
      </c>
      <c r="B782" s="1085">
        <f>[30]MW!B345</f>
        <v>0</v>
      </c>
      <c r="C782" s="1085">
        <f>[30]MW!C345</f>
        <v>0</v>
      </c>
      <c r="D782" s="1085">
        <f>[30]MW!D345</f>
        <v>0</v>
      </c>
      <c r="E782" s="1085">
        <f>[30]MW!E345</f>
        <v>0</v>
      </c>
      <c r="F782" s="1085">
        <f>[30]MW!F345</f>
        <v>0</v>
      </c>
      <c r="G782" s="1085">
        <f>[30]MW!G345</f>
        <v>0</v>
      </c>
      <c r="H782" s="1085">
        <f>[30]MW!H345</f>
        <v>0</v>
      </c>
      <c r="I782" s="1085">
        <f>[30]MW!I345</f>
        <v>0</v>
      </c>
      <c r="J782" s="1085">
        <f>[30]MW!J345</f>
        <v>0</v>
      </c>
      <c r="K782" s="1085">
        <f>[30]MW!K345</f>
        <v>0</v>
      </c>
      <c r="L782" s="1085">
        <f>[30]MW!L345</f>
        <v>0</v>
      </c>
      <c r="M782" s="1085">
        <f>[30]MW!M345</f>
        <v>0</v>
      </c>
      <c r="N782" s="25">
        <f t="shared" si="614"/>
        <v>0</v>
      </c>
    </row>
    <row r="783" spans="1:14">
      <c r="A783" s="2">
        <f t="shared" si="613"/>
        <v>2030</v>
      </c>
      <c r="B783" s="1085">
        <f>[30]MW!B346</f>
        <v>0</v>
      </c>
      <c r="C783" s="1085">
        <f>[30]MW!C346</f>
        <v>0</v>
      </c>
      <c r="D783" s="1085">
        <f>[30]MW!D346</f>
        <v>0</v>
      </c>
      <c r="E783" s="1085">
        <f>[30]MW!E346</f>
        <v>0</v>
      </c>
      <c r="F783" s="1085">
        <f>[30]MW!F346</f>
        <v>0</v>
      </c>
      <c r="G783" s="1085">
        <f>[30]MW!G346</f>
        <v>0</v>
      </c>
      <c r="H783" s="1085">
        <f>[30]MW!H346</f>
        <v>0</v>
      </c>
      <c r="I783" s="1085">
        <f>[30]MW!I346</f>
        <v>0</v>
      </c>
      <c r="J783" s="1085">
        <f>[30]MW!J346</f>
        <v>0</v>
      </c>
      <c r="K783" s="1085">
        <f>[30]MW!K346</f>
        <v>0</v>
      </c>
      <c r="L783" s="1085">
        <f>[30]MW!L346</f>
        <v>0</v>
      </c>
      <c r="M783" s="1085">
        <f>[30]MW!M346</f>
        <v>0</v>
      </c>
      <c r="N783" s="25">
        <f t="shared" si="614"/>
        <v>0</v>
      </c>
    </row>
    <row r="784" spans="1:14">
      <c r="A784" s="2">
        <f t="shared" si="613"/>
        <v>2031</v>
      </c>
      <c r="B784" s="1085">
        <f>[30]MW!B347</f>
        <v>0</v>
      </c>
      <c r="C784" s="1085">
        <f>[30]MW!C347</f>
        <v>0</v>
      </c>
      <c r="D784" s="1085">
        <f>[30]MW!D347</f>
        <v>0</v>
      </c>
      <c r="E784" s="1085">
        <f>[30]MW!E347</f>
        <v>0</v>
      </c>
      <c r="F784" s="1085">
        <f>[30]MW!F347</f>
        <v>0</v>
      </c>
      <c r="G784" s="1085">
        <f>[30]MW!G347</f>
        <v>0</v>
      </c>
      <c r="H784" s="1085">
        <f>[30]MW!H347</f>
        <v>0</v>
      </c>
      <c r="I784" s="1085">
        <f>[30]MW!I347</f>
        <v>0</v>
      </c>
      <c r="J784" s="1085">
        <f>[30]MW!J347</f>
        <v>0</v>
      </c>
      <c r="K784" s="1085">
        <f>[30]MW!K347</f>
        <v>0</v>
      </c>
      <c r="L784" s="1085">
        <f>[30]MW!L347</f>
        <v>0</v>
      </c>
      <c r="M784" s="1085">
        <f>[30]MW!M347</f>
        <v>0</v>
      </c>
      <c r="N784" s="25">
        <f t="shared" ref="N784:N792" si="615">SUM(B784:M784)</f>
        <v>0</v>
      </c>
    </row>
    <row r="785" spans="1:14">
      <c r="A785" s="2">
        <f t="shared" si="613"/>
        <v>2032</v>
      </c>
      <c r="B785" s="1085">
        <f>[30]MW!B348</f>
        <v>0</v>
      </c>
      <c r="C785" s="1085">
        <f>[30]MW!C348</f>
        <v>0</v>
      </c>
      <c r="D785" s="1085">
        <f>[30]MW!D348</f>
        <v>0</v>
      </c>
      <c r="E785" s="1085">
        <f>[30]MW!E348</f>
        <v>0</v>
      </c>
      <c r="F785" s="1085">
        <f>[30]MW!F348</f>
        <v>0</v>
      </c>
      <c r="G785" s="1085">
        <f>[30]MW!G348</f>
        <v>0</v>
      </c>
      <c r="H785" s="1085">
        <f>[30]MW!H348</f>
        <v>0</v>
      </c>
      <c r="I785" s="1085">
        <f>[30]MW!I348</f>
        <v>0</v>
      </c>
      <c r="J785" s="1085">
        <f>[30]MW!J348</f>
        <v>0</v>
      </c>
      <c r="K785" s="1085">
        <f>[30]MW!K348</f>
        <v>0</v>
      </c>
      <c r="L785" s="1085">
        <f>[30]MW!L348</f>
        <v>0</v>
      </c>
      <c r="M785" s="1085">
        <f>[30]MW!M348</f>
        <v>0</v>
      </c>
      <c r="N785" s="25">
        <f t="shared" si="615"/>
        <v>0</v>
      </c>
    </row>
    <row r="786" spans="1:14">
      <c r="A786" s="2">
        <f t="shared" si="613"/>
        <v>2033</v>
      </c>
      <c r="B786" s="1085">
        <f>[30]MW!B349</f>
        <v>0</v>
      </c>
      <c r="C786" s="1085">
        <f>[30]MW!C349</f>
        <v>0</v>
      </c>
      <c r="D786" s="1085">
        <f>[30]MW!D349</f>
        <v>0</v>
      </c>
      <c r="E786" s="1085">
        <f>[30]MW!E349</f>
        <v>0</v>
      </c>
      <c r="F786" s="1085">
        <f>[30]MW!F349</f>
        <v>0</v>
      </c>
      <c r="G786" s="1085">
        <f>[30]MW!G349</f>
        <v>0</v>
      </c>
      <c r="H786" s="1085">
        <f>[30]MW!H349</f>
        <v>0</v>
      </c>
      <c r="I786" s="1085">
        <f>[30]MW!I349</f>
        <v>0</v>
      </c>
      <c r="J786" s="1085">
        <f>[30]MW!J349</f>
        <v>0</v>
      </c>
      <c r="K786" s="1085">
        <f>[30]MW!K349</f>
        <v>0</v>
      </c>
      <c r="L786" s="1085">
        <f>[30]MW!L349</f>
        <v>0</v>
      </c>
      <c r="M786" s="1085">
        <f>[30]MW!M349</f>
        <v>0</v>
      </c>
      <c r="N786" s="25">
        <f t="shared" si="615"/>
        <v>0</v>
      </c>
    </row>
    <row r="787" spans="1:14">
      <c r="A787" s="2">
        <f t="shared" si="613"/>
        <v>2034</v>
      </c>
      <c r="B787" s="1085">
        <f>[30]MW!B350</f>
        <v>0</v>
      </c>
      <c r="C787" s="1085">
        <f>[30]MW!C350</f>
        <v>0</v>
      </c>
      <c r="D787" s="1085">
        <f>[30]MW!D350</f>
        <v>0</v>
      </c>
      <c r="E787" s="1085">
        <f>[30]MW!E350</f>
        <v>0</v>
      </c>
      <c r="F787" s="1085">
        <f>[30]MW!F350</f>
        <v>0</v>
      </c>
      <c r="G787" s="1085">
        <f>[30]MW!G350</f>
        <v>0</v>
      </c>
      <c r="H787" s="1085">
        <f>[30]MW!H350</f>
        <v>0</v>
      </c>
      <c r="I787" s="1085">
        <f>[30]MW!I350</f>
        <v>0</v>
      </c>
      <c r="J787" s="1085">
        <f>[30]MW!J350</f>
        <v>0</v>
      </c>
      <c r="K787" s="1085">
        <f>[30]MW!K350</f>
        <v>0</v>
      </c>
      <c r="L787" s="1085">
        <f>[30]MW!L350</f>
        <v>0</v>
      </c>
      <c r="M787" s="1085">
        <f>[30]MW!M350</f>
        <v>0</v>
      </c>
      <c r="N787" s="25">
        <f t="shared" si="615"/>
        <v>0</v>
      </c>
    </row>
    <row r="788" spans="1:14">
      <c r="A788" s="2">
        <f t="shared" si="613"/>
        <v>2035</v>
      </c>
      <c r="B788" s="1085">
        <f>[30]MW!B351</f>
        <v>0</v>
      </c>
      <c r="C788" s="1085">
        <f>[30]MW!C351</f>
        <v>0</v>
      </c>
      <c r="D788" s="1085">
        <f>[30]MW!D351</f>
        <v>0</v>
      </c>
      <c r="E788" s="1085">
        <f>[30]MW!E351</f>
        <v>0</v>
      </c>
      <c r="F788" s="1085">
        <f>[30]MW!F351</f>
        <v>0</v>
      </c>
      <c r="G788" s="1085">
        <f>[30]MW!G351</f>
        <v>0</v>
      </c>
      <c r="H788" s="1085">
        <f>[30]MW!H351</f>
        <v>0</v>
      </c>
      <c r="I788" s="1085">
        <f>[30]MW!I351</f>
        <v>0</v>
      </c>
      <c r="J788" s="1085">
        <f>[30]MW!J351</f>
        <v>0</v>
      </c>
      <c r="K788" s="1085">
        <f>[30]MW!K351</f>
        <v>0</v>
      </c>
      <c r="L788" s="1085">
        <f>[30]MW!L351</f>
        <v>0</v>
      </c>
      <c r="M788" s="1085">
        <f>[30]MW!M351</f>
        <v>0</v>
      </c>
      <c r="N788" s="25">
        <f t="shared" si="615"/>
        <v>0</v>
      </c>
    </row>
    <row r="789" spans="1:14">
      <c r="A789" s="2">
        <f t="shared" si="613"/>
        <v>2036</v>
      </c>
      <c r="B789" s="1085">
        <f>[30]MW!B352</f>
        <v>0</v>
      </c>
      <c r="C789" s="1085">
        <f>[30]MW!C352</f>
        <v>0</v>
      </c>
      <c r="D789" s="1085">
        <f>[30]MW!D352</f>
        <v>0</v>
      </c>
      <c r="E789" s="1085">
        <f>[30]MW!E352</f>
        <v>0</v>
      </c>
      <c r="F789" s="1085">
        <f>[30]MW!F352</f>
        <v>0</v>
      </c>
      <c r="G789" s="1085">
        <f>[30]MW!G352</f>
        <v>0</v>
      </c>
      <c r="H789" s="1085">
        <f>[30]MW!H352</f>
        <v>0</v>
      </c>
      <c r="I789" s="1085">
        <f>[30]MW!I352</f>
        <v>0</v>
      </c>
      <c r="J789" s="1085">
        <f>[30]MW!J352</f>
        <v>0</v>
      </c>
      <c r="K789" s="1085">
        <f>[30]MW!K352</f>
        <v>0</v>
      </c>
      <c r="L789" s="1085">
        <f>[30]MW!L352</f>
        <v>0</v>
      </c>
      <c r="M789" s="1085">
        <f>[30]MW!M352</f>
        <v>0</v>
      </c>
      <c r="N789" s="25">
        <f t="shared" si="615"/>
        <v>0</v>
      </c>
    </row>
    <row r="790" spans="1:14">
      <c r="A790" s="2">
        <f t="shared" si="613"/>
        <v>2037</v>
      </c>
      <c r="B790" s="1085">
        <f>[30]MW!B353</f>
        <v>0</v>
      </c>
      <c r="C790" s="1085">
        <f>[30]MW!C353</f>
        <v>0</v>
      </c>
      <c r="D790" s="1085">
        <f>[30]MW!D353</f>
        <v>0</v>
      </c>
      <c r="E790" s="1085">
        <f>[30]MW!E353</f>
        <v>0</v>
      </c>
      <c r="F790" s="1085">
        <f>[30]MW!F353</f>
        <v>0</v>
      </c>
      <c r="G790" s="1085">
        <f>[30]MW!G353</f>
        <v>0</v>
      </c>
      <c r="H790" s="1085">
        <f>[30]MW!H353</f>
        <v>0</v>
      </c>
      <c r="I790" s="1085">
        <f>[30]MW!I353</f>
        <v>0</v>
      </c>
      <c r="J790" s="1085">
        <f>[30]MW!J353</f>
        <v>0</v>
      </c>
      <c r="K790" s="1085">
        <f>[30]MW!K353</f>
        <v>0</v>
      </c>
      <c r="L790" s="1085">
        <f>[30]MW!L353</f>
        <v>0</v>
      </c>
      <c r="M790" s="1085">
        <f>[30]MW!M353</f>
        <v>0</v>
      </c>
      <c r="N790" s="25">
        <f t="shared" si="615"/>
        <v>0</v>
      </c>
    </row>
    <row r="791" spans="1:14">
      <c r="A791" s="2">
        <f t="shared" si="613"/>
        <v>2038</v>
      </c>
      <c r="B791" s="1085">
        <f>[30]MW!B354</f>
        <v>0</v>
      </c>
      <c r="C791" s="1085">
        <f>[30]MW!C354</f>
        <v>0</v>
      </c>
      <c r="D791" s="1085">
        <f>[30]MW!D354</f>
        <v>0</v>
      </c>
      <c r="E791" s="1085">
        <f>[30]MW!E354</f>
        <v>0</v>
      </c>
      <c r="F791" s="1085">
        <f>[30]MW!F354</f>
        <v>0</v>
      </c>
      <c r="G791" s="1085">
        <f>[30]MW!G354</f>
        <v>0</v>
      </c>
      <c r="H791" s="1085">
        <f>[30]MW!H354</f>
        <v>0</v>
      </c>
      <c r="I791" s="1085">
        <f>[30]MW!I354</f>
        <v>0</v>
      </c>
      <c r="J791" s="1085">
        <f>[30]MW!J354</f>
        <v>0</v>
      </c>
      <c r="K791" s="1085">
        <f>[30]MW!K354</f>
        <v>0</v>
      </c>
      <c r="L791" s="1085">
        <f>[30]MW!L354</f>
        <v>0</v>
      </c>
      <c r="M791" s="1085">
        <f>[30]MW!M354</f>
        <v>0</v>
      </c>
      <c r="N791" s="25">
        <f t="shared" si="615"/>
        <v>0</v>
      </c>
    </row>
    <row r="792" spans="1:14">
      <c r="A792" s="2">
        <f t="shared" si="613"/>
        <v>2039</v>
      </c>
      <c r="B792" s="1085">
        <f>[30]MW!B355</f>
        <v>0</v>
      </c>
      <c r="C792" s="1085">
        <f>[30]MW!C355</f>
        <v>0</v>
      </c>
      <c r="D792" s="1085">
        <f>[30]MW!D355</f>
        <v>0</v>
      </c>
      <c r="E792" s="1085">
        <f>[30]MW!E355</f>
        <v>0</v>
      </c>
      <c r="F792" s="1085">
        <f>[30]MW!F355</f>
        <v>0</v>
      </c>
      <c r="G792" s="1085">
        <f>[30]MW!G355</f>
        <v>0</v>
      </c>
      <c r="H792" s="1085">
        <f>[30]MW!H355</f>
        <v>0</v>
      </c>
      <c r="I792" s="1085">
        <f>[30]MW!I355</f>
        <v>0</v>
      </c>
      <c r="J792" s="1085">
        <f>[30]MW!J355</f>
        <v>0</v>
      </c>
      <c r="K792" s="1085">
        <f>[30]MW!K355</f>
        <v>0</v>
      </c>
      <c r="L792" s="1085">
        <f>[30]MW!L355</f>
        <v>0</v>
      </c>
      <c r="M792" s="1085">
        <f>[30]MW!M355</f>
        <v>0</v>
      </c>
      <c r="N792" s="25">
        <f t="shared" si="615"/>
        <v>0</v>
      </c>
    </row>
    <row r="793" spans="1:14">
      <c r="A793" s="2">
        <f t="shared" si="613"/>
        <v>2040</v>
      </c>
    </row>
    <row r="794" spans="1:14">
      <c r="A794" s="2">
        <f t="shared" si="613"/>
        <v>2041</v>
      </c>
    </row>
    <row r="795" spans="1:14">
      <c r="A795" s="2">
        <f t="shared" si="613"/>
        <v>2042</v>
      </c>
    </row>
    <row r="796" spans="1:14">
      <c r="A796" s="2">
        <f t="shared" si="613"/>
        <v>2043</v>
      </c>
    </row>
    <row r="797" spans="1:14">
      <c r="A797" s="2">
        <f t="shared" si="613"/>
        <v>2044</v>
      </c>
    </row>
    <row r="798" spans="1:14">
      <c r="A798" s="2">
        <f>A758</f>
        <v>2045</v>
      </c>
    </row>
    <row r="801" spans="1:14">
      <c r="A801" s="1082" t="s">
        <v>472</v>
      </c>
    </row>
    <row r="802" spans="1:14" s="27" customFormat="1">
      <c r="A802" s="27" t="str">
        <f t="shared" ref="A802:N802" si="616">A642</f>
        <v>YEAR</v>
      </c>
      <c r="B802" s="27" t="str">
        <f t="shared" si="616"/>
        <v>Jan/Winter</v>
      </c>
      <c r="C802" s="27" t="str">
        <f t="shared" si="616"/>
        <v>FEB</v>
      </c>
      <c r="D802" s="27" t="str">
        <f t="shared" si="616"/>
        <v>MAR</v>
      </c>
      <c r="E802" s="27" t="str">
        <f t="shared" si="616"/>
        <v>APR</v>
      </c>
      <c r="F802" s="27" t="str">
        <f t="shared" si="616"/>
        <v>MAY</v>
      </c>
      <c r="G802" s="27" t="str">
        <f t="shared" si="616"/>
        <v>JUN</v>
      </c>
      <c r="H802" s="27" t="str">
        <f t="shared" si="616"/>
        <v>JUL</v>
      </c>
      <c r="I802" s="27" t="str">
        <f t="shared" si="616"/>
        <v>Aug/Sum</v>
      </c>
      <c r="J802" s="27" t="str">
        <f t="shared" si="616"/>
        <v>SEP</v>
      </c>
      <c r="K802" s="27" t="str">
        <f t="shared" si="616"/>
        <v>OCT</v>
      </c>
      <c r="L802" s="27" t="str">
        <f t="shared" si="616"/>
        <v>NOV</v>
      </c>
      <c r="M802" s="27" t="str">
        <f t="shared" si="616"/>
        <v>DEC</v>
      </c>
      <c r="N802" s="27" t="str">
        <f t="shared" si="616"/>
        <v>SUM</v>
      </c>
    </row>
    <row r="803" spans="1:14">
      <c r="A803" s="2">
        <f>A763</f>
        <v>2010</v>
      </c>
    </row>
    <row r="804" spans="1:14">
      <c r="A804" s="2">
        <f t="shared" ref="A804:A838" si="617">A764</f>
        <v>2011</v>
      </c>
      <c r="B804" s="1089">
        <f>[30]MW!B367</f>
        <v>0</v>
      </c>
      <c r="C804" s="1089">
        <f>[30]MW!C367</f>
        <v>0</v>
      </c>
      <c r="D804" s="1089">
        <f>[30]MW!D367</f>
        <v>0</v>
      </c>
      <c r="E804" s="1089">
        <f>[30]MW!E367</f>
        <v>0</v>
      </c>
      <c r="F804" s="1089">
        <f>[30]MW!F367</f>
        <v>0</v>
      </c>
      <c r="G804" s="1089">
        <f>[30]MW!G367</f>
        <v>0</v>
      </c>
      <c r="H804" s="1089">
        <f>[30]MW!H367</f>
        <v>0</v>
      </c>
      <c r="I804" s="1089">
        <f>[30]MW!I367</f>
        <v>0</v>
      </c>
      <c r="J804" s="1089">
        <f>[30]MW!J367</f>
        <v>0</v>
      </c>
      <c r="K804" s="1089">
        <f>[30]MW!K367</f>
        <v>0</v>
      </c>
      <c r="L804" s="1089">
        <f>[30]MW!L367</f>
        <v>0</v>
      </c>
      <c r="M804" s="1089">
        <f>[30]MW!M367</f>
        <v>0</v>
      </c>
      <c r="N804" s="578">
        <f>SUM(B804:M804)</f>
        <v>0</v>
      </c>
    </row>
    <row r="805" spans="1:14">
      <c r="A805" s="2">
        <f t="shared" si="617"/>
        <v>2012</v>
      </c>
      <c r="B805" s="1089">
        <f>ROUND([30]MW!B368,0)</f>
        <v>150</v>
      </c>
      <c r="C805" s="1089">
        <f>ROUND([30]MW!C368,0)</f>
        <v>150</v>
      </c>
      <c r="D805" s="1089">
        <f>ROUND([30]MW!D368,0)</f>
        <v>150</v>
      </c>
      <c r="E805" s="1089">
        <f>ROUND([30]MW!E368,0)</f>
        <v>150</v>
      </c>
      <c r="F805" s="1089">
        <f>ROUND([30]MW!F368,0)</f>
        <v>150</v>
      </c>
      <c r="G805" s="1089">
        <f>ROUND([30]MW!G368,0)</f>
        <v>150</v>
      </c>
      <c r="H805" s="1089">
        <f>ROUND([30]MW!H368,0)</f>
        <v>150</v>
      </c>
      <c r="I805" s="1089">
        <f>ROUND([30]MW!I368,0)</f>
        <v>150</v>
      </c>
      <c r="J805" s="1089">
        <f>ROUND([30]MW!J368,0)</f>
        <v>150</v>
      </c>
      <c r="K805" s="1089">
        <f>ROUND([30]MW!K368,0)</f>
        <v>150</v>
      </c>
      <c r="L805" s="1089">
        <f>ROUND([30]MW!L368,0)</f>
        <v>150</v>
      </c>
      <c r="M805" s="1089">
        <f>ROUND([30]MW!M368,0)</f>
        <v>150</v>
      </c>
      <c r="N805" s="578">
        <f t="shared" ref="N805:N823" si="618">SUM(B805:M805)</f>
        <v>1800</v>
      </c>
    </row>
    <row r="806" spans="1:14">
      <c r="A806" s="2">
        <f t="shared" si="617"/>
        <v>2013</v>
      </c>
      <c r="B806" s="1089">
        <f>ROUND([30]MW!B369,0)</f>
        <v>150</v>
      </c>
      <c r="C806" s="1089">
        <f>ROUND([30]MW!C369,0)</f>
        <v>150</v>
      </c>
      <c r="D806" s="1089">
        <f>ROUND([30]MW!D369,0)</f>
        <v>150</v>
      </c>
      <c r="E806" s="1089">
        <f>ROUND([30]MW!E369,0)</f>
        <v>150</v>
      </c>
      <c r="F806" s="1089">
        <f>ROUND([30]MW!F369,0)</f>
        <v>150</v>
      </c>
      <c r="G806" s="1089">
        <f>ROUND([30]MW!G369,0)</f>
        <v>150</v>
      </c>
      <c r="H806" s="1089">
        <f>ROUND([30]MW!H369,0)</f>
        <v>150</v>
      </c>
      <c r="I806" s="1089">
        <f>ROUND([30]MW!I369,0)</f>
        <v>150</v>
      </c>
      <c r="J806" s="1089">
        <f>ROUND([30]MW!J369,0)</f>
        <v>150</v>
      </c>
      <c r="K806" s="1089">
        <f>ROUND([30]MW!K369,0)</f>
        <v>150</v>
      </c>
      <c r="L806" s="1089">
        <f>ROUND([30]MW!L369,0)</f>
        <v>150</v>
      </c>
      <c r="M806" s="1089">
        <f>ROUND([30]MW!M369,0)</f>
        <v>150</v>
      </c>
      <c r="N806" s="578">
        <f t="shared" si="618"/>
        <v>1800</v>
      </c>
    </row>
    <row r="807" spans="1:14">
      <c r="A807" s="2">
        <f t="shared" si="617"/>
        <v>2014</v>
      </c>
      <c r="B807" s="1089">
        <f>ROUND([30]MW!B370,0)</f>
        <v>0</v>
      </c>
      <c r="C807" s="1089">
        <f>ROUND([30]MW!C370,0)</f>
        <v>0</v>
      </c>
      <c r="D807" s="1089">
        <f>ROUND([30]MW!D370,0)</f>
        <v>0</v>
      </c>
      <c r="E807" s="1089">
        <f>ROUND([30]MW!E370,0)</f>
        <v>0</v>
      </c>
      <c r="F807" s="1089">
        <f>ROUND([30]MW!F370,0)</f>
        <v>0</v>
      </c>
      <c r="G807" s="1089">
        <f>ROUND([30]MW!G370,0)</f>
        <v>0</v>
      </c>
      <c r="H807" s="1089">
        <f>ROUND([30]MW!H370,0)</f>
        <v>0</v>
      </c>
      <c r="I807" s="1089">
        <f>ROUND([30]MW!I370,0)</f>
        <v>0</v>
      </c>
      <c r="J807" s="1089">
        <f>ROUND([30]MW!J370,0)</f>
        <v>0</v>
      </c>
      <c r="K807" s="1089">
        <f>ROUND([30]MW!K370,0)</f>
        <v>0</v>
      </c>
      <c r="L807" s="1089">
        <f>ROUND([30]MW!L370,0)</f>
        <v>0</v>
      </c>
      <c r="M807" s="1089">
        <f>ROUND([30]MW!M370,0)</f>
        <v>0</v>
      </c>
      <c r="N807" s="578">
        <f t="shared" si="618"/>
        <v>0</v>
      </c>
    </row>
    <row r="808" spans="1:14">
      <c r="A808" s="2">
        <f t="shared" si="617"/>
        <v>2015</v>
      </c>
      <c r="B808" s="1089">
        <f>[30]MW!B371</f>
        <v>0</v>
      </c>
      <c r="C808" s="1089">
        <f>[30]MW!C371</f>
        <v>0</v>
      </c>
      <c r="D808" s="1089">
        <f>[30]MW!D371</f>
        <v>0</v>
      </c>
      <c r="E808" s="1089">
        <f>[30]MW!E371</f>
        <v>0</v>
      </c>
      <c r="F808" s="1089">
        <f>[30]MW!F371</f>
        <v>0</v>
      </c>
      <c r="G808" s="1089">
        <f>[30]MW!G371</f>
        <v>0</v>
      </c>
      <c r="H808" s="1089">
        <f>[30]MW!H371</f>
        <v>0</v>
      </c>
      <c r="I808" s="1089">
        <f>[30]MW!I371</f>
        <v>0</v>
      </c>
      <c r="J808" s="1089">
        <f>[30]MW!J371</f>
        <v>0</v>
      </c>
      <c r="K808" s="1089">
        <f>[30]MW!K371</f>
        <v>0</v>
      </c>
      <c r="L808" s="1089">
        <f>[30]MW!L371</f>
        <v>0</v>
      </c>
      <c r="M808" s="1089">
        <f>[30]MW!M371</f>
        <v>0</v>
      </c>
      <c r="N808" s="578">
        <f t="shared" si="618"/>
        <v>0</v>
      </c>
    </row>
    <row r="809" spans="1:14">
      <c r="A809" s="2">
        <f t="shared" si="617"/>
        <v>2016</v>
      </c>
      <c r="B809" s="1089">
        <f>[30]MW!B372</f>
        <v>0</v>
      </c>
      <c r="C809" s="1089">
        <f>[30]MW!C372</f>
        <v>0</v>
      </c>
      <c r="D809" s="1089">
        <f>[30]MW!D372</f>
        <v>0</v>
      </c>
      <c r="E809" s="1089">
        <f>[30]MW!E372</f>
        <v>0</v>
      </c>
      <c r="F809" s="1089">
        <f>[30]MW!F372</f>
        <v>0</v>
      </c>
      <c r="G809" s="1089">
        <f>[30]MW!G372</f>
        <v>0</v>
      </c>
      <c r="H809" s="1089">
        <f>[30]MW!H372</f>
        <v>0</v>
      </c>
      <c r="I809" s="1089">
        <f>[30]MW!I372</f>
        <v>0</v>
      </c>
      <c r="J809" s="1089">
        <f>[30]MW!J372</f>
        <v>0</v>
      </c>
      <c r="K809" s="1089">
        <f>[30]MW!K372</f>
        <v>0</v>
      </c>
      <c r="L809" s="1089">
        <f>[30]MW!L372</f>
        <v>0</v>
      </c>
      <c r="M809" s="1089">
        <f>[30]MW!M372</f>
        <v>0</v>
      </c>
      <c r="N809" s="578">
        <f t="shared" si="618"/>
        <v>0</v>
      </c>
    </row>
    <row r="810" spans="1:14">
      <c r="A810" s="2">
        <f t="shared" si="617"/>
        <v>2017</v>
      </c>
      <c r="B810" s="1089">
        <f>[30]MW!B373</f>
        <v>0</v>
      </c>
      <c r="C810" s="1089">
        <f>[30]MW!C373</f>
        <v>0</v>
      </c>
      <c r="D810" s="1089">
        <f>[30]MW!D373</f>
        <v>0</v>
      </c>
      <c r="E810" s="1089">
        <f>[30]MW!E373</f>
        <v>0</v>
      </c>
      <c r="F810" s="1089">
        <f>[30]MW!F373</f>
        <v>0</v>
      </c>
      <c r="G810" s="1089">
        <f>[30]MW!G373</f>
        <v>0</v>
      </c>
      <c r="H810" s="1089">
        <f>[30]MW!H373</f>
        <v>0</v>
      </c>
      <c r="I810" s="1089">
        <f>[30]MW!I373</f>
        <v>0</v>
      </c>
      <c r="J810" s="1089">
        <f>[30]MW!J373</f>
        <v>0</v>
      </c>
      <c r="K810" s="1089">
        <f>[30]MW!K373</f>
        <v>0</v>
      </c>
      <c r="L810" s="1089">
        <f>[30]MW!L373</f>
        <v>0</v>
      </c>
      <c r="M810" s="1089">
        <f>[30]MW!M373</f>
        <v>0</v>
      </c>
      <c r="N810" s="578">
        <f t="shared" si="618"/>
        <v>0</v>
      </c>
    </row>
    <row r="811" spans="1:14">
      <c r="A811" s="2">
        <f t="shared" si="617"/>
        <v>2018</v>
      </c>
      <c r="B811" s="1089">
        <f>[30]MW!B374</f>
        <v>0</v>
      </c>
      <c r="C811" s="1089">
        <f>[30]MW!C374</f>
        <v>0</v>
      </c>
      <c r="D811" s="1089">
        <f>[30]MW!D374</f>
        <v>0</v>
      </c>
      <c r="E811" s="1089">
        <f>[30]MW!E374</f>
        <v>0</v>
      </c>
      <c r="F811" s="1089">
        <f>[30]MW!F374</f>
        <v>0</v>
      </c>
      <c r="G811" s="1089">
        <f>[30]MW!G374</f>
        <v>0</v>
      </c>
      <c r="H811" s="1089">
        <f>[30]MW!H374</f>
        <v>0</v>
      </c>
      <c r="I811" s="1089">
        <f>[30]MW!I374</f>
        <v>0</v>
      </c>
      <c r="J811" s="1089">
        <f>[30]MW!J374</f>
        <v>0</v>
      </c>
      <c r="K811" s="1089">
        <f>[30]MW!K374</f>
        <v>0</v>
      </c>
      <c r="L811" s="1089">
        <f>[30]MW!L374</f>
        <v>0</v>
      </c>
      <c r="M811" s="1089">
        <f>[30]MW!M374</f>
        <v>0</v>
      </c>
      <c r="N811" s="578">
        <f t="shared" si="618"/>
        <v>0</v>
      </c>
    </row>
    <row r="812" spans="1:14">
      <c r="A812" s="2">
        <f t="shared" si="617"/>
        <v>2019</v>
      </c>
      <c r="B812" s="1089">
        <f>[30]MW!B375</f>
        <v>0</v>
      </c>
      <c r="C812" s="1089">
        <f>[30]MW!C375</f>
        <v>0</v>
      </c>
      <c r="D812" s="1089">
        <f>[30]MW!D375</f>
        <v>0</v>
      </c>
      <c r="E812" s="1089">
        <f>[30]MW!E375</f>
        <v>0</v>
      </c>
      <c r="F812" s="1089">
        <f>[30]MW!F375</f>
        <v>0</v>
      </c>
      <c r="G812" s="1089">
        <f>[30]MW!G375</f>
        <v>0</v>
      </c>
      <c r="H812" s="1089">
        <f>[30]MW!H375</f>
        <v>0</v>
      </c>
      <c r="I812" s="1089">
        <f>[30]MW!I375</f>
        <v>0</v>
      </c>
      <c r="J812" s="1089">
        <f>[30]MW!J375</f>
        <v>0</v>
      </c>
      <c r="K812" s="1089">
        <f>[30]MW!K375</f>
        <v>0</v>
      </c>
      <c r="L812" s="1089">
        <f>[30]MW!L375</f>
        <v>0</v>
      </c>
      <c r="M812" s="1089">
        <f>[30]MW!M375</f>
        <v>0</v>
      </c>
      <c r="N812" s="578">
        <f t="shared" si="618"/>
        <v>0</v>
      </c>
    </row>
    <row r="813" spans="1:14">
      <c r="A813" s="2">
        <f t="shared" si="617"/>
        <v>2020</v>
      </c>
      <c r="B813" s="1089">
        <f>[30]MW!B376</f>
        <v>0</v>
      </c>
      <c r="C813" s="1089">
        <f>[30]MW!C376</f>
        <v>0</v>
      </c>
      <c r="D813" s="1089">
        <f>[30]MW!D376</f>
        <v>0</v>
      </c>
      <c r="E813" s="1089">
        <f>[30]MW!E376</f>
        <v>0</v>
      </c>
      <c r="F813" s="1089">
        <f>[30]MW!F376</f>
        <v>0</v>
      </c>
      <c r="G813" s="1089">
        <f>[30]MW!G376</f>
        <v>0</v>
      </c>
      <c r="H813" s="1089">
        <f>[30]MW!H376</f>
        <v>0</v>
      </c>
      <c r="I813" s="1089">
        <f>[30]MW!I376</f>
        <v>0</v>
      </c>
      <c r="J813" s="1089">
        <f>[30]MW!J376</f>
        <v>0</v>
      </c>
      <c r="K813" s="1089">
        <f>[30]MW!K376</f>
        <v>0</v>
      </c>
      <c r="L813" s="1089">
        <f>[30]MW!L376</f>
        <v>0</v>
      </c>
      <c r="M813" s="1089">
        <f>[30]MW!M376</f>
        <v>0</v>
      </c>
      <c r="N813" s="578">
        <f t="shared" si="618"/>
        <v>0</v>
      </c>
    </row>
    <row r="814" spans="1:14">
      <c r="A814" s="2">
        <f t="shared" si="617"/>
        <v>2021</v>
      </c>
      <c r="B814" s="1089">
        <f>[30]MW!B377</f>
        <v>0</v>
      </c>
      <c r="C814" s="1089">
        <f>[30]MW!C377</f>
        <v>0</v>
      </c>
      <c r="D814" s="1089">
        <f>[30]MW!D377</f>
        <v>0</v>
      </c>
      <c r="E814" s="1089">
        <f>[30]MW!E377</f>
        <v>0</v>
      </c>
      <c r="F814" s="1089">
        <f>[30]MW!F377</f>
        <v>0</v>
      </c>
      <c r="G814" s="1089">
        <f>[30]MW!G377</f>
        <v>0</v>
      </c>
      <c r="H814" s="1089">
        <f>[30]MW!H377</f>
        <v>0</v>
      </c>
      <c r="I814" s="1089">
        <f>[30]MW!I377</f>
        <v>0</v>
      </c>
      <c r="J814" s="1089">
        <f>[30]MW!J377</f>
        <v>0</v>
      </c>
      <c r="K814" s="1089">
        <f>[30]MW!K377</f>
        <v>0</v>
      </c>
      <c r="L814" s="1089">
        <f>[30]MW!L377</f>
        <v>0</v>
      </c>
      <c r="M814" s="1089">
        <f>[30]MW!M377</f>
        <v>0</v>
      </c>
      <c r="N814" s="578">
        <f t="shared" si="618"/>
        <v>0</v>
      </c>
    </row>
    <row r="815" spans="1:14">
      <c r="A815" s="2">
        <f t="shared" si="617"/>
        <v>2022</v>
      </c>
      <c r="B815" s="1089">
        <f>[30]MW!B378</f>
        <v>0</v>
      </c>
      <c r="C815" s="1089">
        <f>[30]MW!C378</f>
        <v>0</v>
      </c>
      <c r="D815" s="1089">
        <f>[30]MW!D378</f>
        <v>0</v>
      </c>
      <c r="E815" s="1089">
        <f>[30]MW!E378</f>
        <v>0</v>
      </c>
      <c r="F815" s="1089">
        <f>[30]MW!F378</f>
        <v>0</v>
      </c>
      <c r="G815" s="1089">
        <f>[30]MW!G378</f>
        <v>0</v>
      </c>
      <c r="H815" s="1089">
        <f>[30]MW!H378</f>
        <v>0</v>
      </c>
      <c r="I815" s="1089">
        <f>[30]MW!I378</f>
        <v>0</v>
      </c>
      <c r="J815" s="1089">
        <f>[30]MW!J378</f>
        <v>0</v>
      </c>
      <c r="K815" s="1089">
        <f>[30]MW!K378</f>
        <v>0</v>
      </c>
      <c r="L815" s="1089">
        <f>[30]MW!L378</f>
        <v>0</v>
      </c>
      <c r="M815" s="1089">
        <f>[30]MW!M378</f>
        <v>0</v>
      </c>
      <c r="N815" s="578">
        <f t="shared" si="618"/>
        <v>0</v>
      </c>
    </row>
    <row r="816" spans="1:14">
      <c r="A816" s="2">
        <f t="shared" si="617"/>
        <v>2023</v>
      </c>
      <c r="B816" s="1089">
        <f>[30]MW!B379</f>
        <v>0</v>
      </c>
      <c r="C816" s="1089">
        <f>[30]MW!C379</f>
        <v>0</v>
      </c>
      <c r="D816" s="1089">
        <f>[30]MW!D379</f>
        <v>0</v>
      </c>
      <c r="E816" s="1089">
        <f>[30]MW!E379</f>
        <v>0</v>
      </c>
      <c r="F816" s="1089">
        <f>[30]MW!F379</f>
        <v>0</v>
      </c>
      <c r="G816" s="1089">
        <f>[30]MW!G379</f>
        <v>0</v>
      </c>
      <c r="H816" s="1089">
        <f>[30]MW!H379</f>
        <v>0</v>
      </c>
      <c r="I816" s="1089">
        <f>[30]MW!I379</f>
        <v>0</v>
      </c>
      <c r="J816" s="1089">
        <f>[30]MW!J379</f>
        <v>0</v>
      </c>
      <c r="K816" s="1089">
        <f>[30]MW!K379</f>
        <v>0</v>
      </c>
      <c r="L816" s="1089">
        <f>[30]MW!L379</f>
        <v>0</v>
      </c>
      <c r="M816" s="1089">
        <f>[30]MW!M379</f>
        <v>0</v>
      </c>
      <c r="N816" s="578">
        <f t="shared" si="618"/>
        <v>0</v>
      </c>
    </row>
    <row r="817" spans="1:14">
      <c r="A817" s="2">
        <f t="shared" si="617"/>
        <v>2024</v>
      </c>
      <c r="B817" s="1089">
        <f>[30]MW!B380</f>
        <v>0</v>
      </c>
      <c r="C817" s="1089">
        <f>[30]MW!C380</f>
        <v>0</v>
      </c>
      <c r="D817" s="1089">
        <f>[30]MW!D380</f>
        <v>0</v>
      </c>
      <c r="E817" s="1089">
        <f>[30]MW!E380</f>
        <v>0</v>
      </c>
      <c r="F817" s="1089">
        <f>[30]MW!F380</f>
        <v>0</v>
      </c>
      <c r="G817" s="1089">
        <f>[30]MW!G380</f>
        <v>0</v>
      </c>
      <c r="H817" s="1089">
        <f>[30]MW!H380</f>
        <v>0</v>
      </c>
      <c r="I817" s="1089">
        <f>[30]MW!I380</f>
        <v>0</v>
      </c>
      <c r="J817" s="1089">
        <f>[30]MW!J380</f>
        <v>0</v>
      </c>
      <c r="K817" s="1089">
        <f>[30]MW!K380</f>
        <v>0</v>
      </c>
      <c r="L817" s="1089">
        <f>[30]MW!L380</f>
        <v>0</v>
      </c>
      <c r="M817" s="1089">
        <f>[30]MW!M380</f>
        <v>0</v>
      </c>
      <c r="N817" s="578">
        <f t="shared" si="618"/>
        <v>0</v>
      </c>
    </row>
    <row r="818" spans="1:14">
      <c r="A818" s="2">
        <f t="shared" si="617"/>
        <v>2025</v>
      </c>
      <c r="B818" s="1089">
        <f>[30]MW!B381</f>
        <v>0</v>
      </c>
      <c r="C818" s="1089">
        <f>[30]MW!C381</f>
        <v>0</v>
      </c>
      <c r="D818" s="1089">
        <f>[30]MW!D381</f>
        <v>0</v>
      </c>
      <c r="E818" s="1089">
        <f>[30]MW!E381</f>
        <v>0</v>
      </c>
      <c r="F818" s="1089">
        <f>[30]MW!F381</f>
        <v>0</v>
      </c>
      <c r="G818" s="1089">
        <f>[30]MW!G381</f>
        <v>0</v>
      </c>
      <c r="H818" s="1089">
        <f>[30]MW!H381</f>
        <v>0</v>
      </c>
      <c r="I818" s="1089">
        <f>[30]MW!I381</f>
        <v>0</v>
      </c>
      <c r="J818" s="1089">
        <f>[30]MW!J381</f>
        <v>0</v>
      </c>
      <c r="K818" s="1089">
        <f>[30]MW!K381</f>
        <v>0</v>
      </c>
      <c r="L818" s="1089">
        <f>[30]MW!L381</f>
        <v>0</v>
      </c>
      <c r="M818" s="1089">
        <f>[30]MW!M381</f>
        <v>0</v>
      </c>
      <c r="N818" s="578">
        <f t="shared" si="618"/>
        <v>0</v>
      </c>
    </row>
    <row r="819" spans="1:14">
      <c r="A819" s="2">
        <f t="shared" si="617"/>
        <v>2026</v>
      </c>
      <c r="B819" s="1089">
        <f>[30]MW!B382</f>
        <v>0</v>
      </c>
      <c r="C819" s="1089">
        <f>[30]MW!C382</f>
        <v>0</v>
      </c>
      <c r="D819" s="1089">
        <f>[30]MW!D382</f>
        <v>0</v>
      </c>
      <c r="E819" s="1089">
        <f>[30]MW!E382</f>
        <v>0</v>
      </c>
      <c r="F819" s="1089">
        <f>[30]MW!F382</f>
        <v>0</v>
      </c>
      <c r="G819" s="1089">
        <f>[30]MW!G382</f>
        <v>0</v>
      </c>
      <c r="H819" s="1089">
        <f>[30]MW!H382</f>
        <v>0</v>
      </c>
      <c r="I819" s="1089">
        <f>[30]MW!I382</f>
        <v>0</v>
      </c>
      <c r="J819" s="1089">
        <f>[30]MW!J382</f>
        <v>0</v>
      </c>
      <c r="K819" s="1089">
        <f>[30]MW!K382</f>
        <v>0</v>
      </c>
      <c r="L819" s="1089">
        <f>[30]MW!L382</f>
        <v>0</v>
      </c>
      <c r="M819" s="1089">
        <f>[30]MW!M382</f>
        <v>0</v>
      </c>
      <c r="N819" s="578">
        <f t="shared" si="618"/>
        <v>0</v>
      </c>
    </row>
    <row r="820" spans="1:14">
      <c r="A820" s="2">
        <f t="shared" si="617"/>
        <v>2027</v>
      </c>
      <c r="B820" s="1089">
        <f>[30]MW!B383</f>
        <v>0</v>
      </c>
      <c r="C820" s="1089">
        <f>[30]MW!C383</f>
        <v>0</v>
      </c>
      <c r="D820" s="1089">
        <f>[30]MW!D383</f>
        <v>0</v>
      </c>
      <c r="E820" s="1089">
        <f>[30]MW!E383</f>
        <v>0</v>
      </c>
      <c r="F820" s="1089">
        <f>[30]MW!F383</f>
        <v>0</v>
      </c>
      <c r="G820" s="1089">
        <f>[30]MW!G383</f>
        <v>0</v>
      </c>
      <c r="H820" s="1089">
        <f>[30]MW!H383</f>
        <v>0</v>
      </c>
      <c r="I820" s="1089">
        <f>[30]MW!I383</f>
        <v>0</v>
      </c>
      <c r="J820" s="1089">
        <f>[30]MW!J383</f>
        <v>0</v>
      </c>
      <c r="K820" s="1089">
        <f>[30]MW!K383</f>
        <v>0</v>
      </c>
      <c r="L820" s="1089">
        <f>[30]MW!L383</f>
        <v>0</v>
      </c>
      <c r="M820" s="1089">
        <f>[30]MW!M383</f>
        <v>0</v>
      </c>
      <c r="N820" s="578">
        <f t="shared" si="618"/>
        <v>0</v>
      </c>
    </row>
    <row r="821" spans="1:14">
      <c r="A821" s="2">
        <f t="shared" si="617"/>
        <v>2028</v>
      </c>
      <c r="B821" s="1089">
        <f>[30]MW!B384</f>
        <v>0</v>
      </c>
      <c r="C821" s="1089">
        <f>[30]MW!C384</f>
        <v>0</v>
      </c>
      <c r="D821" s="1089">
        <f>[30]MW!D384</f>
        <v>0</v>
      </c>
      <c r="E821" s="1089">
        <f>[30]MW!E384</f>
        <v>0</v>
      </c>
      <c r="F821" s="1089">
        <f>[30]MW!F384</f>
        <v>0</v>
      </c>
      <c r="G821" s="1089">
        <f>[30]MW!G384</f>
        <v>0</v>
      </c>
      <c r="H821" s="1089">
        <f>[30]MW!H384</f>
        <v>0</v>
      </c>
      <c r="I821" s="1089">
        <f>[30]MW!I384</f>
        <v>0</v>
      </c>
      <c r="J821" s="1089">
        <f>[30]MW!J384</f>
        <v>0</v>
      </c>
      <c r="K821" s="1089">
        <f>[30]MW!K384</f>
        <v>0</v>
      </c>
      <c r="L821" s="1089">
        <f>[30]MW!L384</f>
        <v>0</v>
      </c>
      <c r="M821" s="1089">
        <f>[30]MW!M384</f>
        <v>0</v>
      </c>
      <c r="N821" s="578">
        <f t="shared" si="618"/>
        <v>0</v>
      </c>
    </row>
    <row r="822" spans="1:14">
      <c r="A822" s="2">
        <f t="shared" si="617"/>
        <v>2029</v>
      </c>
      <c r="B822" s="1089">
        <f>[30]MW!B385</f>
        <v>0</v>
      </c>
      <c r="C822" s="1089">
        <f>[30]MW!C385</f>
        <v>0</v>
      </c>
      <c r="D822" s="1089">
        <f>[30]MW!D385</f>
        <v>0</v>
      </c>
      <c r="E822" s="1089">
        <f>[30]MW!E385</f>
        <v>0</v>
      </c>
      <c r="F822" s="1089">
        <f>[30]MW!F385</f>
        <v>0</v>
      </c>
      <c r="G822" s="1089">
        <f>[30]MW!G385</f>
        <v>0</v>
      </c>
      <c r="H822" s="1089">
        <f>[30]MW!H385</f>
        <v>0</v>
      </c>
      <c r="I822" s="1089">
        <f>[30]MW!I385</f>
        <v>0</v>
      </c>
      <c r="J822" s="1089">
        <f>[30]MW!J385</f>
        <v>0</v>
      </c>
      <c r="K822" s="1089">
        <f>[30]MW!K385</f>
        <v>0</v>
      </c>
      <c r="L822" s="1089">
        <f>[30]MW!L385</f>
        <v>0</v>
      </c>
      <c r="M822" s="1089">
        <f>[30]MW!M385</f>
        <v>0</v>
      </c>
      <c r="N822" s="578">
        <f t="shared" si="618"/>
        <v>0</v>
      </c>
    </row>
    <row r="823" spans="1:14">
      <c r="A823" s="2">
        <f t="shared" si="617"/>
        <v>2030</v>
      </c>
      <c r="B823" s="1089">
        <f>[30]MW!B386</f>
        <v>0</v>
      </c>
      <c r="C823" s="1089">
        <f>[30]MW!C386</f>
        <v>0</v>
      </c>
      <c r="D823" s="1089">
        <f>[30]MW!D386</f>
        <v>0</v>
      </c>
      <c r="E823" s="1089">
        <f>[30]MW!E386</f>
        <v>0</v>
      </c>
      <c r="F823" s="1089">
        <f>[30]MW!F386</f>
        <v>0</v>
      </c>
      <c r="G823" s="1089">
        <f>[30]MW!G386</f>
        <v>0</v>
      </c>
      <c r="H823" s="1089">
        <f>[30]MW!H386</f>
        <v>0</v>
      </c>
      <c r="I823" s="1089">
        <f>[30]MW!I386</f>
        <v>0</v>
      </c>
      <c r="J823" s="1089">
        <f>[30]MW!J386</f>
        <v>0</v>
      </c>
      <c r="K823" s="1089">
        <f>[30]MW!K386</f>
        <v>0</v>
      </c>
      <c r="L823" s="1089">
        <f>[30]MW!L386</f>
        <v>0</v>
      </c>
      <c r="M823" s="1089">
        <f>[30]MW!M386</f>
        <v>0</v>
      </c>
      <c r="N823" s="578">
        <f t="shared" si="618"/>
        <v>0</v>
      </c>
    </row>
    <row r="824" spans="1:14">
      <c r="A824" s="2">
        <f t="shared" si="617"/>
        <v>2031</v>
      </c>
      <c r="B824" s="1089">
        <f>[30]MW!B387</f>
        <v>0</v>
      </c>
      <c r="C824" s="1089">
        <f>[30]MW!C387</f>
        <v>0</v>
      </c>
      <c r="D824" s="1089">
        <f>[30]MW!D387</f>
        <v>0</v>
      </c>
      <c r="E824" s="1089">
        <f>[30]MW!E387</f>
        <v>0</v>
      </c>
      <c r="F824" s="1089">
        <f>[30]MW!F387</f>
        <v>0</v>
      </c>
      <c r="G824" s="1089">
        <f>[30]MW!G387</f>
        <v>0</v>
      </c>
      <c r="H824" s="1089">
        <f>[30]MW!H387</f>
        <v>0</v>
      </c>
      <c r="I824" s="1089">
        <f>[30]MW!I387</f>
        <v>0</v>
      </c>
      <c r="J824" s="1089">
        <f>[30]MW!J387</f>
        <v>0</v>
      </c>
      <c r="K824" s="1089">
        <f>[30]MW!K387</f>
        <v>0</v>
      </c>
      <c r="L824" s="1089">
        <f>[30]MW!L387</f>
        <v>0</v>
      </c>
      <c r="M824" s="1089">
        <f>[30]MW!M387</f>
        <v>0</v>
      </c>
      <c r="N824" s="578">
        <f t="shared" ref="N824:N833" si="619">SUM(B824:M824)</f>
        <v>0</v>
      </c>
    </row>
    <row r="825" spans="1:14">
      <c r="A825" s="2">
        <f t="shared" si="617"/>
        <v>2032</v>
      </c>
      <c r="B825" s="1089">
        <f>[30]MW!B388</f>
        <v>0</v>
      </c>
      <c r="C825" s="1089">
        <f>[30]MW!C388</f>
        <v>0</v>
      </c>
      <c r="D825" s="1089">
        <f>[30]MW!D388</f>
        <v>0</v>
      </c>
      <c r="E825" s="1089">
        <f>[30]MW!E388</f>
        <v>0</v>
      </c>
      <c r="F825" s="1089">
        <f>[30]MW!F388</f>
        <v>0</v>
      </c>
      <c r="G825" s="1089">
        <f>[30]MW!G388</f>
        <v>0</v>
      </c>
      <c r="H825" s="1089">
        <f>[30]MW!H388</f>
        <v>0</v>
      </c>
      <c r="I825" s="1089">
        <f>[30]MW!I388</f>
        <v>0</v>
      </c>
      <c r="J825" s="1089">
        <f>[30]MW!J388</f>
        <v>0</v>
      </c>
      <c r="K825" s="1089">
        <f>[30]MW!K388</f>
        <v>0</v>
      </c>
      <c r="L825" s="1089">
        <f>[30]MW!L388</f>
        <v>0</v>
      </c>
      <c r="M825" s="1089">
        <f>[30]MW!M388</f>
        <v>0</v>
      </c>
      <c r="N825" s="578">
        <f t="shared" si="619"/>
        <v>0</v>
      </c>
    </row>
    <row r="826" spans="1:14">
      <c r="A826" s="2">
        <f t="shared" si="617"/>
        <v>2033</v>
      </c>
      <c r="B826" s="1089">
        <f>[30]MW!B389</f>
        <v>0</v>
      </c>
      <c r="C826" s="1089">
        <f>[30]MW!C389</f>
        <v>0</v>
      </c>
      <c r="D826" s="1089">
        <f>[30]MW!D389</f>
        <v>0</v>
      </c>
      <c r="E826" s="1089">
        <f>[30]MW!E389</f>
        <v>0</v>
      </c>
      <c r="F826" s="1089">
        <f>[30]MW!F389</f>
        <v>0</v>
      </c>
      <c r="G826" s="1089">
        <f>[30]MW!G389</f>
        <v>0</v>
      </c>
      <c r="H826" s="1089">
        <f>[30]MW!H389</f>
        <v>0</v>
      </c>
      <c r="I826" s="1089">
        <f>[30]MW!I389</f>
        <v>0</v>
      </c>
      <c r="J826" s="1089">
        <f>[30]MW!J389</f>
        <v>0</v>
      </c>
      <c r="K826" s="1089">
        <f>[30]MW!K389</f>
        <v>0</v>
      </c>
      <c r="L826" s="1089">
        <f>[30]MW!L389</f>
        <v>0</v>
      </c>
      <c r="M826" s="1089">
        <f>[30]MW!M389</f>
        <v>0</v>
      </c>
      <c r="N826" s="578">
        <f t="shared" si="619"/>
        <v>0</v>
      </c>
    </row>
    <row r="827" spans="1:14">
      <c r="A827" s="2">
        <f t="shared" si="617"/>
        <v>2034</v>
      </c>
      <c r="B827" s="1089">
        <f>[30]MW!B390</f>
        <v>0</v>
      </c>
      <c r="C827" s="1089">
        <f>[30]MW!C390</f>
        <v>0</v>
      </c>
      <c r="D827" s="1089">
        <f>[30]MW!D390</f>
        <v>0</v>
      </c>
      <c r="E827" s="1089">
        <f>[30]MW!E390</f>
        <v>0</v>
      </c>
      <c r="F827" s="1089">
        <f>[30]MW!F390</f>
        <v>0</v>
      </c>
      <c r="G827" s="1089">
        <f>[30]MW!G390</f>
        <v>0</v>
      </c>
      <c r="H827" s="1089">
        <f>[30]MW!H390</f>
        <v>0</v>
      </c>
      <c r="I827" s="1089">
        <f>[30]MW!I390</f>
        <v>0</v>
      </c>
      <c r="J827" s="1089">
        <f>[30]MW!J390</f>
        <v>0</v>
      </c>
      <c r="K827" s="1089">
        <f>[30]MW!K390</f>
        <v>0</v>
      </c>
      <c r="L827" s="1089">
        <f>[30]MW!L390</f>
        <v>0</v>
      </c>
      <c r="M827" s="1089">
        <f>[30]MW!M390</f>
        <v>0</v>
      </c>
      <c r="N827" s="578">
        <f t="shared" si="619"/>
        <v>0</v>
      </c>
    </row>
    <row r="828" spans="1:14">
      <c r="A828" s="2">
        <f t="shared" si="617"/>
        <v>2035</v>
      </c>
      <c r="B828" s="1089">
        <f>[30]MW!B391</f>
        <v>0</v>
      </c>
      <c r="C828" s="1089">
        <f>[30]MW!C391</f>
        <v>0</v>
      </c>
      <c r="D828" s="1089">
        <f>[30]MW!D391</f>
        <v>0</v>
      </c>
      <c r="E828" s="1089">
        <f>[30]MW!E391</f>
        <v>0</v>
      </c>
      <c r="F828" s="1089">
        <f>[30]MW!F391</f>
        <v>0</v>
      </c>
      <c r="G828" s="1089">
        <f>[30]MW!G391</f>
        <v>0</v>
      </c>
      <c r="H828" s="1089">
        <f>[30]MW!H391</f>
        <v>0</v>
      </c>
      <c r="I828" s="1089">
        <f>[30]MW!I391</f>
        <v>0</v>
      </c>
      <c r="J828" s="1089">
        <f>[30]MW!J391</f>
        <v>0</v>
      </c>
      <c r="K828" s="1089">
        <f>[30]MW!K391</f>
        <v>0</v>
      </c>
      <c r="L828" s="1089">
        <f>[30]MW!L391</f>
        <v>0</v>
      </c>
      <c r="M828" s="1089">
        <f>[30]MW!M391</f>
        <v>0</v>
      </c>
      <c r="N828" s="578">
        <f t="shared" si="619"/>
        <v>0</v>
      </c>
    </row>
    <row r="829" spans="1:14">
      <c r="A829" s="2">
        <f t="shared" si="617"/>
        <v>2036</v>
      </c>
      <c r="B829" s="1089">
        <f>[30]MW!B392</f>
        <v>0</v>
      </c>
      <c r="C829" s="1089">
        <f>[30]MW!C392</f>
        <v>0</v>
      </c>
      <c r="D829" s="1089">
        <f>[30]MW!D392</f>
        <v>0</v>
      </c>
      <c r="E829" s="1089">
        <f>[30]MW!E392</f>
        <v>0</v>
      </c>
      <c r="F829" s="1089">
        <f>[30]MW!F392</f>
        <v>0</v>
      </c>
      <c r="G829" s="1089">
        <f>[30]MW!G392</f>
        <v>0</v>
      </c>
      <c r="H829" s="1089">
        <f>[30]MW!H392</f>
        <v>0</v>
      </c>
      <c r="I829" s="1089">
        <f>[30]MW!I392</f>
        <v>0</v>
      </c>
      <c r="J829" s="1089">
        <f>[30]MW!J392</f>
        <v>0</v>
      </c>
      <c r="K829" s="1089">
        <f>[30]MW!K392</f>
        <v>0</v>
      </c>
      <c r="L829" s="1089">
        <f>[30]MW!L392</f>
        <v>0</v>
      </c>
      <c r="M829" s="1089">
        <f>[30]MW!M392</f>
        <v>0</v>
      </c>
      <c r="N829" s="578">
        <f t="shared" si="619"/>
        <v>0</v>
      </c>
    </row>
    <row r="830" spans="1:14">
      <c r="A830" s="2">
        <f t="shared" si="617"/>
        <v>2037</v>
      </c>
      <c r="B830" s="1089">
        <f>[30]MW!B393</f>
        <v>0</v>
      </c>
      <c r="C830" s="1089">
        <f>[30]MW!C393</f>
        <v>0</v>
      </c>
      <c r="D830" s="1089">
        <f>[30]MW!D393</f>
        <v>0</v>
      </c>
      <c r="E830" s="1089">
        <f>[30]MW!E393</f>
        <v>0</v>
      </c>
      <c r="F830" s="1089">
        <f>[30]MW!F393</f>
        <v>0</v>
      </c>
      <c r="G830" s="1089">
        <f>[30]MW!G393</f>
        <v>0</v>
      </c>
      <c r="H830" s="1089">
        <f>[30]MW!H393</f>
        <v>0</v>
      </c>
      <c r="I830" s="1089">
        <f>[30]MW!I393</f>
        <v>0</v>
      </c>
      <c r="J830" s="1089">
        <f>[30]MW!J393</f>
        <v>0</v>
      </c>
      <c r="K830" s="1089">
        <f>[30]MW!K393</f>
        <v>0</v>
      </c>
      <c r="L830" s="1089">
        <f>[30]MW!L393</f>
        <v>0</v>
      </c>
      <c r="M830" s="1089">
        <f>[30]MW!M393</f>
        <v>0</v>
      </c>
      <c r="N830" s="578">
        <f t="shared" si="619"/>
        <v>0</v>
      </c>
    </row>
    <row r="831" spans="1:14">
      <c r="A831" s="2">
        <f t="shared" si="617"/>
        <v>2038</v>
      </c>
      <c r="B831" s="1089">
        <f>[30]MW!B394</f>
        <v>0</v>
      </c>
      <c r="C831" s="1089">
        <f>[30]MW!C394</f>
        <v>0</v>
      </c>
      <c r="D831" s="1089">
        <f>[30]MW!D394</f>
        <v>0</v>
      </c>
      <c r="E831" s="1089">
        <f>[30]MW!E394</f>
        <v>0</v>
      </c>
      <c r="F831" s="1089">
        <f>[30]MW!F394</f>
        <v>0</v>
      </c>
      <c r="G831" s="1089">
        <f>[30]MW!G394</f>
        <v>0</v>
      </c>
      <c r="H831" s="1089">
        <f>[30]MW!H394</f>
        <v>0</v>
      </c>
      <c r="I831" s="1089">
        <f>[30]MW!I394</f>
        <v>0</v>
      </c>
      <c r="J831" s="1089">
        <f>[30]MW!J394</f>
        <v>0</v>
      </c>
      <c r="K831" s="1089">
        <f>[30]MW!K394</f>
        <v>0</v>
      </c>
      <c r="L831" s="1089">
        <f>[30]MW!L394</f>
        <v>0</v>
      </c>
      <c r="M831" s="1089">
        <f>[30]MW!M394</f>
        <v>0</v>
      </c>
      <c r="N831" s="578">
        <f t="shared" si="619"/>
        <v>0</v>
      </c>
    </row>
    <row r="832" spans="1:14">
      <c r="A832" s="2">
        <f t="shared" si="617"/>
        <v>2039</v>
      </c>
      <c r="B832" s="1089">
        <f>[30]MW!B395</f>
        <v>0</v>
      </c>
      <c r="C832" s="1089">
        <f>[30]MW!C395</f>
        <v>0</v>
      </c>
      <c r="D832" s="1089">
        <f>[30]MW!D395</f>
        <v>0</v>
      </c>
      <c r="E832" s="1089">
        <f>[30]MW!E395</f>
        <v>0</v>
      </c>
      <c r="F832" s="1089">
        <f>[30]MW!F395</f>
        <v>0</v>
      </c>
      <c r="G832" s="1089">
        <f>[30]MW!G395</f>
        <v>0</v>
      </c>
      <c r="H832" s="1089">
        <f>[30]MW!H395</f>
        <v>0</v>
      </c>
      <c r="I832" s="1089">
        <f>[30]MW!I395</f>
        <v>0</v>
      </c>
      <c r="J832" s="1089">
        <f>[30]MW!J395</f>
        <v>0</v>
      </c>
      <c r="K832" s="1089">
        <f>[30]MW!K395</f>
        <v>0</v>
      </c>
      <c r="L832" s="1089">
        <f>[30]MW!L395</f>
        <v>0</v>
      </c>
      <c r="M832" s="1089">
        <f>[30]MW!M395</f>
        <v>0</v>
      </c>
      <c r="N832" s="578">
        <f t="shared" si="619"/>
        <v>0</v>
      </c>
    </row>
    <row r="833" spans="1:14">
      <c r="A833" s="2">
        <f t="shared" si="617"/>
        <v>2040</v>
      </c>
      <c r="B833" s="1089">
        <f>[30]MW!B396</f>
        <v>0</v>
      </c>
      <c r="C833" s="1089">
        <f>[30]MW!C396</f>
        <v>0</v>
      </c>
      <c r="D833" s="1089">
        <f>[30]MW!D396</f>
        <v>0</v>
      </c>
      <c r="E833" s="1089">
        <f>[30]MW!E396</f>
        <v>0</v>
      </c>
      <c r="F833" s="1089">
        <f>[30]MW!F396</f>
        <v>0</v>
      </c>
      <c r="G833" s="1089">
        <f>[30]MW!G396</f>
        <v>0</v>
      </c>
      <c r="H833" s="1089">
        <f>[30]MW!H396</f>
        <v>0</v>
      </c>
      <c r="I833" s="1089">
        <f>[30]MW!I396</f>
        <v>0</v>
      </c>
      <c r="J833" s="1089">
        <f>[30]MW!J396</f>
        <v>0</v>
      </c>
      <c r="K833" s="1089">
        <f>[30]MW!K396</f>
        <v>0</v>
      </c>
      <c r="L833" s="1089">
        <f>[30]MW!L396</f>
        <v>0</v>
      </c>
      <c r="M833" s="1089">
        <f>[30]MW!M396</f>
        <v>0</v>
      </c>
      <c r="N833" s="578">
        <f t="shared" si="619"/>
        <v>0</v>
      </c>
    </row>
    <row r="834" spans="1:14">
      <c r="A834" s="2">
        <f t="shared" si="617"/>
        <v>2041</v>
      </c>
    </row>
    <row r="835" spans="1:14">
      <c r="A835" s="2">
        <f t="shared" si="617"/>
        <v>2042</v>
      </c>
    </row>
    <row r="836" spans="1:14">
      <c r="A836" s="2">
        <f t="shared" si="617"/>
        <v>2043</v>
      </c>
    </row>
    <row r="837" spans="1:14">
      <c r="A837" s="2">
        <f>A797</f>
        <v>2044</v>
      </c>
    </row>
    <row r="838" spans="1:14">
      <c r="A838" s="2">
        <f t="shared" si="617"/>
        <v>2045</v>
      </c>
    </row>
    <row r="841" spans="1:14">
      <c r="A841" s="1082" t="s">
        <v>465</v>
      </c>
      <c r="B841" s="538"/>
      <c r="C841" s="538"/>
      <c r="D841" s="538"/>
      <c r="E841" s="538"/>
      <c r="F841" s="1082"/>
      <c r="G841" s="538"/>
      <c r="H841" s="538"/>
      <c r="I841" s="538"/>
    </row>
    <row r="842" spans="1:14" s="27" customFormat="1">
      <c r="A842" s="27" t="s">
        <v>9</v>
      </c>
      <c r="B842" s="27" t="s">
        <v>28</v>
      </c>
      <c r="C842" s="27" t="s">
        <v>29</v>
      </c>
      <c r="D842" s="27" t="s">
        <v>30</v>
      </c>
      <c r="E842" s="27" t="s">
        <v>31</v>
      </c>
      <c r="F842" s="27" t="s">
        <v>32</v>
      </c>
      <c r="G842" s="27" t="s">
        <v>33</v>
      </c>
      <c r="H842" s="27" t="s">
        <v>34</v>
      </c>
      <c r="I842" s="27" t="s">
        <v>35</v>
      </c>
      <c r="J842" s="27" t="s">
        <v>36</v>
      </c>
      <c r="K842" s="27" t="s">
        <v>37</v>
      </c>
      <c r="L842" s="27" t="s">
        <v>38</v>
      </c>
      <c r="M842" s="27" t="s">
        <v>39</v>
      </c>
      <c r="N842" s="33" t="s">
        <v>56</v>
      </c>
    </row>
    <row r="843" spans="1:14">
      <c r="A843" s="2">
        <f>A803</f>
        <v>2010</v>
      </c>
      <c r="B843" s="1083">
        <f>[30]MW!B406</f>
        <v>0</v>
      </c>
      <c r="C843" s="1083">
        <f>[30]MW!C406</f>
        <v>0</v>
      </c>
      <c r="D843" s="1083">
        <f>[30]MW!D406</f>
        <v>0</v>
      </c>
      <c r="E843" s="1083">
        <f>[30]MW!E406</f>
        <v>0</v>
      </c>
      <c r="F843" s="1083">
        <f>[30]MW!F406</f>
        <v>0</v>
      </c>
      <c r="G843" s="1083">
        <f>[30]MW!G406</f>
        <v>0</v>
      </c>
      <c r="H843" s="1083">
        <f>[30]MW!H406</f>
        <v>0</v>
      </c>
      <c r="I843" s="1083">
        <f>[30]MW!I406</f>
        <v>0</v>
      </c>
      <c r="J843" s="1083">
        <f>[30]MW!J406</f>
        <v>0</v>
      </c>
      <c r="K843" s="1083">
        <f>[30]MW!K406</f>
        <v>0</v>
      </c>
      <c r="L843" s="1083">
        <f>[30]MW!L406</f>
        <v>0</v>
      </c>
      <c r="M843" s="1083">
        <f>[30]MW!M406</f>
        <v>0</v>
      </c>
      <c r="N843" s="25">
        <f t="shared" ref="N843:N853" si="620">SUM(B843:M843)</f>
        <v>0</v>
      </c>
    </row>
    <row r="844" spans="1:14">
      <c r="A844" s="2">
        <f t="shared" ref="A844:A878" si="621">A804</f>
        <v>2011</v>
      </c>
      <c r="B844" s="880">
        <f>ROUND([30]MW!B407,0)</f>
        <v>0</v>
      </c>
      <c r="C844" s="880">
        <f>ROUND([30]MW!C407,0)</f>
        <v>0</v>
      </c>
      <c r="D844" s="880">
        <f>ROUND([30]MW!D407,0)</f>
        <v>0</v>
      </c>
      <c r="E844" s="880">
        <f>ROUND([30]MW!E407,0)</f>
        <v>0</v>
      </c>
      <c r="F844" s="880">
        <f>ROUND([30]MW!F407,0)</f>
        <v>0</v>
      </c>
      <c r="G844" s="880">
        <f>ROUND([30]MW!G407,0)</f>
        <v>0</v>
      </c>
      <c r="H844" s="880">
        <f>ROUND([30]MW!H407,0)</f>
        <v>0</v>
      </c>
      <c r="I844" s="880">
        <f>ROUND([30]MW!I407,0)</f>
        <v>0</v>
      </c>
      <c r="J844" s="880">
        <f>ROUND([30]MW!J407,0)</f>
        <v>0</v>
      </c>
      <c r="K844" s="880">
        <f>ROUND([30]MW!K407,0)</f>
        <v>0</v>
      </c>
      <c r="L844" s="880">
        <f>ROUND([30]MW!L407,0)</f>
        <v>0</v>
      </c>
      <c r="M844" s="880">
        <f>ROUND([30]MW!M407,0)</f>
        <v>0</v>
      </c>
      <c r="N844" s="25">
        <f t="shared" si="620"/>
        <v>0</v>
      </c>
    </row>
    <row r="845" spans="1:14">
      <c r="A845" s="2">
        <f t="shared" si="621"/>
        <v>2012</v>
      </c>
      <c r="B845" s="880">
        <f>ROUND([30]MW!B408,0)</f>
        <v>0</v>
      </c>
      <c r="C845" s="880">
        <f>ROUND([30]MW!C408,0)</f>
        <v>0</v>
      </c>
      <c r="D845" s="880">
        <f>ROUND([30]MW!D408,0)</f>
        <v>0</v>
      </c>
      <c r="E845" s="880">
        <f>ROUND([30]MW!E408,0)</f>
        <v>0</v>
      </c>
      <c r="F845" s="880">
        <f>ROUND([30]MW!F408,0)</f>
        <v>0</v>
      </c>
      <c r="G845" s="880">
        <f>ROUND([30]MW!G408,0)</f>
        <v>0</v>
      </c>
      <c r="H845" s="880">
        <f>ROUND([30]MW!H408,0)</f>
        <v>0</v>
      </c>
      <c r="I845" s="880">
        <f>ROUND([30]MW!I408,0)</f>
        <v>0</v>
      </c>
      <c r="J845" s="880">
        <f>ROUND([30]MW!J408,0)</f>
        <v>0</v>
      </c>
      <c r="K845" s="880">
        <f>ROUND([30]MW!K408,0)</f>
        <v>0</v>
      </c>
      <c r="L845" s="880">
        <f>ROUND([30]MW!L408,0)</f>
        <v>0</v>
      </c>
      <c r="M845" s="880">
        <f>ROUND([30]MW!M408,0)</f>
        <v>0</v>
      </c>
      <c r="N845" s="25">
        <f t="shared" si="620"/>
        <v>0</v>
      </c>
    </row>
    <row r="846" spans="1:14">
      <c r="A846" s="2">
        <f t="shared" si="621"/>
        <v>2013</v>
      </c>
      <c r="B846" s="880">
        <f>ROUND([30]MW!B409,0)</f>
        <v>0</v>
      </c>
      <c r="C846" s="880">
        <f>ROUND([30]MW!C409,0)</f>
        <v>0</v>
      </c>
      <c r="D846" s="880">
        <f>ROUND([30]MW!D409,0)</f>
        <v>0</v>
      </c>
      <c r="E846" s="880">
        <f>ROUND([30]MW!E409,0)</f>
        <v>0</v>
      </c>
      <c r="F846" s="880">
        <f>ROUND([30]MW!F409,0)</f>
        <v>0</v>
      </c>
      <c r="G846" s="880">
        <f>ROUND([30]MW!G409,0)</f>
        <v>0</v>
      </c>
      <c r="H846" s="880">
        <f>ROUND([30]MW!H409,0)</f>
        <v>0</v>
      </c>
      <c r="I846" s="880">
        <f>ROUND([30]MW!I409,0)</f>
        <v>0</v>
      </c>
      <c r="J846" s="880">
        <f>ROUND([30]MW!J409,0)</f>
        <v>0</v>
      </c>
      <c r="K846" s="880">
        <f>ROUND([30]MW!K409,0)</f>
        <v>0</v>
      </c>
      <c r="L846" s="880">
        <f>ROUND([30]MW!L409,0)</f>
        <v>0</v>
      </c>
      <c r="M846" s="880">
        <f>ROUND([30]MW!M409,0)</f>
        <v>0</v>
      </c>
      <c r="N846" s="25">
        <f t="shared" si="620"/>
        <v>0</v>
      </c>
    </row>
    <row r="847" spans="1:14">
      <c r="A847" s="2">
        <f t="shared" si="621"/>
        <v>2014</v>
      </c>
      <c r="B847" s="880">
        <f>ROUND([30]MW!B410,0)</f>
        <v>250</v>
      </c>
      <c r="C847" s="880">
        <f>ROUND([30]MW!C410,0)</f>
        <v>250</v>
      </c>
      <c r="D847" s="880">
        <f>ROUND([30]MW!D410,0)</f>
        <v>250</v>
      </c>
      <c r="E847" s="880">
        <f>ROUND([30]MW!E410,0)</f>
        <v>250</v>
      </c>
      <c r="F847" s="880">
        <f>ROUND([30]MW!F410,0)</f>
        <v>250</v>
      </c>
      <c r="G847" s="880">
        <f>ROUND([30]MW!G410,0)</f>
        <v>250</v>
      </c>
      <c r="H847" s="880">
        <f>ROUND([30]MW!H410,0)</f>
        <v>250</v>
      </c>
      <c r="I847" s="880">
        <f>ROUND([30]MW!I410,0)</f>
        <v>250</v>
      </c>
      <c r="J847" s="880">
        <f>ROUND([30]MW!J410,0)</f>
        <v>250</v>
      </c>
      <c r="K847" s="880">
        <f>ROUND([30]MW!K410,0)</f>
        <v>250</v>
      </c>
      <c r="L847" s="880">
        <f>ROUND([30]MW!L410,0)</f>
        <v>250</v>
      </c>
      <c r="M847" s="880">
        <f>ROUND([30]MW!M410,0)</f>
        <v>250</v>
      </c>
      <c r="N847" s="25">
        <f t="shared" si="620"/>
        <v>3000</v>
      </c>
    </row>
    <row r="848" spans="1:14">
      <c r="A848" s="2">
        <f t="shared" si="621"/>
        <v>2015</v>
      </c>
      <c r="B848" s="880">
        <f>ROUND([30]MW!B411,0)</f>
        <v>250</v>
      </c>
      <c r="C848" s="880">
        <f>ROUND([30]MW!C411,0)</f>
        <v>250</v>
      </c>
      <c r="D848" s="880">
        <f>ROUND([30]MW!D411,0)</f>
        <v>250</v>
      </c>
      <c r="E848" s="880">
        <f>ROUND([30]MW!E411,0)</f>
        <v>250</v>
      </c>
      <c r="F848" s="880">
        <f>ROUND([30]MW!F411,0)</f>
        <v>250</v>
      </c>
      <c r="G848" s="880">
        <f>ROUND([30]MW!G411,0)</f>
        <v>250</v>
      </c>
      <c r="H848" s="880">
        <f>ROUND([30]MW!H411,0)</f>
        <v>250</v>
      </c>
      <c r="I848" s="880">
        <f>ROUND([30]MW!I411,0)</f>
        <v>250</v>
      </c>
      <c r="J848" s="880">
        <f>ROUND([30]MW!J411,0)</f>
        <v>250</v>
      </c>
      <c r="K848" s="880">
        <f>ROUND([30]MW!K411,0)</f>
        <v>250</v>
      </c>
      <c r="L848" s="880">
        <f>ROUND([30]MW!L411,0)</f>
        <v>250</v>
      </c>
      <c r="M848" s="880">
        <f>ROUND([30]MW!M411,0)</f>
        <v>250</v>
      </c>
      <c r="N848" s="25">
        <f t="shared" si="620"/>
        <v>3000</v>
      </c>
    </row>
    <row r="849" spans="1:14">
      <c r="A849" s="2">
        <f t="shared" si="621"/>
        <v>2016</v>
      </c>
      <c r="B849" s="880">
        <f>ROUND([30]MW!B412,0)</f>
        <v>250</v>
      </c>
      <c r="C849" s="880">
        <f>ROUND([30]MW!C412,0)</f>
        <v>250</v>
      </c>
      <c r="D849" s="880">
        <f>ROUND([30]MW!D412,0)</f>
        <v>250</v>
      </c>
      <c r="E849" s="880">
        <f>ROUND([30]MW!E412,0)</f>
        <v>250</v>
      </c>
      <c r="F849" s="880">
        <f>ROUND([30]MW!F412,0)</f>
        <v>250</v>
      </c>
      <c r="G849" s="880">
        <f>ROUND([30]MW!G412,0)</f>
        <v>50</v>
      </c>
      <c r="H849" s="880">
        <f>ROUND([30]MW!H412,0)</f>
        <v>50</v>
      </c>
      <c r="I849" s="880">
        <f>ROUND([30]MW!I412,0)</f>
        <v>50</v>
      </c>
      <c r="J849" s="880">
        <f>ROUND([30]MW!J412,0)</f>
        <v>50</v>
      </c>
      <c r="K849" s="880">
        <f>ROUND([30]MW!K412,0)</f>
        <v>50</v>
      </c>
      <c r="L849" s="880">
        <f>ROUND([30]MW!L412,0)</f>
        <v>50</v>
      </c>
      <c r="M849" s="880">
        <f>ROUND([30]MW!M412,0)</f>
        <v>50</v>
      </c>
      <c r="N849" s="25">
        <f t="shared" si="620"/>
        <v>1600</v>
      </c>
    </row>
    <row r="850" spans="1:14">
      <c r="A850" s="2">
        <f t="shared" si="621"/>
        <v>2017</v>
      </c>
      <c r="B850" s="880">
        <f>ROUND([30]MW!B413,0)</f>
        <v>50</v>
      </c>
      <c r="C850" s="880">
        <f>ROUND([30]MW!C413,0)</f>
        <v>50</v>
      </c>
      <c r="D850" s="880">
        <f>ROUND([30]MW!D413,0)</f>
        <v>50</v>
      </c>
      <c r="E850" s="880">
        <f>ROUND([30]MW!E413,0)</f>
        <v>50</v>
      </c>
      <c r="F850" s="880">
        <f>ROUND([30]MW!F413,0)</f>
        <v>50</v>
      </c>
      <c r="G850" s="880">
        <f>ROUND([30]MW!G413,0)</f>
        <v>50</v>
      </c>
      <c r="H850" s="880">
        <f>ROUND([30]MW!H413,0)</f>
        <v>50</v>
      </c>
      <c r="I850" s="880">
        <f>ROUND([30]MW!I413,0)</f>
        <v>50</v>
      </c>
      <c r="J850" s="880">
        <f>ROUND([30]MW!J413,0)</f>
        <v>50</v>
      </c>
      <c r="K850" s="880">
        <f>ROUND([30]MW!K413,0)</f>
        <v>50</v>
      </c>
      <c r="L850" s="880">
        <f>ROUND([30]MW!L413,0)</f>
        <v>50</v>
      </c>
      <c r="M850" s="880">
        <f>ROUND([30]MW!M413,0)</f>
        <v>50</v>
      </c>
      <c r="N850" s="25">
        <f t="shared" si="620"/>
        <v>600</v>
      </c>
    </row>
    <row r="851" spans="1:14">
      <c r="A851" s="2">
        <f t="shared" si="621"/>
        <v>2018</v>
      </c>
      <c r="B851" s="880">
        <f>ROUND([30]MW!B414,0)</f>
        <v>50</v>
      </c>
      <c r="C851" s="880">
        <f>ROUND([30]MW!C414,0)</f>
        <v>50</v>
      </c>
      <c r="D851" s="880">
        <f>ROUND([30]MW!D414,0)</f>
        <v>50</v>
      </c>
      <c r="E851" s="880">
        <f>ROUND([30]MW!E414,0)</f>
        <v>50</v>
      </c>
      <c r="F851" s="880">
        <f>ROUND([30]MW!F414,0)</f>
        <v>50</v>
      </c>
      <c r="G851" s="880">
        <f>ROUND([30]MW!G414,0)</f>
        <v>50</v>
      </c>
      <c r="H851" s="880">
        <f>ROUND([30]MW!H414,0)</f>
        <v>50</v>
      </c>
      <c r="I851" s="880">
        <f>ROUND([30]MW!I414,0)</f>
        <v>50</v>
      </c>
      <c r="J851" s="880">
        <f>ROUND([30]MW!J414,0)</f>
        <v>50</v>
      </c>
      <c r="K851" s="880">
        <f>ROUND([30]MW!K414,0)</f>
        <v>50</v>
      </c>
      <c r="L851" s="880">
        <f>ROUND([30]MW!L414,0)</f>
        <v>50</v>
      </c>
      <c r="M851" s="880">
        <f>ROUND([30]MW!M414,0)</f>
        <v>50</v>
      </c>
      <c r="N851" s="25">
        <f t="shared" si="620"/>
        <v>600</v>
      </c>
    </row>
    <row r="852" spans="1:14">
      <c r="A852" s="2">
        <f t="shared" si="621"/>
        <v>2019</v>
      </c>
      <c r="B852" s="880">
        <f>ROUND([30]MW!B415,0)</f>
        <v>0</v>
      </c>
      <c r="C852" s="880">
        <f>ROUND([30]MW!C415,0)</f>
        <v>0</v>
      </c>
      <c r="D852" s="880">
        <f>ROUND([30]MW!D415,0)</f>
        <v>0</v>
      </c>
      <c r="E852" s="880">
        <f>ROUND([30]MW!E415,0)</f>
        <v>0</v>
      </c>
      <c r="F852" s="880">
        <f>ROUND([30]MW!F415,0)</f>
        <v>0</v>
      </c>
      <c r="G852" s="880">
        <f>ROUND([30]MW!G415,0)</f>
        <v>0</v>
      </c>
      <c r="H852" s="880">
        <f>ROUND([30]MW!H415,0)</f>
        <v>0</v>
      </c>
      <c r="I852" s="880">
        <f>ROUND([30]MW!I415,0)</f>
        <v>0</v>
      </c>
      <c r="J852" s="880">
        <f>ROUND([30]MW!J415,0)</f>
        <v>0</v>
      </c>
      <c r="K852" s="880">
        <f>ROUND([30]MW!K415,0)</f>
        <v>0</v>
      </c>
      <c r="L852" s="880">
        <f>ROUND([30]MW!L415,0)</f>
        <v>0</v>
      </c>
      <c r="M852" s="880">
        <f>ROUND([30]MW!M415,0)</f>
        <v>0</v>
      </c>
      <c r="N852" s="25">
        <f t="shared" si="620"/>
        <v>0</v>
      </c>
    </row>
    <row r="853" spans="1:14">
      <c r="A853" s="2">
        <f t="shared" si="621"/>
        <v>2020</v>
      </c>
      <c r="B853" s="880">
        <f>[30]MW!B416</f>
        <v>0</v>
      </c>
      <c r="C853" s="880">
        <f>[30]MW!C416</f>
        <v>0</v>
      </c>
      <c r="D853" s="880">
        <f>[30]MW!D416</f>
        <v>0</v>
      </c>
      <c r="E853" s="880">
        <f>[30]MW!E416</f>
        <v>0</v>
      </c>
      <c r="F853" s="880">
        <f>[30]MW!F416</f>
        <v>0</v>
      </c>
      <c r="G853" s="880">
        <f>[30]MW!G416</f>
        <v>0</v>
      </c>
      <c r="H853" s="880">
        <f>[30]MW!H416</f>
        <v>0</v>
      </c>
      <c r="I853" s="880">
        <f>[30]MW!I416</f>
        <v>0</v>
      </c>
      <c r="J853" s="880">
        <f>[30]MW!J416</f>
        <v>0</v>
      </c>
      <c r="K853" s="880">
        <f>[30]MW!K416</f>
        <v>0</v>
      </c>
      <c r="L853" s="880">
        <f>[30]MW!L416</f>
        <v>0</v>
      </c>
      <c r="M853" s="880">
        <f>[30]MW!M416</f>
        <v>0</v>
      </c>
      <c r="N853" s="25">
        <f t="shared" si="620"/>
        <v>0</v>
      </c>
    </row>
    <row r="854" spans="1:14">
      <c r="A854" s="2">
        <f t="shared" si="621"/>
        <v>2021</v>
      </c>
      <c r="B854" s="880">
        <f>[30]MW!B417</f>
        <v>0</v>
      </c>
      <c r="C854" s="880">
        <f>[30]MW!C417</f>
        <v>0</v>
      </c>
      <c r="D854" s="880">
        <f>[30]MW!D417</f>
        <v>0</v>
      </c>
      <c r="E854" s="880">
        <f>[30]MW!E417</f>
        <v>0</v>
      </c>
      <c r="F854" s="880">
        <f>[30]MW!F417</f>
        <v>0</v>
      </c>
      <c r="G854" s="880">
        <f>[30]MW!G417</f>
        <v>0</v>
      </c>
      <c r="H854" s="880">
        <f>[30]MW!H417</f>
        <v>0</v>
      </c>
      <c r="I854" s="880">
        <f>[30]MW!I417</f>
        <v>0</v>
      </c>
      <c r="J854" s="880">
        <f>[30]MW!J417</f>
        <v>0</v>
      </c>
      <c r="K854" s="880">
        <f>[30]MW!K417</f>
        <v>0</v>
      </c>
      <c r="L854" s="880">
        <f>[30]MW!L417</f>
        <v>0</v>
      </c>
      <c r="M854" s="880">
        <f>[30]MW!M417</f>
        <v>0</v>
      </c>
      <c r="N854" s="25">
        <f t="shared" ref="N854:N859" si="622">SUM(B854:M854)</f>
        <v>0</v>
      </c>
    </row>
    <row r="855" spans="1:14">
      <c r="A855" s="2">
        <f t="shared" si="621"/>
        <v>2022</v>
      </c>
      <c r="B855" s="880">
        <f>[30]MW!B418</f>
        <v>0</v>
      </c>
      <c r="C855" s="880">
        <f>[30]MW!C418</f>
        <v>0</v>
      </c>
      <c r="D855" s="880">
        <f>[30]MW!D418</f>
        <v>0</v>
      </c>
      <c r="E855" s="880">
        <f>[30]MW!E418</f>
        <v>0</v>
      </c>
      <c r="F855" s="880">
        <f>[30]MW!F418</f>
        <v>0</v>
      </c>
      <c r="G855" s="880">
        <f>[30]MW!G418</f>
        <v>0</v>
      </c>
      <c r="H855" s="880">
        <f>[30]MW!H418</f>
        <v>0</v>
      </c>
      <c r="I855" s="880">
        <f>[30]MW!I418</f>
        <v>0</v>
      </c>
      <c r="J855" s="880">
        <f>[30]MW!J418</f>
        <v>0</v>
      </c>
      <c r="K855" s="880">
        <f>[30]MW!K418</f>
        <v>0</v>
      </c>
      <c r="L855" s="880">
        <f>[30]MW!L418</f>
        <v>0</v>
      </c>
      <c r="M855" s="880">
        <f>[30]MW!M418</f>
        <v>0</v>
      </c>
      <c r="N855" s="25">
        <f t="shared" si="622"/>
        <v>0</v>
      </c>
    </row>
    <row r="856" spans="1:14">
      <c r="A856" s="2">
        <f t="shared" si="621"/>
        <v>2023</v>
      </c>
      <c r="B856" s="880">
        <f>[30]MW!B419</f>
        <v>0</v>
      </c>
      <c r="C856" s="880">
        <f>[30]MW!C419</f>
        <v>0</v>
      </c>
      <c r="D856" s="880">
        <f>[30]MW!D419</f>
        <v>0</v>
      </c>
      <c r="E856" s="880">
        <f>[30]MW!E419</f>
        <v>0</v>
      </c>
      <c r="F856" s="880">
        <f>[30]MW!F419</f>
        <v>0</v>
      </c>
      <c r="G856" s="880">
        <f>[30]MW!G419</f>
        <v>0</v>
      </c>
      <c r="H856" s="880">
        <f>[30]MW!H419</f>
        <v>0</v>
      </c>
      <c r="I856" s="880">
        <f>[30]MW!I419</f>
        <v>0</v>
      </c>
      <c r="J856" s="880">
        <f>[30]MW!J419</f>
        <v>0</v>
      </c>
      <c r="K856" s="880">
        <f>[30]MW!K419</f>
        <v>0</v>
      </c>
      <c r="L856" s="880">
        <f>[30]MW!L419</f>
        <v>0</v>
      </c>
      <c r="M856" s="880">
        <f>[30]MW!M419</f>
        <v>0</v>
      </c>
      <c r="N856" s="25">
        <f t="shared" si="622"/>
        <v>0</v>
      </c>
    </row>
    <row r="857" spans="1:14">
      <c r="A857" s="2">
        <f t="shared" si="621"/>
        <v>2024</v>
      </c>
      <c r="B857" s="880">
        <f>[30]MW!B420</f>
        <v>0</v>
      </c>
      <c r="C857" s="880">
        <f>[30]MW!C420</f>
        <v>0</v>
      </c>
      <c r="D857" s="880">
        <f>[30]MW!D420</f>
        <v>0</v>
      </c>
      <c r="E857" s="880">
        <f>[30]MW!E420</f>
        <v>0</v>
      </c>
      <c r="F857" s="880">
        <f>[30]MW!F420</f>
        <v>0</v>
      </c>
      <c r="G857" s="880">
        <f>[30]MW!G420</f>
        <v>0</v>
      </c>
      <c r="H857" s="880">
        <f>[30]MW!H420</f>
        <v>0</v>
      </c>
      <c r="I857" s="880">
        <f>[30]MW!I420</f>
        <v>0</v>
      </c>
      <c r="J857" s="880">
        <f>[30]MW!J420</f>
        <v>0</v>
      </c>
      <c r="K857" s="880">
        <f>[30]MW!K420</f>
        <v>0</v>
      </c>
      <c r="L857" s="880">
        <f>[30]MW!L420</f>
        <v>0</v>
      </c>
      <c r="M857" s="880">
        <f>[30]MW!M420</f>
        <v>0</v>
      </c>
      <c r="N857" s="25">
        <f t="shared" si="622"/>
        <v>0</v>
      </c>
    </row>
    <row r="858" spans="1:14">
      <c r="A858" s="2">
        <f t="shared" si="621"/>
        <v>2025</v>
      </c>
      <c r="B858" s="880">
        <f>[30]MW!B421</f>
        <v>0</v>
      </c>
      <c r="C858" s="880">
        <f>[30]MW!C421</f>
        <v>0</v>
      </c>
      <c r="D858" s="880">
        <f>[30]MW!D421</f>
        <v>0</v>
      </c>
      <c r="E858" s="880">
        <f>[30]MW!E421</f>
        <v>0</v>
      </c>
      <c r="F858" s="880">
        <f>[30]MW!F421</f>
        <v>0</v>
      </c>
      <c r="G858" s="880">
        <f>[30]MW!G421</f>
        <v>0</v>
      </c>
      <c r="H858" s="880">
        <f>[30]MW!H421</f>
        <v>0</v>
      </c>
      <c r="I858" s="880">
        <f>[30]MW!I421</f>
        <v>0</v>
      </c>
      <c r="J858" s="880">
        <f>[30]MW!J421</f>
        <v>0</v>
      </c>
      <c r="K858" s="880">
        <f>[30]MW!K421</f>
        <v>0</v>
      </c>
      <c r="L858" s="880">
        <f>[30]MW!L421</f>
        <v>0</v>
      </c>
      <c r="M858" s="880">
        <f>[30]MW!M421</f>
        <v>0</v>
      </c>
      <c r="N858" s="25">
        <f t="shared" si="622"/>
        <v>0</v>
      </c>
    </row>
    <row r="859" spans="1:14">
      <c r="A859" s="2">
        <f t="shared" si="621"/>
        <v>2026</v>
      </c>
      <c r="B859" s="880">
        <f>[30]MW!B422</f>
        <v>0</v>
      </c>
      <c r="C859" s="880">
        <f>[30]MW!C422</f>
        <v>0</v>
      </c>
      <c r="D859" s="880">
        <f>[30]MW!D422</f>
        <v>0</v>
      </c>
      <c r="E859" s="880">
        <f>[30]MW!E422</f>
        <v>0</v>
      </c>
      <c r="F859" s="880">
        <f>[30]MW!F422</f>
        <v>0</v>
      </c>
      <c r="G859" s="880">
        <f>[30]MW!G422</f>
        <v>0</v>
      </c>
      <c r="H859" s="880">
        <f>[30]MW!H422</f>
        <v>0</v>
      </c>
      <c r="I859" s="880">
        <f>[30]MW!I422</f>
        <v>0</v>
      </c>
      <c r="J859" s="880">
        <f>[30]MW!J422</f>
        <v>0</v>
      </c>
      <c r="K859" s="880">
        <f>[30]MW!K422</f>
        <v>0</v>
      </c>
      <c r="L859" s="880">
        <f>[30]MW!L422</f>
        <v>0</v>
      </c>
      <c r="M859" s="880">
        <f>[30]MW!M422</f>
        <v>0</v>
      </c>
      <c r="N859" s="25">
        <f t="shared" si="622"/>
        <v>0</v>
      </c>
    </row>
    <row r="860" spans="1:14">
      <c r="A860" s="2">
        <f t="shared" si="621"/>
        <v>2027</v>
      </c>
      <c r="B860" s="880">
        <f>[30]MW!B423</f>
        <v>0</v>
      </c>
      <c r="C860" s="880">
        <f>[30]MW!C423</f>
        <v>0</v>
      </c>
      <c r="D860" s="880">
        <f>[30]MW!D423</f>
        <v>0</v>
      </c>
      <c r="E860" s="880">
        <f>[30]MW!E423</f>
        <v>0</v>
      </c>
      <c r="F860" s="880">
        <f>[30]MW!F423</f>
        <v>0</v>
      </c>
      <c r="G860" s="880">
        <f>[30]MW!G423</f>
        <v>0</v>
      </c>
      <c r="H860" s="880">
        <f>[30]MW!H423</f>
        <v>0</v>
      </c>
      <c r="I860" s="880">
        <f>[30]MW!I423</f>
        <v>0</v>
      </c>
      <c r="J860" s="880">
        <f>[30]MW!J423</f>
        <v>0</v>
      </c>
      <c r="K860" s="880">
        <f>[30]MW!K423</f>
        <v>0</v>
      </c>
      <c r="L860" s="880">
        <f>[30]MW!L423</f>
        <v>0</v>
      </c>
      <c r="M860" s="880">
        <f>[30]MW!M423</f>
        <v>0</v>
      </c>
      <c r="N860" s="25">
        <f>SUM(B860:M860)</f>
        <v>0</v>
      </c>
    </row>
    <row r="861" spans="1:14">
      <c r="A861" s="2">
        <f t="shared" si="621"/>
        <v>2028</v>
      </c>
      <c r="B861" s="880">
        <f>[30]MW!B424</f>
        <v>0</v>
      </c>
      <c r="C861" s="880">
        <f>[30]MW!C424</f>
        <v>0</v>
      </c>
      <c r="D861" s="880">
        <f>[30]MW!D424</f>
        <v>0</v>
      </c>
      <c r="E861" s="880">
        <f>[30]MW!E424</f>
        <v>0</v>
      </c>
      <c r="F861" s="880">
        <f>[30]MW!F424</f>
        <v>0</v>
      </c>
      <c r="G861" s="880">
        <f>[30]MW!G424</f>
        <v>0</v>
      </c>
      <c r="H861" s="880">
        <f>[30]MW!H424</f>
        <v>0</v>
      </c>
      <c r="I861" s="880">
        <f>[30]MW!I424</f>
        <v>0</v>
      </c>
      <c r="J861" s="880">
        <f>[30]MW!J424</f>
        <v>0</v>
      </c>
      <c r="K861" s="880">
        <f>[30]MW!K424</f>
        <v>0</v>
      </c>
      <c r="L861" s="880">
        <f>[30]MW!L424</f>
        <v>0</v>
      </c>
      <c r="M861" s="880">
        <f>[30]MW!M424</f>
        <v>0</v>
      </c>
      <c r="N861" s="25">
        <f>SUM(B861:M861)</f>
        <v>0</v>
      </c>
    </row>
    <row r="862" spans="1:14">
      <c r="A862" s="2">
        <f t="shared" si="621"/>
        <v>2029</v>
      </c>
      <c r="B862" s="880">
        <f>[30]MW!B425</f>
        <v>0</v>
      </c>
      <c r="C862" s="880">
        <f>[30]MW!C425</f>
        <v>0</v>
      </c>
      <c r="D862" s="880">
        <f>[30]MW!D425</f>
        <v>0</v>
      </c>
      <c r="E862" s="880">
        <f>[30]MW!E425</f>
        <v>0</v>
      </c>
      <c r="F862" s="880">
        <f>[30]MW!F425</f>
        <v>0</v>
      </c>
      <c r="G862" s="880">
        <f>[30]MW!G425</f>
        <v>0</v>
      </c>
      <c r="H862" s="880">
        <f>[30]MW!H425</f>
        <v>0</v>
      </c>
      <c r="I862" s="880">
        <f>[30]MW!I425</f>
        <v>0</v>
      </c>
      <c r="J862" s="880">
        <f>[30]MW!J425</f>
        <v>0</v>
      </c>
      <c r="K862" s="880">
        <f>[30]MW!K425</f>
        <v>0</v>
      </c>
      <c r="L862" s="880">
        <f>[30]MW!L425</f>
        <v>0</v>
      </c>
      <c r="M862" s="880">
        <f>[30]MW!M425</f>
        <v>0</v>
      </c>
      <c r="N862" s="25">
        <f>SUM(B862:M862)</f>
        <v>0</v>
      </c>
    </row>
    <row r="863" spans="1:14">
      <c r="A863" s="2">
        <f t="shared" si="621"/>
        <v>2030</v>
      </c>
      <c r="B863" s="880">
        <f>[30]MW!B426</f>
        <v>0</v>
      </c>
      <c r="C863" s="880">
        <f>[30]MW!C426</f>
        <v>0</v>
      </c>
      <c r="D863" s="880">
        <f>[30]MW!D426</f>
        <v>0</v>
      </c>
      <c r="E863" s="880">
        <f>[30]MW!E426</f>
        <v>0</v>
      </c>
      <c r="F863" s="880">
        <f>[30]MW!F426</f>
        <v>0</v>
      </c>
      <c r="G863" s="880">
        <f>[30]MW!G426</f>
        <v>0</v>
      </c>
      <c r="H863" s="880">
        <f>[30]MW!H426</f>
        <v>0</v>
      </c>
      <c r="I863" s="880">
        <f>[30]MW!I426</f>
        <v>0</v>
      </c>
      <c r="J863" s="880">
        <f>[30]MW!J426</f>
        <v>0</v>
      </c>
      <c r="K863" s="880">
        <f>[30]MW!K426</f>
        <v>0</v>
      </c>
      <c r="L863" s="880">
        <f>[30]MW!L426</f>
        <v>0</v>
      </c>
      <c r="M863" s="880">
        <f>[30]MW!M426</f>
        <v>0</v>
      </c>
      <c r="N863" s="25">
        <f>SUM(B863:M863)</f>
        <v>0</v>
      </c>
    </row>
    <row r="864" spans="1:14">
      <c r="A864" s="2">
        <f t="shared" si="621"/>
        <v>2031</v>
      </c>
      <c r="B864" s="880">
        <f>[30]MW!B427</f>
        <v>0</v>
      </c>
      <c r="C864" s="880">
        <f>[30]MW!C427</f>
        <v>0</v>
      </c>
      <c r="D864" s="880">
        <f>[30]MW!D427</f>
        <v>0</v>
      </c>
      <c r="E864" s="880">
        <f>[30]MW!E427</f>
        <v>0</v>
      </c>
      <c r="F864" s="880">
        <f>[30]MW!F427</f>
        <v>0</v>
      </c>
      <c r="G864" s="880">
        <f>[30]MW!G427</f>
        <v>0</v>
      </c>
      <c r="H864" s="880">
        <f>[30]MW!H427</f>
        <v>0</v>
      </c>
      <c r="I864" s="880">
        <f>[30]MW!I427</f>
        <v>0</v>
      </c>
      <c r="J864" s="880">
        <f>[30]MW!J427</f>
        <v>0</v>
      </c>
      <c r="K864" s="880">
        <f>[30]MW!K427</f>
        <v>0</v>
      </c>
      <c r="L864" s="880">
        <f>[30]MW!L427</f>
        <v>0</v>
      </c>
      <c r="M864" s="880">
        <f>[30]MW!M427</f>
        <v>0</v>
      </c>
      <c r="N864" s="25">
        <f t="shared" ref="N864:N873" si="623">SUM(B864:M864)</f>
        <v>0</v>
      </c>
    </row>
    <row r="865" spans="1:29">
      <c r="A865" s="2">
        <f t="shared" si="621"/>
        <v>2032</v>
      </c>
      <c r="B865" s="880">
        <f>[30]MW!B428</f>
        <v>0</v>
      </c>
      <c r="C865" s="880">
        <f>[30]MW!C428</f>
        <v>0</v>
      </c>
      <c r="D865" s="880">
        <f>[30]MW!D428</f>
        <v>0</v>
      </c>
      <c r="E865" s="880">
        <f>[30]MW!E428</f>
        <v>0</v>
      </c>
      <c r="F865" s="880">
        <f>[30]MW!F428</f>
        <v>0</v>
      </c>
      <c r="G865" s="880">
        <f>[30]MW!G428</f>
        <v>0</v>
      </c>
      <c r="H865" s="880">
        <f>[30]MW!H428</f>
        <v>0</v>
      </c>
      <c r="I865" s="880">
        <f>[30]MW!I428</f>
        <v>0</v>
      </c>
      <c r="J865" s="880">
        <f>[30]MW!J428</f>
        <v>0</v>
      </c>
      <c r="K865" s="880">
        <f>[30]MW!K428</f>
        <v>0</v>
      </c>
      <c r="L865" s="880">
        <f>[30]MW!L428</f>
        <v>0</v>
      </c>
      <c r="M865" s="880">
        <f>[30]MW!M428</f>
        <v>0</v>
      </c>
      <c r="N865" s="25">
        <f t="shared" si="623"/>
        <v>0</v>
      </c>
    </row>
    <row r="866" spans="1:29">
      <c r="A866" s="2">
        <f t="shared" si="621"/>
        <v>2033</v>
      </c>
      <c r="B866" s="880">
        <f>[30]MW!B429</f>
        <v>0</v>
      </c>
      <c r="C866" s="880">
        <f>[30]MW!C429</f>
        <v>0</v>
      </c>
      <c r="D866" s="880">
        <f>[30]MW!D429</f>
        <v>0</v>
      </c>
      <c r="E866" s="880">
        <f>[30]MW!E429</f>
        <v>0</v>
      </c>
      <c r="F866" s="880">
        <f>[30]MW!F429</f>
        <v>0</v>
      </c>
      <c r="G866" s="880">
        <f>[30]MW!G429</f>
        <v>0</v>
      </c>
      <c r="H866" s="880">
        <f>[30]MW!H429</f>
        <v>0</v>
      </c>
      <c r="I866" s="880">
        <f>[30]MW!I429</f>
        <v>0</v>
      </c>
      <c r="J866" s="880">
        <f>[30]MW!J429</f>
        <v>0</v>
      </c>
      <c r="K866" s="880">
        <f>[30]MW!K429</f>
        <v>0</v>
      </c>
      <c r="L866" s="880">
        <f>[30]MW!L429</f>
        <v>0</v>
      </c>
      <c r="M866" s="880">
        <f>[30]MW!M429</f>
        <v>0</v>
      </c>
      <c r="N866" s="25">
        <f t="shared" si="623"/>
        <v>0</v>
      </c>
    </row>
    <row r="867" spans="1:29">
      <c r="A867" s="2">
        <f t="shared" si="621"/>
        <v>2034</v>
      </c>
      <c r="B867" s="880">
        <f>[30]MW!B430</f>
        <v>0</v>
      </c>
      <c r="C867" s="880">
        <f>[30]MW!C430</f>
        <v>0</v>
      </c>
      <c r="D867" s="880">
        <f>[30]MW!D430</f>
        <v>0</v>
      </c>
      <c r="E867" s="880">
        <f>[30]MW!E430</f>
        <v>0</v>
      </c>
      <c r="F867" s="880">
        <f>[30]MW!F430</f>
        <v>0</v>
      </c>
      <c r="G867" s="880">
        <f>[30]MW!G430</f>
        <v>0</v>
      </c>
      <c r="H867" s="880">
        <f>[30]MW!H430</f>
        <v>0</v>
      </c>
      <c r="I867" s="880">
        <f>[30]MW!I430</f>
        <v>0</v>
      </c>
      <c r="J867" s="880">
        <f>[30]MW!J430</f>
        <v>0</v>
      </c>
      <c r="K867" s="880">
        <f>[30]MW!K430</f>
        <v>0</v>
      </c>
      <c r="L867" s="880">
        <f>[30]MW!L430</f>
        <v>0</v>
      </c>
      <c r="M867" s="880">
        <f>[30]MW!M430</f>
        <v>0</v>
      </c>
      <c r="N867" s="25">
        <f t="shared" si="623"/>
        <v>0</v>
      </c>
    </row>
    <row r="868" spans="1:29">
      <c r="A868" s="2">
        <f t="shared" si="621"/>
        <v>2035</v>
      </c>
      <c r="B868" s="880">
        <f>[30]MW!B431</f>
        <v>0</v>
      </c>
      <c r="C868" s="880">
        <f>[30]MW!C431</f>
        <v>0</v>
      </c>
      <c r="D868" s="880">
        <f>[30]MW!D431</f>
        <v>0</v>
      </c>
      <c r="E868" s="880">
        <f>[30]MW!E431</f>
        <v>0</v>
      </c>
      <c r="F868" s="880">
        <f>[30]MW!F431</f>
        <v>0</v>
      </c>
      <c r="G868" s="880">
        <f>[30]MW!G431</f>
        <v>0</v>
      </c>
      <c r="H868" s="880">
        <f>[30]MW!H431</f>
        <v>0</v>
      </c>
      <c r="I868" s="880">
        <f>[30]MW!I431</f>
        <v>0</v>
      </c>
      <c r="J868" s="880">
        <f>[30]MW!J431</f>
        <v>0</v>
      </c>
      <c r="K868" s="880">
        <f>[30]MW!K431</f>
        <v>0</v>
      </c>
      <c r="L868" s="880">
        <f>[30]MW!L431</f>
        <v>0</v>
      </c>
      <c r="M868" s="880">
        <f>[30]MW!M431</f>
        <v>0</v>
      </c>
      <c r="N868" s="25">
        <f t="shared" si="623"/>
        <v>0</v>
      </c>
    </row>
    <row r="869" spans="1:29">
      <c r="A869" s="2">
        <f t="shared" si="621"/>
        <v>2036</v>
      </c>
      <c r="B869" s="880">
        <f>[30]MW!B432</f>
        <v>0</v>
      </c>
      <c r="C869" s="880">
        <f>[30]MW!C432</f>
        <v>0</v>
      </c>
      <c r="D869" s="880">
        <f>[30]MW!D432</f>
        <v>0</v>
      </c>
      <c r="E869" s="880">
        <f>[30]MW!E432</f>
        <v>0</v>
      </c>
      <c r="F869" s="880">
        <f>[30]MW!F432</f>
        <v>0</v>
      </c>
      <c r="G869" s="880">
        <f>[30]MW!G432</f>
        <v>0</v>
      </c>
      <c r="H869" s="880">
        <f>[30]MW!H432</f>
        <v>0</v>
      </c>
      <c r="I869" s="880">
        <f>[30]MW!I432</f>
        <v>0</v>
      </c>
      <c r="J869" s="880">
        <f>[30]MW!J432</f>
        <v>0</v>
      </c>
      <c r="K869" s="880">
        <f>[30]MW!K432</f>
        <v>0</v>
      </c>
      <c r="L869" s="880">
        <f>[30]MW!L432</f>
        <v>0</v>
      </c>
      <c r="M869" s="880">
        <f>[30]MW!M432</f>
        <v>0</v>
      </c>
      <c r="N869" s="25">
        <f t="shared" si="623"/>
        <v>0</v>
      </c>
    </row>
    <row r="870" spans="1:29">
      <c r="A870" s="2">
        <f t="shared" si="621"/>
        <v>2037</v>
      </c>
      <c r="B870" s="880">
        <f>[30]MW!B433</f>
        <v>0</v>
      </c>
      <c r="C870" s="880">
        <f>[30]MW!C433</f>
        <v>0</v>
      </c>
      <c r="D870" s="880">
        <f>[30]MW!D433</f>
        <v>0</v>
      </c>
      <c r="E870" s="880">
        <f>[30]MW!E433</f>
        <v>0</v>
      </c>
      <c r="F870" s="880">
        <f>[30]MW!F433</f>
        <v>0</v>
      </c>
      <c r="G870" s="880">
        <f>[30]MW!G433</f>
        <v>0</v>
      </c>
      <c r="H870" s="880">
        <f>[30]MW!H433</f>
        <v>0</v>
      </c>
      <c r="I870" s="880">
        <f>[30]MW!I433</f>
        <v>0</v>
      </c>
      <c r="J870" s="880">
        <f>[30]MW!J433</f>
        <v>0</v>
      </c>
      <c r="K870" s="880">
        <f>[30]MW!K433</f>
        <v>0</v>
      </c>
      <c r="L870" s="880">
        <f>[30]MW!L433</f>
        <v>0</v>
      </c>
      <c r="M870" s="880">
        <f>[30]MW!M433</f>
        <v>0</v>
      </c>
      <c r="N870" s="25">
        <f t="shared" si="623"/>
        <v>0</v>
      </c>
    </row>
    <row r="871" spans="1:29">
      <c r="A871" s="2">
        <f t="shared" si="621"/>
        <v>2038</v>
      </c>
      <c r="B871" s="880">
        <f>[30]MW!B434</f>
        <v>0</v>
      </c>
      <c r="C871" s="880">
        <f>[30]MW!C434</f>
        <v>0</v>
      </c>
      <c r="D871" s="880">
        <f>[30]MW!D434</f>
        <v>0</v>
      </c>
      <c r="E871" s="880">
        <f>[30]MW!E434</f>
        <v>0</v>
      </c>
      <c r="F871" s="880">
        <f>[30]MW!F434</f>
        <v>0</v>
      </c>
      <c r="G871" s="880">
        <f>[30]MW!G434</f>
        <v>0</v>
      </c>
      <c r="H871" s="880">
        <f>[30]MW!H434</f>
        <v>0</v>
      </c>
      <c r="I871" s="880">
        <f>[30]MW!I434</f>
        <v>0</v>
      </c>
      <c r="J871" s="880">
        <f>[30]MW!J434</f>
        <v>0</v>
      </c>
      <c r="K871" s="880">
        <f>[30]MW!K434</f>
        <v>0</v>
      </c>
      <c r="L871" s="880">
        <f>[30]MW!L434</f>
        <v>0</v>
      </c>
      <c r="M871" s="880">
        <f>[30]MW!M434</f>
        <v>0</v>
      </c>
      <c r="N871" s="25">
        <f t="shared" si="623"/>
        <v>0</v>
      </c>
    </row>
    <row r="872" spans="1:29">
      <c r="A872" s="2">
        <f t="shared" si="621"/>
        <v>2039</v>
      </c>
      <c r="B872" s="880">
        <f>[30]MW!B435</f>
        <v>0</v>
      </c>
      <c r="C872" s="880">
        <f>[30]MW!C435</f>
        <v>0</v>
      </c>
      <c r="D872" s="880">
        <f>[30]MW!D435</f>
        <v>0</v>
      </c>
      <c r="E872" s="880">
        <f>[30]MW!E435</f>
        <v>0</v>
      </c>
      <c r="F872" s="880">
        <f>[30]MW!F435</f>
        <v>0</v>
      </c>
      <c r="G872" s="880">
        <f>[30]MW!G435</f>
        <v>0</v>
      </c>
      <c r="H872" s="880">
        <f>[30]MW!H435</f>
        <v>0</v>
      </c>
      <c r="I872" s="880">
        <f>[30]MW!I435</f>
        <v>0</v>
      </c>
      <c r="J872" s="880">
        <f>[30]MW!J435</f>
        <v>0</v>
      </c>
      <c r="K872" s="880">
        <f>[30]MW!K435</f>
        <v>0</v>
      </c>
      <c r="L872" s="880">
        <f>[30]MW!L435</f>
        <v>0</v>
      </c>
      <c r="M872" s="880">
        <f>[30]MW!M435</f>
        <v>0</v>
      </c>
      <c r="N872" s="25">
        <f t="shared" si="623"/>
        <v>0</v>
      </c>
    </row>
    <row r="873" spans="1:29">
      <c r="A873" s="2">
        <f t="shared" si="621"/>
        <v>2040</v>
      </c>
      <c r="B873" s="880">
        <f>[30]MW!B436</f>
        <v>0</v>
      </c>
      <c r="C873" s="880">
        <f>[30]MW!C436</f>
        <v>0</v>
      </c>
      <c r="D873" s="880">
        <f>[30]MW!D436</f>
        <v>0</v>
      </c>
      <c r="E873" s="880">
        <f>[30]MW!E436</f>
        <v>0</v>
      </c>
      <c r="F873" s="880">
        <f>[30]MW!F436</f>
        <v>0</v>
      </c>
      <c r="G873" s="880">
        <f>[30]MW!G436</f>
        <v>0</v>
      </c>
      <c r="H873" s="880">
        <f>[30]MW!H436</f>
        <v>0</v>
      </c>
      <c r="I873" s="880">
        <f>[30]MW!I436</f>
        <v>0</v>
      </c>
      <c r="J873" s="880">
        <f>[30]MW!J436</f>
        <v>0</v>
      </c>
      <c r="K873" s="880">
        <f>[30]MW!K436</f>
        <v>0</v>
      </c>
      <c r="L873" s="880">
        <f>[30]MW!L436</f>
        <v>0</v>
      </c>
      <c r="M873" s="880">
        <f>[30]MW!M436</f>
        <v>0</v>
      </c>
      <c r="N873" s="25">
        <f t="shared" si="623"/>
        <v>0</v>
      </c>
    </row>
    <row r="874" spans="1:29">
      <c r="A874" s="2">
        <f t="shared" si="621"/>
        <v>2041</v>
      </c>
    </row>
    <row r="875" spans="1:29">
      <c r="A875" s="2">
        <f t="shared" si="621"/>
        <v>2042</v>
      </c>
    </row>
    <row r="876" spans="1:29">
      <c r="A876" s="2">
        <f t="shared" si="621"/>
        <v>2043</v>
      </c>
    </row>
    <row r="877" spans="1:29">
      <c r="A877" s="2">
        <f>A837</f>
        <v>2044</v>
      </c>
    </row>
    <row r="878" spans="1:29">
      <c r="A878" s="2">
        <f t="shared" si="621"/>
        <v>2045</v>
      </c>
    </row>
    <row r="879" spans="1:29"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AC879" s="37"/>
    </row>
    <row r="880" spans="1:29"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</row>
    <row r="881" spans="1:15">
      <c r="A881" s="1079" t="s">
        <v>470</v>
      </c>
      <c r="B881" s="538"/>
      <c r="C881" s="538"/>
      <c r="D881" s="538"/>
      <c r="E881" s="1088"/>
    </row>
    <row r="882" spans="1:15">
      <c r="A882" s="326" t="s">
        <v>9</v>
      </c>
      <c r="B882" s="333" t="s">
        <v>28</v>
      </c>
      <c r="C882" s="333" t="s">
        <v>29</v>
      </c>
      <c r="D882" s="333" t="s">
        <v>30</v>
      </c>
      <c r="E882" s="333" t="s">
        <v>31</v>
      </c>
      <c r="F882" s="333" t="s">
        <v>32</v>
      </c>
      <c r="G882" s="333" t="s">
        <v>33</v>
      </c>
      <c r="H882" s="333" t="s">
        <v>34</v>
      </c>
      <c r="I882" s="333" t="s">
        <v>35</v>
      </c>
      <c r="J882" s="333" t="s">
        <v>36</v>
      </c>
      <c r="K882" s="333" t="s">
        <v>37</v>
      </c>
      <c r="L882" s="333" t="s">
        <v>38</v>
      </c>
      <c r="M882" s="333" t="s">
        <v>39</v>
      </c>
      <c r="N882" s="334" t="s">
        <v>56</v>
      </c>
    </row>
    <row r="883" spans="1:15">
      <c r="A883" s="518">
        <f>A843</f>
        <v>2010</v>
      </c>
      <c r="B883" s="925">
        <f>[30]MW!B486</f>
        <v>0</v>
      </c>
      <c r="C883" s="925">
        <f>[30]MW!C486</f>
        <v>0</v>
      </c>
      <c r="D883" s="925">
        <f>[30]MW!D486</f>
        <v>0</v>
      </c>
      <c r="E883" s="925">
        <f>[30]MW!E486</f>
        <v>0</v>
      </c>
      <c r="F883" s="925">
        <f>[30]MW!F486</f>
        <v>0</v>
      </c>
      <c r="G883" s="925">
        <f>[30]MW!G486</f>
        <v>0</v>
      </c>
      <c r="H883" s="925">
        <f>[30]MW!H486</f>
        <v>0</v>
      </c>
      <c r="I883" s="925">
        <f>[30]MW!I486</f>
        <v>0</v>
      </c>
      <c r="J883" s="925">
        <f>[30]MW!J486</f>
        <v>0</v>
      </c>
      <c r="K883" s="925">
        <f>[30]MW!K486</f>
        <v>0</v>
      </c>
      <c r="L883" s="925">
        <f>[30]MW!L486</f>
        <v>0</v>
      </c>
      <c r="M883" s="925">
        <f>[30]MW!M486</f>
        <v>0</v>
      </c>
      <c r="N883" s="925">
        <f>SUM(B883:M883)</f>
        <v>0</v>
      </c>
    </row>
    <row r="884" spans="1:15">
      <c r="A884" s="518">
        <f t="shared" ref="A884:A917" si="624">A844</f>
        <v>2011</v>
      </c>
      <c r="B884" s="812">
        <f>[30]MW!B447</f>
        <v>0</v>
      </c>
      <c r="C884" s="812">
        <f>[30]MW!C447</f>
        <v>0</v>
      </c>
      <c r="D884" s="812">
        <f>[30]MW!D447</f>
        <v>0</v>
      </c>
      <c r="E884" s="812">
        <f>[30]MW!E447</f>
        <v>0</v>
      </c>
      <c r="F884" s="812">
        <f>[30]MW!F447</f>
        <v>0</v>
      </c>
      <c r="G884" s="812">
        <f>[30]MW!G447</f>
        <v>0</v>
      </c>
      <c r="H884" s="812">
        <f>[30]MW!H447</f>
        <v>0</v>
      </c>
      <c r="I884" s="812">
        <f>[30]MW!I447</f>
        <v>0</v>
      </c>
      <c r="J884" s="812">
        <f>[30]MW!J447</f>
        <v>0</v>
      </c>
      <c r="K884" s="812">
        <f>[30]MW!K447</f>
        <v>0</v>
      </c>
      <c r="L884" s="812">
        <f>[30]MW!L447</f>
        <v>0</v>
      </c>
      <c r="M884" s="812">
        <f>[30]MW!M447</f>
        <v>0</v>
      </c>
      <c r="N884" s="925">
        <f t="shared" ref="N884:N898" si="625">SUM(B884:M884)</f>
        <v>0</v>
      </c>
    </row>
    <row r="885" spans="1:15">
      <c r="A885" s="518">
        <f t="shared" si="624"/>
        <v>2012</v>
      </c>
      <c r="B885" s="812">
        <f>ROUND([30]MW!B448,0)</f>
        <v>0</v>
      </c>
      <c r="C885" s="812">
        <f>ROUND([30]MW!C448,0)</f>
        <v>0</v>
      </c>
      <c r="D885" s="812">
        <f>ROUND([30]MW!D448,0)</f>
        <v>0</v>
      </c>
      <c r="E885" s="812">
        <f>ROUND([30]MW!E448,0)</f>
        <v>0</v>
      </c>
      <c r="F885" s="812">
        <f>ROUND([30]MW!F448,0)</f>
        <v>0</v>
      </c>
      <c r="G885" s="812">
        <f>ROUND([30]MW!G448,0)</f>
        <v>0</v>
      </c>
      <c r="H885" s="812">
        <f>ROUND([30]MW!H448,0)</f>
        <v>0</v>
      </c>
      <c r="I885" s="812">
        <f>ROUND([30]MW!I448,0)</f>
        <v>0</v>
      </c>
      <c r="J885" s="812">
        <f>ROUND([30]MW!J448,0)</f>
        <v>0</v>
      </c>
      <c r="K885" s="812">
        <f>ROUND([30]MW!K448,0)</f>
        <v>0</v>
      </c>
      <c r="L885" s="812">
        <f>ROUND([30]MW!L448,0)</f>
        <v>0</v>
      </c>
      <c r="M885" s="812">
        <f>ROUND([30]MW!M448,0)</f>
        <v>0</v>
      </c>
      <c r="N885" s="925">
        <f t="shared" si="625"/>
        <v>0</v>
      </c>
    </row>
    <row r="886" spans="1:15">
      <c r="A886" s="518">
        <f t="shared" si="624"/>
        <v>2013</v>
      </c>
      <c r="B886" s="812">
        <f>ROUND([30]MW!B449,0)</f>
        <v>0</v>
      </c>
      <c r="C886" s="812">
        <f>ROUND([30]MW!C449,0)</f>
        <v>0</v>
      </c>
      <c r="D886" s="812">
        <f>ROUND([30]MW!D449,0)</f>
        <v>0</v>
      </c>
      <c r="E886" s="812">
        <f>ROUND([30]MW!E449,0)</f>
        <v>0</v>
      </c>
      <c r="F886" s="812">
        <f>ROUND([30]MW!F449,0)</f>
        <v>0</v>
      </c>
      <c r="G886" s="812">
        <f>ROUND([30]MW!G449,0)</f>
        <v>0</v>
      </c>
      <c r="H886" s="812">
        <f>ROUND([30]MW!H449,0)</f>
        <v>0</v>
      </c>
      <c r="I886" s="812">
        <f>ROUND([30]MW!I449,0)</f>
        <v>0</v>
      </c>
      <c r="J886" s="812">
        <f>ROUND([30]MW!J449,0)</f>
        <v>0</v>
      </c>
      <c r="K886" s="812">
        <f>ROUND([30]MW!K449,0)</f>
        <v>0</v>
      </c>
      <c r="L886" s="812">
        <f>ROUND([30]MW!L449,0)</f>
        <v>0</v>
      </c>
      <c r="M886" s="812">
        <f>ROUND([30]MW!M449,0)</f>
        <v>0</v>
      </c>
      <c r="N886" s="925">
        <f t="shared" si="625"/>
        <v>0</v>
      </c>
    </row>
    <row r="887" spans="1:15">
      <c r="A887" s="518">
        <f t="shared" si="624"/>
        <v>2014</v>
      </c>
      <c r="B887" s="812">
        <f>ROUND([30]MW!B450,0)</f>
        <v>150</v>
      </c>
      <c r="C887" s="812">
        <f>ROUND([30]MW!C450,0)</f>
        <v>150</v>
      </c>
      <c r="D887" s="812">
        <f>ROUND([30]MW!D450,0)</f>
        <v>150</v>
      </c>
      <c r="E887" s="812">
        <f>ROUND([30]MW!E450,0)</f>
        <v>150</v>
      </c>
      <c r="F887" s="812">
        <f>ROUND([30]MW!F450,0)</f>
        <v>150</v>
      </c>
      <c r="G887" s="812">
        <f>ROUND([30]MW!G450,0)</f>
        <v>150</v>
      </c>
      <c r="H887" s="812">
        <f>ROUND([30]MW!H450,0)</f>
        <v>150</v>
      </c>
      <c r="I887" s="812">
        <f>ROUND([30]MW!I450,0)</f>
        <v>150</v>
      </c>
      <c r="J887" s="812">
        <f>ROUND([30]MW!J450,0)</f>
        <v>150</v>
      </c>
      <c r="K887" s="812">
        <f>ROUND([30]MW!K450,0)</f>
        <v>150</v>
      </c>
      <c r="L887" s="812">
        <f>ROUND([30]MW!L450,0)</f>
        <v>150</v>
      </c>
      <c r="M887" s="812">
        <f>ROUND([30]MW!M450,0)</f>
        <v>150</v>
      </c>
      <c r="N887" s="925">
        <f t="shared" si="625"/>
        <v>1800</v>
      </c>
    </row>
    <row r="888" spans="1:15">
      <c r="A888" s="518">
        <f t="shared" si="624"/>
        <v>2015</v>
      </c>
      <c r="B888" s="812">
        <f>ROUND([30]MW!B451,0)</f>
        <v>150</v>
      </c>
      <c r="C888" s="812">
        <f>ROUND([30]MW!C451,0)</f>
        <v>150</v>
      </c>
      <c r="D888" s="812">
        <f>ROUND([30]MW!D451,0)</f>
        <v>150</v>
      </c>
      <c r="E888" s="812">
        <f>ROUND([30]MW!E451,0)</f>
        <v>150</v>
      </c>
      <c r="F888" s="812">
        <f>ROUND([30]MW!F451,0)</f>
        <v>150</v>
      </c>
      <c r="G888" s="812">
        <f>ROUND([30]MW!G451,0)</f>
        <v>150</v>
      </c>
      <c r="H888" s="812">
        <f>ROUND([30]MW!H451,0)</f>
        <v>150</v>
      </c>
      <c r="I888" s="812">
        <f>ROUND([30]MW!I451,0)</f>
        <v>150</v>
      </c>
      <c r="J888" s="812">
        <f>ROUND([30]MW!J451,0)</f>
        <v>150</v>
      </c>
      <c r="K888" s="812">
        <f>ROUND([30]MW!K451,0)</f>
        <v>150</v>
      </c>
      <c r="L888" s="812">
        <f>ROUND([30]MW!L451,0)</f>
        <v>150</v>
      </c>
      <c r="M888" s="812">
        <f>ROUND([30]MW!M451,0)</f>
        <v>150</v>
      </c>
      <c r="N888" s="925">
        <f t="shared" si="625"/>
        <v>1800</v>
      </c>
    </row>
    <row r="889" spans="1:15">
      <c r="A889" s="518">
        <f t="shared" si="624"/>
        <v>2016</v>
      </c>
      <c r="B889" s="812">
        <f>ROUND([30]MW!B452,0)</f>
        <v>150</v>
      </c>
      <c r="C889" s="812">
        <f>ROUND([30]MW!C452,0)</f>
        <v>150</v>
      </c>
      <c r="D889" s="812">
        <f>ROUND([30]MW!D452,0)</f>
        <v>150</v>
      </c>
      <c r="E889" s="812">
        <f>ROUND([30]MW!E452,0)</f>
        <v>150</v>
      </c>
      <c r="F889" s="812">
        <f>ROUND([30]MW!F452,0)</f>
        <v>150</v>
      </c>
      <c r="G889" s="812">
        <f>ROUND([30]MW!G452,0)</f>
        <v>0</v>
      </c>
      <c r="H889" s="812">
        <f>ROUND([30]MW!H452,0)</f>
        <v>0</v>
      </c>
      <c r="I889" s="812">
        <f>ROUND([30]MW!I452,0)</f>
        <v>0</v>
      </c>
      <c r="J889" s="812">
        <f>ROUND([30]MW!J452,0)</f>
        <v>0</v>
      </c>
      <c r="K889" s="812">
        <f>ROUND([30]MW!K452,0)</f>
        <v>0</v>
      </c>
      <c r="L889" s="812">
        <f>ROUND([30]MW!L452,0)</f>
        <v>0</v>
      </c>
      <c r="M889" s="812">
        <f>ROUND([30]MW!M452,0)</f>
        <v>0</v>
      </c>
      <c r="N889" s="925">
        <f t="shared" si="625"/>
        <v>750</v>
      </c>
    </row>
    <row r="890" spans="1:15">
      <c r="A890" s="518">
        <f t="shared" si="624"/>
        <v>2017</v>
      </c>
      <c r="B890" s="812">
        <f>[30]MW!B453</f>
        <v>0</v>
      </c>
      <c r="C890" s="812">
        <f>[30]MW!C453</f>
        <v>0</v>
      </c>
      <c r="D890" s="812">
        <f>[30]MW!D453</f>
        <v>0</v>
      </c>
      <c r="E890" s="812">
        <f>[30]MW!E453</f>
        <v>0</v>
      </c>
      <c r="F890" s="812">
        <f>[30]MW!F453</f>
        <v>0</v>
      </c>
      <c r="G890" s="812">
        <f>[30]MW!G453</f>
        <v>0</v>
      </c>
      <c r="H890" s="812">
        <f>[30]MW!H453</f>
        <v>0</v>
      </c>
      <c r="I890" s="812">
        <f>[30]MW!I453</f>
        <v>0</v>
      </c>
      <c r="J890" s="812">
        <f>[30]MW!J453</f>
        <v>0</v>
      </c>
      <c r="K890" s="812">
        <f>[30]MW!K453</f>
        <v>0</v>
      </c>
      <c r="L890" s="812">
        <f>[30]MW!L453</f>
        <v>0</v>
      </c>
      <c r="M890" s="812">
        <f>[30]MW!M453</f>
        <v>0</v>
      </c>
      <c r="N890" s="925">
        <f t="shared" si="625"/>
        <v>0</v>
      </c>
    </row>
    <row r="891" spans="1:15">
      <c r="A891" s="518">
        <f t="shared" si="624"/>
        <v>2018</v>
      </c>
      <c r="B891" s="812">
        <f>[30]MW!B454</f>
        <v>0</v>
      </c>
      <c r="C891" s="812">
        <f>[30]MW!C454</f>
        <v>0</v>
      </c>
      <c r="D891" s="812">
        <f>[30]MW!D454</f>
        <v>0</v>
      </c>
      <c r="E891" s="812">
        <f>[30]MW!E454</f>
        <v>0</v>
      </c>
      <c r="F891" s="812">
        <f>[30]MW!F454</f>
        <v>0</v>
      </c>
      <c r="G891" s="812">
        <f>[30]MW!G454</f>
        <v>0</v>
      </c>
      <c r="H891" s="812">
        <f>[30]MW!H454</f>
        <v>0</v>
      </c>
      <c r="I891" s="812">
        <f>[30]MW!I454</f>
        <v>0</v>
      </c>
      <c r="J891" s="812">
        <f>[30]MW!J454</f>
        <v>0</v>
      </c>
      <c r="K891" s="812">
        <f>[30]MW!K454</f>
        <v>0</v>
      </c>
      <c r="L891" s="812">
        <f>[30]MW!L454</f>
        <v>0</v>
      </c>
      <c r="M891" s="812">
        <f>[30]MW!M454</f>
        <v>0</v>
      </c>
      <c r="N891" s="925">
        <f t="shared" si="625"/>
        <v>0</v>
      </c>
    </row>
    <row r="892" spans="1:15">
      <c r="A892" s="518">
        <f t="shared" si="624"/>
        <v>2019</v>
      </c>
      <c r="B892" s="812">
        <f>[30]MW!B455</f>
        <v>0</v>
      </c>
      <c r="C892" s="812">
        <f>[30]MW!C455</f>
        <v>0</v>
      </c>
      <c r="D892" s="812">
        <f>[30]MW!D455</f>
        <v>0</v>
      </c>
      <c r="E892" s="812">
        <f>[30]MW!E455</f>
        <v>0</v>
      </c>
      <c r="F892" s="812">
        <f>[30]MW!F455</f>
        <v>0</v>
      </c>
      <c r="G892" s="812">
        <f>[30]MW!G455</f>
        <v>0</v>
      </c>
      <c r="H892" s="812">
        <f>[30]MW!H455</f>
        <v>0</v>
      </c>
      <c r="I892" s="812">
        <f>[30]MW!I455</f>
        <v>0</v>
      </c>
      <c r="J892" s="812">
        <f>[30]MW!J455</f>
        <v>0</v>
      </c>
      <c r="K892" s="812">
        <f>[30]MW!K455</f>
        <v>0</v>
      </c>
      <c r="L892" s="812">
        <f>[30]MW!L455</f>
        <v>0</v>
      </c>
      <c r="M892" s="812">
        <f>[30]MW!M455</f>
        <v>0</v>
      </c>
      <c r="N892" s="925">
        <f t="shared" si="625"/>
        <v>0</v>
      </c>
      <c r="O892" s="25"/>
    </row>
    <row r="893" spans="1:15">
      <c r="A893" s="518">
        <f t="shared" si="624"/>
        <v>2020</v>
      </c>
      <c r="B893" s="812">
        <f>[30]MW!B456</f>
        <v>0</v>
      </c>
      <c r="C893" s="812">
        <f>[30]MW!C456</f>
        <v>0</v>
      </c>
      <c r="D893" s="812">
        <f>[30]MW!D456</f>
        <v>0</v>
      </c>
      <c r="E893" s="812">
        <f>[30]MW!E456</f>
        <v>0</v>
      </c>
      <c r="F893" s="812">
        <f>[30]MW!F456</f>
        <v>0</v>
      </c>
      <c r="G893" s="812">
        <f>[30]MW!G456</f>
        <v>0</v>
      </c>
      <c r="H893" s="812">
        <f>[30]MW!H456</f>
        <v>0</v>
      </c>
      <c r="I893" s="812">
        <f>[30]MW!I456</f>
        <v>0</v>
      </c>
      <c r="J893" s="812">
        <f>[30]MW!J456</f>
        <v>0</v>
      </c>
      <c r="K893" s="812">
        <f>[30]MW!K456</f>
        <v>0</v>
      </c>
      <c r="L893" s="812">
        <f>[30]MW!L456</f>
        <v>0</v>
      </c>
      <c r="M893" s="812">
        <f>[30]MW!M456</f>
        <v>0</v>
      </c>
      <c r="N893" s="925">
        <f t="shared" si="625"/>
        <v>0</v>
      </c>
      <c r="O893" s="25"/>
    </row>
    <row r="894" spans="1:15">
      <c r="A894" s="518">
        <f t="shared" si="624"/>
        <v>2021</v>
      </c>
      <c r="B894" s="812">
        <f>[30]MW!B457</f>
        <v>0</v>
      </c>
      <c r="C894" s="812">
        <f>[30]MW!C457</f>
        <v>0</v>
      </c>
      <c r="D894" s="812">
        <f>[30]MW!D457</f>
        <v>0</v>
      </c>
      <c r="E894" s="812">
        <f>[30]MW!E457</f>
        <v>0</v>
      </c>
      <c r="F894" s="812">
        <f>[30]MW!F457</f>
        <v>0</v>
      </c>
      <c r="G894" s="812">
        <f>[30]MW!G457</f>
        <v>0</v>
      </c>
      <c r="H894" s="812">
        <f>[30]MW!H457</f>
        <v>0</v>
      </c>
      <c r="I894" s="812">
        <f>[30]MW!I457</f>
        <v>0</v>
      </c>
      <c r="J894" s="812">
        <f>[30]MW!J457</f>
        <v>0</v>
      </c>
      <c r="K894" s="812">
        <f>[30]MW!K457</f>
        <v>0</v>
      </c>
      <c r="L894" s="812">
        <f>[30]MW!L457</f>
        <v>0</v>
      </c>
      <c r="M894" s="812">
        <f>[30]MW!M457</f>
        <v>0</v>
      </c>
      <c r="N894" s="925">
        <f t="shared" si="625"/>
        <v>0</v>
      </c>
      <c r="O894" s="25"/>
    </row>
    <row r="895" spans="1:15">
      <c r="A895" s="518">
        <f t="shared" si="624"/>
        <v>2022</v>
      </c>
      <c r="B895" s="812">
        <f>[30]MW!B458</f>
        <v>0</v>
      </c>
      <c r="C895" s="812">
        <f>[30]MW!C458</f>
        <v>0</v>
      </c>
      <c r="D895" s="812">
        <f>[30]MW!D458</f>
        <v>0</v>
      </c>
      <c r="E895" s="812">
        <f>[30]MW!E458</f>
        <v>0</v>
      </c>
      <c r="F895" s="812">
        <f>[30]MW!F458</f>
        <v>0</v>
      </c>
      <c r="G895" s="812">
        <f>[30]MW!G458</f>
        <v>0</v>
      </c>
      <c r="H895" s="812">
        <f>[30]MW!H458</f>
        <v>0</v>
      </c>
      <c r="I895" s="812">
        <f>[30]MW!I458</f>
        <v>0</v>
      </c>
      <c r="J895" s="812">
        <f>[30]MW!J458</f>
        <v>0</v>
      </c>
      <c r="K895" s="812">
        <f>[30]MW!K458</f>
        <v>0</v>
      </c>
      <c r="L895" s="812">
        <f>[30]MW!L458</f>
        <v>0</v>
      </c>
      <c r="M895" s="812">
        <f>[30]MW!M458</f>
        <v>0</v>
      </c>
      <c r="N895" s="925">
        <f t="shared" si="625"/>
        <v>0</v>
      </c>
      <c r="O895" s="25"/>
    </row>
    <row r="896" spans="1:15">
      <c r="A896" s="518">
        <f t="shared" si="624"/>
        <v>2023</v>
      </c>
      <c r="B896" s="812">
        <f>[30]MW!B459</f>
        <v>0</v>
      </c>
      <c r="C896" s="812">
        <f>[30]MW!C459</f>
        <v>0</v>
      </c>
      <c r="D896" s="812">
        <f>[30]MW!D459</f>
        <v>0</v>
      </c>
      <c r="E896" s="812">
        <f>[30]MW!E459</f>
        <v>0</v>
      </c>
      <c r="F896" s="812">
        <f>[30]MW!F459</f>
        <v>0</v>
      </c>
      <c r="G896" s="812">
        <f>[30]MW!G459</f>
        <v>0</v>
      </c>
      <c r="H896" s="812">
        <f>[30]MW!H459</f>
        <v>0</v>
      </c>
      <c r="I896" s="812">
        <f>[30]MW!I459</f>
        <v>0</v>
      </c>
      <c r="J896" s="812">
        <f>[30]MW!J459</f>
        <v>0</v>
      </c>
      <c r="K896" s="812">
        <f>[30]MW!K459</f>
        <v>0</v>
      </c>
      <c r="L896" s="812">
        <f>[30]MW!L459</f>
        <v>0</v>
      </c>
      <c r="M896" s="812">
        <f>[30]MW!M459</f>
        <v>0</v>
      </c>
      <c r="N896" s="925">
        <f t="shared" si="625"/>
        <v>0</v>
      </c>
      <c r="O896" s="25"/>
    </row>
    <row r="897" spans="1:15">
      <c r="A897" s="518">
        <f t="shared" si="624"/>
        <v>2024</v>
      </c>
      <c r="B897" s="812">
        <f>[30]MW!B460</f>
        <v>0</v>
      </c>
      <c r="C897" s="812">
        <f>[30]MW!C460</f>
        <v>0</v>
      </c>
      <c r="D897" s="812">
        <f>[30]MW!D460</f>
        <v>0</v>
      </c>
      <c r="E897" s="812">
        <f>[30]MW!E460</f>
        <v>0</v>
      </c>
      <c r="F897" s="812">
        <f>[30]MW!F460</f>
        <v>0</v>
      </c>
      <c r="G897" s="812">
        <f>[30]MW!G460</f>
        <v>0</v>
      </c>
      <c r="H897" s="812">
        <f>[30]MW!H460</f>
        <v>0</v>
      </c>
      <c r="I897" s="812">
        <f>[30]MW!I460</f>
        <v>0</v>
      </c>
      <c r="J897" s="812">
        <f>[30]MW!J460</f>
        <v>0</v>
      </c>
      <c r="K897" s="812">
        <f>[30]MW!K460</f>
        <v>0</v>
      </c>
      <c r="L897" s="812">
        <f>[30]MW!L460</f>
        <v>0</v>
      </c>
      <c r="M897" s="812">
        <f>[30]MW!M460</f>
        <v>0</v>
      </c>
      <c r="N897" s="925">
        <f t="shared" si="625"/>
        <v>0</v>
      </c>
      <c r="O897" s="25"/>
    </row>
    <row r="898" spans="1:15">
      <c r="A898" s="518">
        <f t="shared" si="624"/>
        <v>2025</v>
      </c>
      <c r="B898" s="812">
        <f>[30]MW!B461</f>
        <v>0</v>
      </c>
      <c r="C898" s="812">
        <f>[30]MW!C461</f>
        <v>0</v>
      </c>
      <c r="D898" s="812">
        <f>[30]MW!D461</f>
        <v>0</v>
      </c>
      <c r="E898" s="812">
        <f>[30]MW!E461</f>
        <v>0</v>
      </c>
      <c r="F898" s="812">
        <f>[30]MW!F461</f>
        <v>0</v>
      </c>
      <c r="G898" s="812">
        <f>[30]MW!G461</f>
        <v>0</v>
      </c>
      <c r="H898" s="812">
        <f>[30]MW!H461</f>
        <v>0</v>
      </c>
      <c r="I898" s="812">
        <f>[30]MW!I461</f>
        <v>0</v>
      </c>
      <c r="J898" s="812">
        <f>[30]MW!J461</f>
        <v>0</v>
      </c>
      <c r="K898" s="812">
        <f>[30]MW!K461</f>
        <v>0</v>
      </c>
      <c r="L898" s="812">
        <f>[30]MW!L461</f>
        <v>0</v>
      </c>
      <c r="M898" s="812">
        <f>[30]MW!M461</f>
        <v>0</v>
      </c>
      <c r="N898" s="925">
        <f t="shared" si="625"/>
        <v>0</v>
      </c>
      <c r="O898" s="25"/>
    </row>
    <row r="899" spans="1:15">
      <c r="A899" s="518">
        <f t="shared" si="624"/>
        <v>2026</v>
      </c>
      <c r="B899" s="812">
        <f>[30]MW!B462</f>
        <v>0</v>
      </c>
      <c r="C899" s="812">
        <f>[30]MW!C462</f>
        <v>0</v>
      </c>
      <c r="D899" s="812">
        <f>[30]MW!D462</f>
        <v>0</v>
      </c>
      <c r="E899" s="812">
        <f>[30]MW!E462</f>
        <v>0</v>
      </c>
      <c r="F899" s="812">
        <f>[30]MW!F462</f>
        <v>0</v>
      </c>
      <c r="G899" s="812">
        <f>[30]MW!G462</f>
        <v>0</v>
      </c>
      <c r="H899" s="812">
        <f>[30]MW!H462</f>
        <v>0</v>
      </c>
      <c r="I899" s="812">
        <f>[30]MW!I462</f>
        <v>0</v>
      </c>
      <c r="J899" s="812">
        <f>[30]MW!J462</f>
        <v>0</v>
      </c>
      <c r="K899" s="812">
        <f>[30]MW!K462</f>
        <v>0</v>
      </c>
      <c r="L899" s="812">
        <f>[30]MW!L462</f>
        <v>0</v>
      </c>
      <c r="M899" s="812">
        <f>[30]MW!M462</f>
        <v>0</v>
      </c>
      <c r="N899" s="925">
        <f>SUM(B899:M899)</f>
        <v>0</v>
      </c>
      <c r="O899" s="25"/>
    </row>
    <row r="900" spans="1:15">
      <c r="A900" s="518">
        <f t="shared" si="624"/>
        <v>2027</v>
      </c>
      <c r="B900" s="812">
        <f>[30]MW!B463</f>
        <v>0</v>
      </c>
      <c r="C900" s="812">
        <f>[30]MW!C463</f>
        <v>0</v>
      </c>
      <c r="D900" s="812">
        <f>[30]MW!D463</f>
        <v>0</v>
      </c>
      <c r="E900" s="812">
        <f>[30]MW!E463</f>
        <v>0</v>
      </c>
      <c r="F900" s="812">
        <f>[30]MW!F463</f>
        <v>0</v>
      </c>
      <c r="G900" s="812">
        <f>[30]MW!G463</f>
        <v>0</v>
      </c>
      <c r="H900" s="812">
        <f>[30]MW!H463</f>
        <v>0</v>
      </c>
      <c r="I900" s="812">
        <f>[30]MW!I463</f>
        <v>0</v>
      </c>
      <c r="J900" s="812">
        <f>[30]MW!J463</f>
        <v>0</v>
      </c>
      <c r="K900" s="812">
        <f>[30]MW!K463</f>
        <v>0</v>
      </c>
      <c r="L900" s="812">
        <f>[30]MW!L463</f>
        <v>0</v>
      </c>
      <c r="M900" s="812">
        <f>[30]MW!M463</f>
        <v>0</v>
      </c>
      <c r="N900" s="925">
        <f>SUM(B900:M900)</f>
        <v>0</v>
      </c>
      <c r="O900" s="25"/>
    </row>
    <row r="901" spans="1:15">
      <c r="A901" s="518">
        <f t="shared" si="624"/>
        <v>2028</v>
      </c>
      <c r="B901" s="812">
        <f>[30]MW!B464</f>
        <v>0</v>
      </c>
      <c r="C901" s="812">
        <f>[30]MW!C464</f>
        <v>0</v>
      </c>
      <c r="D901" s="812">
        <f>[30]MW!D464</f>
        <v>0</v>
      </c>
      <c r="E901" s="812">
        <f>[30]MW!E464</f>
        <v>0</v>
      </c>
      <c r="F901" s="812">
        <f>[30]MW!F464</f>
        <v>0</v>
      </c>
      <c r="G901" s="812">
        <f>[30]MW!G464</f>
        <v>0</v>
      </c>
      <c r="H901" s="812">
        <f>[30]MW!H464</f>
        <v>0</v>
      </c>
      <c r="I901" s="812">
        <f>[30]MW!I464</f>
        <v>0</v>
      </c>
      <c r="J901" s="812">
        <f>[30]MW!J464</f>
        <v>0</v>
      </c>
      <c r="K901" s="812">
        <f>[30]MW!K464</f>
        <v>0</v>
      </c>
      <c r="L901" s="812">
        <f>[30]MW!L464</f>
        <v>0</v>
      </c>
      <c r="M901" s="812">
        <f>[30]MW!M464</f>
        <v>0</v>
      </c>
      <c r="N901" s="925">
        <f>SUM(B901:M901)</f>
        <v>0</v>
      </c>
      <c r="O901" s="25"/>
    </row>
    <row r="902" spans="1:15">
      <c r="A902" s="518">
        <f t="shared" si="624"/>
        <v>2029</v>
      </c>
      <c r="B902" s="812">
        <f>[30]MW!B465</f>
        <v>0</v>
      </c>
      <c r="C902" s="812">
        <f>[30]MW!C465</f>
        <v>0</v>
      </c>
      <c r="D902" s="812">
        <f>[30]MW!D465</f>
        <v>0</v>
      </c>
      <c r="E902" s="812">
        <f>[30]MW!E465</f>
        <v>0</v>
      </c>
      <c r="F902" s="812">
        <f>[30]MW!F465</f>
        <v>0</v>
      </c>
      <c r="G902" s="812">
        <f>[30]MW!G465</f>
        <v>0</v>
      </c>
      <c r="H902" s="812">
        <f>[30]MW!H465</f>
        <v>0</v>
      </c>
      <c r="I902" s="812">
        <f>[30]MW!I465</f>
        <v>0</v>
      </c>
      <c r="J902" s="812">
        <f>[30]MW!J465</f>
        <v>0</v>
      </c>
      <c r="K902" s="812">
        <f>[30]MW!K465</f>
        <v>0</v>
      </c>
      <c r="L902" s="812">
        <f>[30]MW!L465</f>
        <v>0</v>
      </c>
      <c r="M902" s="812">
        <f>[30]MW!M465</f>
        <v>0</v>
      </c>
      <c r="N902" s="925">
        <f>SUM(B902:M902)</f>
        <v>0</v>
      </c>
      <c r="O902" s="25"/>
    </row>
    <row r="903" spans="1:15">
      <c r="A903" s="518">
        <f t="shared" si="624"/>
        <v>2030</v>
      </c>
      <c r="B903" s="812">
        <f>[30]MW!B466</f>
        <v>0</v>
      </c>
      <c r="C903" s="812">
        <f>[30]MW!C466</f>
        <v>0</v>
      </c>
      <c r="D903" s="812">
        <f>[30]MW!D466</f>
        <v>0</v>
      </c>
      <c r="E903" s="812">
        <f>[30]MW!E466</f>
        <v>0</v>
      </c>
      <c r="F903" s="812">
        <f>[30]MW!F466</f>
        <v>0</v>
      </c>
      <c r="G903" s="812">
        <f>[30]MW!G466</f>
        <v>0</v>
      </c>
      <c r="H903" s="812">
        <f>[30]MW!H466</f>
        <v>0</v>
      </c>
      <c r="I903" s="812">
        <f>[30]MW!I466</f>
        <v>0</v>
      </c>
      <c r="J903" s="812">
        <f>[30]MW!J466</f>
        <v>0</v>
      </c>
      <c r="K903" s="812">
        <f>[30]MW!K466</f>
        <v>0</v>
      </c>
      <c r="L903" s="812">
        <f>[30]MW!L466</f>
        <v>0</v>
      </c>
      <c r="M903" s="812">
        <f>[30]MW!M466</f>
        <v>0</v>
      </c>
      <c r="N903" s="925">
        <f>SUM(B903:M903)</f>
        <v>0</v>
      </c>
      <c r="O903" s="25"/>
    </row>
    <row r="904" spans="1:15">
      <c r="A904" s="518">
        <f t="shared" si="624"/>
        <v>2031</v>
      </c>
      <c r="B904" s="812">
        <f>[30]MW!B467</f>
        <v>0</v>
      </c>
      <c r="C904" s="812">
        <f>[30]MW!C467</f>
        <v>0</v>
      </c>
      <c r="D904" s="812">
        <f>[30]MW!D467</f>
        <v>0</v>
      </c>
      <c r="E904" s="812">
        <f>[30]MW!E467</f>
        <v>0</v>
      </c>
      <c r="F904" s="812">
        <f>[30]MW!F467</f>
        <v>0</v>
      </c>
      <c r="G904" s="812">
        <f>[30]MW!G467</f>
        <v>0</v>
      </c>
      <c r="H904" s="812">
        <f>[30]MW!H467</f>
        <v>0</v>
      </c>
      <c r="I904" s="812">
        <f>[30]MW!I467</f>
        <v>0</v>
      </c>
      <c r="J904" s="812">
        <f>[30]MW!J467</f>
        <v>0</v>
      </c>
      <c r="K904" s="812">
        <f>[30]MW!K467</f>
        <v>0</v>
      </c>
      <c r="L904" s="812">
        <f>[30]MW!L467</f>
        <v>0</v>
      </c>
      <c r="M904" s="812">
        <f>[30]MW!M467</f>
        <v>0</v>
      </c>
      <c r="N904" s="925">
        <f t="shared" ref="N904:N913" si="626">SUM(B904:M904)</f>
        <v>0</v>
      </c>
      <c r="O904" s="25"/>
    </row>
    <row r="905" spans="1:15">
      <c r="A905" s="518">
        <f t="shared" si="624"/>
        <v>2032</v>
      </c>
      <c r="B905" s="812">
        <f>[30]MW!B468</f>
        <v>0</v>
      </c>
      <c r="C905" s="812">
        <f>[30]MW!C468</f>
        <v>0</v>
      </c>
      <c r="D905" s="812">
        <f>[30]MW!D468</f>
        <v>0</v>
      </c>
      <c r="E905" s="812">
        <f>[30]MW!E468</f>
        <v>0</v>
      </c>
      <c r="F905" s="812">
        <f>[30]MW!F468</f>
        <v>0</v>
      </c>
      <c r="G905" s="812">
        <f>[30]MW!G468</f>
        <v>0</v>
      </c>
      <c r="H905" s="812">
        <f>[30]MW!H468</f>
        <v>0</v>
      </c>
      <c r="I905" s="812">
        <f>[30]MW!I468</f>
        <v>0</v>
      </c>
      <c r="J905" s="812">
        <f>[30]MW!J468</f>
        <v>0</v>
      </c>
      <c r="K905" s="812">
        <f>[30]MW!K468</f>
        <v>0</v>
      </c>
      <c r="L905" s="812">
        <f>[30]MW!L468</f>
        <v>0</v>
      </c>
      <c r="M905" s="812">
        <f>[30]MW!M468</f>
        <v>0</v>
      </c>
      <c r="N905" s="925">
        <f t="shared" si="626"/>
        <v>0</v>
      </c>
      <c r="O905" s="25"/>
    </row>
    <row r="906" spans="1:15">
      <c r="A906" s="518">
        <f t="shared" si="624"/>
        <v>2033</v>
      </c>
      <c r="B906" s="812">
        <f>[30]MW!B469</f>
        <v>0</v>
      </c>
      <c r="C906" s="812">
        <f>[30]MW!C469</f>
        <v>0</v>
      </c>
      <c r="D906" s="812">
        <f>[30]MW!D469</f>
        <v>0</v>
      </c>
      <c r="E906" s="812">
        <f>[30]MW!E469</f>
        <v>0</v>
      </c>
      <c r="F906" s="812">
        <f>[30]MW!F469</f>
        <v>0</v>
      </c>
      <c r="G906" s="812">
        <f>[30]MW!G469</f>
        <v>0</v>
      </c>
      <c r="H906" s="812">
        <f>[30]MW!H469</f>
        <v>0</v>
      </c>
      <c r="I906" s="812">
        <f>[30]MW!I469</f>
        <v>0</v>
      </c>
      <c r="J906" s="812">
        <f>[30]MW!J469</f>
        <v>0</v>
      </c>
      <c r="K906" s="812">
        <f>[30]MW!K469</f>
        <v>0</v>
      </c>
      <c r="L906" s="812">
        <f>[30]MW!L469</f>
        <v>0</v>
      </c>
      <c r="M906" s="812">
        <f>[30]MW!M469</f>
        <v>0</v>
      </c>
      <c r="N906" s="925">
        <f t="shared" si="626"/>
        <v>0</v>
      </c>
      <c r="O906" s="25"/>
    </row>
    <row r="907" spans="1:15">
      <c r="A907" s="518">
        <f t="shared" si="624"/>
        <v>2034</v>
      </c>
      <c r="B907" s="812">
        <f>[30]MW!B470</f>
        <v>0</v>
      </c>
      <c r="C907" s="812">
        <f>[30]MW!C470</f>
        <v>0</v>
      </c>
      <c r="D907" s="812">
        <f>[30]MW!D470</f>
        <v>0</v>
      </c>
      <c r="E907" s="812">
        <f>[30]MW!E470</f>
        <v>0</v>
      </c>
      <c r="F907" s="812">
        <f>[30]MW!F470</f>
        <v>0</v>
      </c>
      <c r="G907" s="812">
        <f>[30]MW!G470</f>
        <v>0</v>
      </c>
      <c r="H907" s="812">
        <f>[30]MW!H470</f>
        <v>0</v>
      </c>
      <c r="I907" s="812">
        <f>[30]MW!I470</f>
        <v>0</v>
      </c>
      <c r="J907" s="812">
        <f>[30]MW!J470</f>
        <v>0</v>
      </c>
      <c r="K907" s="812">
        <f>[30]MW!K470</f>
        <v>0</v>
      </c>
      <c r="L907" s="812">
        <f>[30]MW!L470</f>
        <v>0</v>
      </c>
      <c r="M907" s="812">
        <f>[30]MW!M470</f>
        <v>0</v>
      </c>
      <c r="N907" s="925">
        <f t="shared" si="626"/>
        <v>0</v>
      </c>
      <c r="O907" s="25"/>
    </row>
    <row r="908" spans="1:15">
      <c r="A908" s="518">
        <f t="shared" si="624"/>
        <v>2035</v>
      </c>
      <c r="B908" s="812">
        <f>[30]MW!B471</f>
        <v>0</v>
      </c>
      <c r="C908" s="812">
        <f>[30]MW!C471</f>
        <v>0</v>
      </c>
      <c r="D908" s="812">
        <f>[30]MW!D471</f>
        <v>0</v>
      </c>
      <c r="E908" s="812">
        <f>[30]MW!E471</f>
        <v>0</v>
      </c>
      <c r="F908" s="812">
        <f>[30]MW!F471</f>
        <v>0</v>
      </c>
      <c r="G908" s="812">
        <f>[30]MW!G471</f>
        <v>0</v>
      </c>
      <c r="H908" s="812">
        <f>[30]MW!H471</f>
        <v>0</v>
      </c>
      <c r="I908" s="812">
        <f>[30]MW!I471</f>
        <v>0</v>
      </c>
      <c r="J908" s="812">
        <f>[30]MW!J471</f>
        <v>0</v>
      </c>
      <c r="K908" s="812">
        <f>[30]MW!K471</f>
        <v>0</v>
      </c>
      <c r="L908" s="812">
        <f>[30]MW!L471</f>
        <v>0</v>
      </c>
      <c r="M908" s="812">
        <f>[30]MW!M471</f>
        <v>0</v>
      </c>
      <c r="N908" s="925">
        <f t="shared" si="626"/>
        <v>0</v>
      </c>
      <c r="O908" s="25"/>
    </row>
    <row r="909" spans="1:15">
      <c r="A909" s="518">
        <f t="shared" si="624"/>
        <v>2036</v>
      </c>
      <c r="B909" s="812">
        <f>[30]MW!B472</f>
        <v>0</v>
      </c>
      <c r="C909" s="812">
        <f>[30]MW!C472</f>
        <v>0</v>
      </c>
      <c r="D909" s="812">
        <f>[30]MW!D472</f>
        <v>0</v>
      </c>
      <c r="E909" s="812">
        <f>[30]MW!E472</f>
        <v>0</v>
      </c>
      <c r="F909" s="812">
        <f>[30]MW!F472</f>
        <v>0</v>
      </c>
      <c r="G909" s="812">
        <f>[30]MW!G472</f>
        <v>0</v>
      </c>
      <c r="H909" s="812">
        <f>[30]MW!H472</f>
        <v>0</v>
      </c>
      <c r="I909" s="812">
        <f>[30]MW!I472</f>
        <v>0</v>
      </c>
      <c r="J909" s="812">
        <f>[30]MW!J472</f>
        <v>0</v>
      </c>
      <c r="K909" s="812">
        <f>[30]MW!K472</f>
        <v>0</v>
      </c>
      <c r="L909" s="812">
        <f>[30]MW!L472</f>
        <v>0</v>
      </c>
      <c r="M909" s="812">
        <f>[30]MW!M472</f>
        <v>0</v>
      </c>
      <c r="N909" s="925">
        <f t="shared" si="626"/>
        <v>0</v>
      </c>
      <c r="O909" s="25"/>
    </row>
    <row r="910" spans="1:15">
      <c r="A910" s="518">
        <f t="shared" si="624"/>
        <v>2037</v>
      </c>
      <c r="B910" s="812">
        <f>[30]MW!B473</f>
        <v>0</v>
      </c>
      <c r="C910" s="812">
        <f>[30]MW!C473</f>
        <v>0</v>
      </c>
      <c r="D910" s="812">
        <f>[30]MW!D473</f>
        <v>0</v>
      </c>
      <c r="E910" s="812">
        <f>[30]MW!E473</f>
        <v>0</v>
      </c>
      <c r="F910" s="812">
        <f>[30]MW!F473</f>
        <v>0</v>
      </c>
      <c r="G910" s="812">
        <f>[30]MW!G473</f>
        <v>0</v>
      </c>
      <c r="H910" s="812">
        <f>[30]MW!H473</f>
        <v>0</v>
      </c>
      <c r="I910" s="812">
        <f>[30]MW!I473</f>
        <v>0</v>
      </c>
      <c r="J910" s="812">
        <f>[30]MW!J473</f>
        <v>0</v>
      </c>
      <c r="K910" s="812">
        <f>[30]MW!K473</f>
        <v>0</v>
      </c>
      <c r="L910" s="812">
        <f>[30]MW!L473</f>
        <v>0</v>
      </c>
      <c r="M910" s="812">
        <f>[30]MW!M473</f>
        <v>0</v>
      </c>
      <c r="N910" s="925">
        <f t="shared" si="626"/>
        <v>0</v>
      </c>
      <c r="O910" s="25"/>
    </row>
    <row r="911" spans="1:15">
      <c r="A911" s="518">
        <f t="shared" si="624"/>
        <v>2038</v>
      </c>
      <c r="B911" s="812">
        <f>[30]MW!B474</f>
        <v>0</v>
      </c>
      <c r="C911" s="812">
        <f>[30]MW!C474</f>
        <v>0</v>
      </c>
      <c r="D911" s="812">
        <f>[30]MW!D474</f>
        <v>0</v>
      </c>
      <c r="E911" s="812">
        <f>[30]MW!E474</f>
        <v>0</v>
      </c>
      <c r="F911" s="812">
        <f>[30]MW!F474</f>
        <v>0</v>
      </c>
      <c r="G911" s="812">
        <f>[30]MW!G474</f>
        <v>0</v>
      </c>
      <c r="H911" s="812">
        <f>[30]MW!H474</f>
        <v>0</v>
      </c>
      <c r="I911" s="812">
        <f>[30]MW!I474</f>
        <v>0</v>
      </c>
      <c r="J911" s="812">
        <f>[30]MW!J474</f>
        <v>0</v>
      </c>
      <c r="K911" s="812">
        <f>[30]MW!K474</f>
        <v>0</v>
      </c>
      <c r="L911" s="812">
        <f>[30]MW!L474</f>
        <v>0</v>
      </c>
      <c r="M911" s="812">
        <f>[30]MW!M474</f>
        <v>0</v>
      </c>
      <c r="N911" s="925">
        <f t="shared" si="626"/>
        <v>0</v>
      </c>
      <c r="O911" s="25"/>
    </row>
    <row r="912" spans="1:15">
      <c r="A912" s="518">
        <f t="shared" si="624"/>
        <v>2039</v>
      </c>
      <c r="B912" s="812">
        <f>[30]MW!B475</f>
        <v>0</v>
      </c>
      <c r="C912" s="812">
        <f>[30]MW!C475</f>
        <v>0</v>
      </c>
      <c r="D912" s="812">
        <f>[30]MW!D475</f>
        <v>0</v>
      </c>
      <c r="E912" s="812">
        <f>[30]MW!E475</f>
        <v>0</v>
      </c>
      <c r="F912" s="812">
        <f>[30]MW!F475</f>
        <v>0</v>
      </c>
      <c r="G912" s="812">
        <f>[30]MW!G475</f>
        <v>0</v>
      </c>
      <c r="H912" s="812">
        <f>[30]MW!H475</f>
        <v>0</v>
      </c>
      <c r="I912" s="812">
        <f>[30]MW!I475</f>
        <v>0</v>
      </c>
      <c r="J912" s="812">
        <f>[30]MW!J475</f>
        <v>0</v>
      </c>
      <c r="K912" s="812">
        <f>[30]MW!K475</f>
        <v>0</v>
      </c>
      <c r="L912" s="812">
        <f>[30]MW!L475</f>
        <v>0</v>
      </c>
      <c r="M912" s="812">
        <f>[30]MW!M475</f>
        <v>0</v>
      </c>
      <c r="N912" s="925">
        <f t="shared" si="626"/>
        <v>0</v>
      </c>
      <c r="O912" s="25"/>
    </row>
    <row r="913" spans="1:29">
      <c r="A913" s="518">
        <f t="shared" si="624"/>
        <v>2040</v>
      </c>
      <c r="B913" s="812">
        <f>[30]MW!B476</f>
        <v>0</v>
      </c>
      <c r="C913" s="812">
        <f>[30]MW!C476</f>
        <v>0</v>
      </c>
      <c r="D913" s="812">
        <f>[30]MW!D476</f>
        <v>0</v>
      </c>
      <c r="E913" s="812">
        <f>[30]MW!E476</f>
        <v>0</v>
      </c>
      <c r="F913" s="812">
        <f>[30]MW!F476</f>
        <v>0</v>
      </c>
      <c r="G913" s="812">
        <f>[30]MW!G476</f>
        <v>0</v>
      </c>
      <c r="H913" s="812">
        <f>[30]MW!H476</f>
        <v>0</v>
      </c>
      <c r="I913" s="812">
        <f>[30]MW!I476</f>
        <v>0</v>
      </c>
      <c r="J913" s="812">
        <f>[30]MW!J476</f>
        <v>0</v>
      </c>
      <c r="K913" s="812">
        <f>[30]MW!K476</f>
        <v>0</v>
      </c>
      <c r="L913" s="812">
        <f>[30]MW!L476</f>
        <v>0</v>
      </c>
      <c r="M913" s="812">
        <f>[30]MW!M476</f>
        <v>0</v>
      </c>
      <c r="N913" s="925">
        <f t="shared" si="626"/>
        <v>0</v>
      </c>
      <c r="O913" s="25"/>
    </row>
    <row r="914" spans="1:29">
      <c r="A914" s="518">
        <f t="shared" si="624"/>
        <v>2041</v>
      </c>
      <c r="O914" s="25"/>
    </row>
    <row r="915" spans="1:29">
      <c r="A915" s="518">
        <f t="shared" si="624"/>
        <v>2042</v>
      </c>
      <c r="O915" s="25"/>
    </row>
    <row r="916" spans="1:29">
      <c r="A916" s="518">
        <f t="shared" si="624"/>
        <v>2043</v>
      </c>
      <c r="O916" s="25"/>
    </row>
    <row r="917" spans="1:29">
      <c r="A917" s="518">
        <f t="shared" si="624"/>
        <v>2044</v>
      </c>
      <c r="O917" s="25"/>
    </row>
    <row r="918" spans="1:29">
      <c r="A918" s="518">
        <f>A878</f>
        <v>2045</v>
      </c>
    </row>
    <row r="921" spans="1:29">
      <c r="A921" s="1079" t="s">
        <v>467</v>
      </c>
      <c r="P921" s="31"/>
    </row>
    <row r="922" spans="1:29" s="27" customFormat="1">
      <c r="A922" s="27" t="s">
        <v>9</v>
      </c>
      <c r="B922" s="27" t="s">
        <v>28</v>
      </c>
      <c r="C922" s="27" t="s">
        <v>29</v>
      </c>
      <c r="D922" s="27" t="s">
        <v>30</v>
      </c>
      <c r="E922" s="27" t="s">
        <v>31</v>
      </c>
      <c r="F922" s="27" t="s">
        <v>32</v>
      </c>
      <c r="G922" s="27" t="s">
        <v>33</v>
      </c>
      <c r="H922" s="27" t="s">
        <v>34</v>
      </c>
      <c r="I922" s="27" t="s">
        <v>35</v>
      </c>
      <c r="J922" s="27" t="s">
        <v>36</v>
      </c>
      <c r="K922" s="27" t="s">
        <v>37</v>
      </c>
      <c r="L922" s="27" t="s">
        <v>38</v>
      </c>
      <c r="M922" s="27" t="s">
        <v>39</v>
      </c>
      <c r="N922" s="33" t="s">
        <v>56</v>
      </c>
      <c r="AC922" s="334"/>
    </row>
    <row r="923" spans="1:29">
      <c r="A923" s="2">
        <f>A883</f>
        <v>2010</v>
      </c>
      <c r="B923" s="1084">
        <f>[30]MW!B486</f>
        <v>0</v>
      </c>
      <c r="C923" s="1084">
        <f>[30]MW!C486</f>
        <v>0</v>
      </c>
      <c r="D923" s="1084">
        <f>[30]MW!D486</f>
        <v>0</v>
      </c>
      <c r="E923" s="1084">
        <f>[30]MW!E486</f>
        <v>0</v>
      </c>
      <c r="F923" s="1084">
        <f>[30]MW!F486</f>
        <v>0</v>
      </c>
      <c r="G923" s="1084">
        <f>[30]MW!G486</f>
        <v>0</v>
      </c>
      <c r="H923" s="1084">
        <f>[30]MW!H486</f>
        <v>0</v>
      </c>
      <c r="I923" s="1084">
        <f>[30]MW!I486</f>
        <v>0</v>
      </c>
      <c r="J923" s="1084">
        <f>[30]MW!J486</f>
        <v>0</v>
      </c>
      <c r="K923" s="1084">
        <f>[30]MW!K486</f>
        <v>0</v>
      </c>
      <c r="L923" s="1084">
        <f>[30]MW!L486</f>
        <v>0</v>
      </c>
      <c r="M923" s="1084">
        <f>[30]MW!M486</f>
        <v>0</v>
      </c>
      <c r="N923" s="25">
        <f t="shared" ref="N923:N933" si="627">SUM(B923:M923)</f>
        <v>0</v>
      </c>
      <c r="Q923" s="1090"/>
      <c r="R923" s="1090"/>
      <c r="S923" s="1090"/>
      <c r="T923" s="1090"/>
      <c r="U923" s="1090"/>
      <c r="V923" s="1090"/>
      <c r="W923" s="1090"/>
      <c r="X923" s="1090"/>
      <c r="Y923" s="1090"/>
      <c r="Z923" s="1090"/>
      <c r="AA923" s="1090"/>
      <c r="AB923" s="1090"/>
      <c r="AC923" s="37"/>
    </row>
    <row r="924" spans="1:29">
      <c r="A924" s="2">
        <f t="shared" ref="A924:A958" si="628">A884</f>
        <v>2011</v>
      </c>
      <c r="B924" s="880">
        <f>[30]MW!B487</f>
        <v>0</v>
      </c>
      <c r="C924" s="880">
        <f>[30]MW!C487</f>
        <v>0</v>
      </c>
      <c r="D924" s="880">
        <f>[30]MW!D487</f>
        <v>0</v>
      </c>
      <c r="E924" s="880">
        <f>[30]MW!E487</f>
        <v>0</v>
      </c>
      <c r="F924" s="880">
        <f>[30]MW!F487</f>
        <v>0</v>
      </c>
      <c r="G924" s="880">
        <f>[30]MW!G487</f>
        <v>0</v>
      </c>
      <c r="H924" s="880">
        <f>[30]MW!H487</f>
        <v>0</v>
      </c>
      <c r="I924" s="880">
        <f>[30]MW!I487</f>
        <v>0</v>
      </c>
      <c r="J924" s="880">
        <f>[30]MW!J487</f>
        <v>0</v>
      </c>
      <c r="K924" s="880">
        <f>[30]MW!K487</f>
        <v>0</v>
      </c>
      <c r="L924" s="880">
        <f>[30]MW!L487</f>
        <v>0</v>
      </c>
      <c r="M924" s="880">
        <f>[30]MW!M487</f>
        <v>0</v>
      </c>
      <c r="N924" s="25">
        <f t="shared" si="627"/>
        <v>0</v>
      </c>
      <c r="Q924" s="335"/>
      <c r="R924" s="335"/>
      <c r="S924" s="335"/>
      <c r="T924" s="335"/>
      <c r="U924" s="335"/>
      <c r="V924" s="335"/>
      <c r="W924" s="335"/>
      <c r="X924" s="335"/>
      <c r="Y924" s="335"/>
      <c r="Z924" s="335"/>
      <c r="AA924" s="335"/>
      <c r="AB924" s="335"/>
      <c r="AC924" s="37"/>
    </row>
    <row r="925" spans="1:29">
      <c r="A925" s="2">
        <f t="shared" si="628"/>
        <v>2012</v>
      </c>
      <c r="B925" s="812">
        <f>ROUND([30]MW!B488,0)</f>
        <v>0</v>
      </c>
      <c r="C925" s="812">
        <f>ROUND([30]MW!C488,0)</f>
        <v>0</v>
      </c>
      <c r="D925" s="812">
        <f>ROUND([30]MW!D488,0)</f>
        <v>0</v>
      </c>
      <c r="E925" s="812">
        <f>ROUND([30]MW!E488,0)</f>
        <v>0</v>
      </c>
      <c r="F925" s="812">
        <f>ROUND([30]MW!F488,0)</f>
        <v>0</v>
      </c>
      <c r="G925" s="812">
        <f>ROUND([30]MW!G488,0)</f>
        <v>0</v>
      </c>
      <c r="H925" s="812">
        <f>ROUND([30]MW!H488,0)</f>
        <v>0</v>
      </c>
      <c r="I925" s="812">
        <f>ROUND([30]MW!I488,0)</f>
        <v>0</v>
      </c>
      <c r="J925" s="812">
        <f>ROUND([30]MW!J488,0)</f>
        <v>0</v>
      </c>
      <c r="K925" s="812">
        <f>ROUND([30]MW!K488,0)</f>
        <v>0</v>
      </c>
      <c r="L925" s="812">
        <f>ROUND([30]MW!L488,0)</f>
        <v>0</v>
      </c>
      <c r="M925" s="812">
        <f>ROUND([30]MW!M488,0)</f>
        <v>0</v>
      </c>
      <c r="N925" s="25">
        <f t="shared" si="627"/>
        <v>0</v>
      </c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  <c r="AA925" s="335"/>
      <c r="AB925" s="335"/>
      <c r="AC925" s="37"/>
    </row>
    <row r="926" spans="1:29">
      <c r="A926" s="2">
        <f t="shared" si="628"/>
        <v>2013</v>
      </c>
      <c r="B926" s="812">
        <f>ROUND([30]MW!B489,0)</f>
        <v>0</v>
      </c>
      <c r="C926" s="812">
        <f>ROUND([30]MW!C489,0)</f>
        <v>0</v>
      </c>
      <c r="D926" s="812">
        <f>ROUND([30]MW!D489,0)</f>
        <v>0</v>
      </c>
      <c r="E926" s="812">
        <f>ROUND([30]MW!E489,0)</f>
        <v>0</v>
      </c>
      <c r="F926" s="812">
        <f>ROUND([30]MW!F489,0)</f>
        <v>0</v>
      </c>
      <c r="G926" s="812">
        <f>ROUND([30]MW!G489,0)</f>
        <v>0</v>
      </c>
      <c r="H926" s="812">
        <f>ROUND([30]MW!H489,0)</f>
        <v>0</v>
      </c>
      <c r="I926" s="812">
        <f>ROUND([30]MW!I489,0)</f>
        <v>0</v>
      </c>
      <c r="J926" s="812">
        <f>ROUND([30]MW!J489,0)</f>
        <v>0</v>
      </c>
      <c r="K926" s="812">
        <f>ROUND([30]MW!K489,0)</f>
        <v>0</v>
      </c>
      <c r="L926" s="812">
        <f>ROUND([30]MW!L489,0)</f>
        <v>0</v>
      </c>
      <c r="M926" s="812">
        <f>ROUND([30]MW!M489,0)</f>
        <v>0</v>
      </c>
      <c r="N926" s="25">
        <f t="shared" si="627"/>
        <v>0</v>
      </c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  <c r="AA926" s="335"/>
      <c r="AB926" s="335"/>
      <c r="AC926" s="37"/>
    </row>
    <row r="927" spans="1:29">
      <c r="A927" s="2">
        <f t="shared" si="628"/>
        <v>2014</v>
      </c>
      <c r="B927" s="812">
        <f>ROUND([30]MW!B490,0)</f>
        <v>100</v>
      </c>
      <c r="C927" s="812">
        <f>ROUND([30]MW!C490,0)</f>
        <v>100</v>
      </c>
      <c r="D927" s="812">
        <f>ROUND([30]MW!D490,0)</f>
        <v>100</v>
      </c>
      <c r="E927" s="812">
        <f>ROUND([30]MW!E490,0)</f>
        <v>0</v>
      </c>
      <c r="F927" s="812">
        <f>ROUND([30]MW!F490,0)</f>
        <v>0</v>
      </c>
      <c r="G927" s="812">
        <f>ROUND([30]MW!G490,0)</f>
        <v>0</v>
      </c>
      <c r="H927" s="812">
        <f>ROUND([30]MW!H490,0)</f>
        <v>0</v>
      </c>
      <c r="I927" s="812">
        <f>ROUND([30]MW!I490,0)</f>
        <v>0</v>
      </c>
      <c r="J927" s="812">
        <f>ROUND([30]MW!J490,0)</f>
        <v>0</v>
      </c>
      <c r="K927" s="812">
        <f>ROUND([30]MW!K490,0)</f>
        <v>0</v>
      </c>
      <c r="L927" s="812">
        <f>ROUND([30]MW!L490,0)</f>
        <v>0</v>
      </c>
      <c r="M927" s="812">
        <f>ROUND([30]MW!M490,0)</f>
        <v>600</v>
      </c>
      <c r="N927" s="25">
        <f t="shared" si="627"/>
        <v>900</v>
      </c>
      <c r="Q927" s="335"/>
      <c r="R927" s="335"/>
      <c r="S927" s="335"/>
      <c r="T927" s="335"/>
      <c r="U927" s="335"/>
      <c r="V927" s="335"/>
      <c r="W927" s="335"/>
      <c r="X927" s="335"/>
      <c r="Y927" s="335"/>
      <c r="Z927" s="335"/>
      <c r="AA927" s="335"/>
      <c r="AB927" s="335"/>
      <c r="AC927" s="37"/>
    </row>
    <row r="928" spans="1:29">
      <c r="A928" s="2">
        <f t="shared" si="628"/>
        <v>2015</v>
      </c>
      <c r="B928" s="812">
        <f>ROUND([30]MW!B491,0)</f>
        <v>600</v>
      </c>
      <c r="C928" s="812">
        <f>ROUND([30]MW!C491,0)</f>
        <v>600</v>
      </c>
      <c r="D928" s="812">
        <f>ROUND([30]MW!D491,0)</f>
        <v>600</v>
      </c>
      <c r="E928" s="812">
        <f>ROUND([30]MW!E491,0)</f>
        <v>0</v>
      </c>
      <c r="F928" s="812">
        <f>ROUND([30]MW!F491,0)</f>
        <v>0</v>
      </c>
      <c r="G928" s="812">
        <f>ROUND([30]MW!G491,0)</f>
        <v>0</v>
      </c>
      <c r="H928" s="812">
        <f>ROUND([30]MW!H491,0)</f>
        <v>0</v>
      </c>
      <c r="I928" s="812">
        <f>ROUND([30]MW!I491,0)</f>
        <v>0</v>
      </c>
      <c r="J928" s="812">
        <f>ROUND([30]MW!J491,0)</f>
        <v>0</v>
      </c>
      <c r="K928" s="812">
        <f>ROUND([30]MW!K491,0)</f>
        <v>0</v>
      </c>
      <c r="L928" s="812">
        <f>ROUND([30]MW!L491,0)</f>
        <v>0</v>
      </c>
      <c r="M928" s="812">
        <f>ROUND([30]MW!M491,0)</f>
        <v>600</v>
      </c>
      <c r="N928" s="25">
        <f t="shared" si="627"/>
        <v>2400</v>
      </c>
      <c r="Q928" s="335"/>
      <c r="R928" s="335"/>
      <c r="S928" s="335"/>
      <c r="T928" s="335"/>
      <c r="U928" s="335"/>
      <c r="V928" s="335"/>
      <c r="W928" s="335"/>
      <c r="X928" s="335"/>
      <c r="Y928" s="335"/>
      <c r="Z928" s="335"/>
      <c r="AA928" s="335"/>
      <c r="AB928" s="335"/>
      <c r="AC928" s="37"/>
    </row>
    <row r="929" spans="1:29">
      <c r="A929" s="2">
        <f t="shared" si="628"/>
        <v>2016</v>
      </c>
      <c r="B929" s="812">
        <f>ROUND([30]MW!B492,0)</f>
        <v>600</v>
      </c>
      <c r="C929" s="812">
        <f>ROUND([30]MW!C492,0)</f>
        <v>600</v>
      </c>
      <c r="D929" s="812">
        <f>ROUND([30]MW!D492,0)</f>
        <v>600</v>
      </c>
      <c r="E929" s="812">
        <f>ROUND([30]MW!E492,0)</f>
        <v>0</v>
      </c>
      <c r="F929" s="812">
        <f>ROUND([30]MW!F492,0)</f>
        <v>0</v>
      </c>
      <c r="G929" s="812">
        <f>ROUND([30]MW!G492,0)</f>
        <v>0</v>
      </c>
      <c r="H929" s="812">
        <f>ROUND([30]MW!H492,0)</f>
        <v>0</v>
      </c>
      <c r="I929" s="812">
        <f>ROUND([30]MW!I492,0)</f>
        <v>0</v>
      </c>
      <c r="J929" s="812">
        <f>ROUND([30]MW!J492,0)</f>
        <v>0</v>
      </c>
      <c r="K929" s="812">
        <f>ROUND([30]MW!K492,0)</f>
        <v>0</v>
      </c>
      <c r="L929" s="812">
        <f>ROUND([30]MW!L492,0)</f>
        <v>0</v>
      </c>
      <c r="M929" s="812">
        <f>ROUND([30]MW!M492,0)</f>
        <v>600</v>
      </c>
      <c r="N929" s="25">
        <f t="shared" si="627"/>
        <v>2400</v>
      </c>
      <c r="Q929" s="335"/>
      <c r="R929" s="335"/>
      <c r="S929" s="335"/>
      <c r="T929" s="335"/>
      <c r="U929" s="335"/>
      <c r="V929" s="335"/>
      <c r="W929" s="335"/>
      <c r="X929" s="335"/>
      <c r="Y929" s="335"/>
      <c r="Z929" s="335"/>
      <c r="AA929" s="335"/>
      <c r="AB929" s="335"/>
      <c r="AC929" s="37"/>
    </row>
    <row r="930" spans="1:29">
      <c r="A930" s="2">
        <f t="shared" si="628"/>
        <v>2017</v>
      </c>
      <c r="B930" s="812">
        <f>ROUND([30]MW!B493,0)</f>
        <v>600</v>
      </c>
      <c r="C930" s="812">
        <f>ROUND([30]MW!C493,0)</f>
        <v>600</v>
      </c>
      <c r="D930" s="812">
        <f>ROUND([30]MW!D493,0)</f>
        <v>600</v>
      </c>
      <c r="E930" s="812">
        <f>ROUND([30]MW!E493,0)</f>
        <v>0</v>
      </c>
      <c r="F930" s="812">
        <f>ROUND([30]MW!F493,0)</f>
        <v>0</v>
      </c>
      <c r="G930" s="812">
        <f>ROUND([30]MW!G493,0)</f>
        <v>100</v>
      </c>
      <c r="H930" s="812">
        <f>ROUND([30]MW!H493,0)</f>
        <v>100</v>
      </c>
      <c r="I930" s="812">
        <f>ROUND([30]MW!I493,0)</f>
        <v>100</v>
      </c>
      <c r="J930" s="812">
        <f>ROUND([30]MW!J493,0)</f>
        <v>100</v>
      </c>
      <c r="K930" s="812">
        <f>ROUND([30]MW!K493,0)</f>
        <v>0</v>
      </c>
      <c r="L930" s="812">
        <f>ROUND([30]MW!L493,0)</f>
        <v>0</v>
      </c>
      <c r="M930" s="812">
        <f>ROUND([30]MW!M493,0)</f>
        <v>600</v>
      </c>
      <c r="N930" s="25">
        <f t="shared" si="627"/>
        <v>2800</v>
      </c>
      <c r="Q930" s="335"/>
      <c r="R930" s="335"/>
      <c r="S930" s="335"/>
      <c r="T930" s="335"/>
      <c r="U930" s="335"/>
      <c r="V930" s="335"/>
      <c r="W930" s="335"/>
      <c r="X930" s="335"/>
      <c r="Y930" s="335"/>
      <c r="Z930" s="335"/>
      <c r="AA930" s="335"/>
      <c r="AB930" s="335"/>
      <c r="AC930" s="37"/>
    </row>
    <row r="931" spans="1:29">
      <c r="A931" s="2">
        <f t="shared" si="628"/>
        <v>2018</v>
      </c>
      <c r="B931" s="812">
        <f>ROUND([30]MW!B494,0)</f>
        <v>600</v>
      </c>
      <c r="C931" s="812">
        <f>ROUND([30]MW!C494,0)</f>
        <v>600</v>
      </c>
      <c r="D931" s="812">
        <f>ROUND([30]MW!D494,0)</f>
        <v>600</v>
      </c>
      <c r="E931" s="812">
        <f>ROUND([30]MW!E494,0)</f>
        <v>0</v>
      </c>
      <c r="F931" s="812">
        <f>ROUND([30]MW!F494,0)</f>
        <v>0</v>
      </c>
      <c r="G931" s="812">
        <f>ROUND([30]MW!G494,0)</f>
        <v>100</v>
      </c>
      <c r="H931" s="812">
        <f>ROUND([30]MW!H494,0)</f>
        <v>100</v>
      </c>
      <c r="I931" s="812">
        <f>ROUND([30]MW!I494,0)</f>
        <v>100</v>
      </c>
      <c r="J931" s="812">
        <f>ROUND([30]MW!J494,0)</f>
        <v>100</v>
      </c>
      <c r="K931" s="812">
        <f>ROUND([30]MW!K494,0)</f>
        <v>0</v>
      </c>
      <c r="L931" s="812">
        <f>ROUND([30]MW!L494,0)</f>
        <v>0</v>
      </c>
      <c r="M931" s="812">
        <f>ROUND([30]MW!M494,0)</f>
        <v>600</v>
      </c>
      <c r="N931" s="25">
        <f t="shared" si="627"/>
        <v>2800</v>
      </c>
      <c r="Q931" s="335"/>
      <c r="R931" s="335"/>
      <c r="S931" s="335"/>
      <c r="T931" s="335"/>
      <c r="U931" s="335"/>
      <c r="V931" s="335"/>
      <c r="W931" s="335"/>
      <c r="X931" s="335"/>
      <c r="Y931" s="335"/>
      <c r="Z931" s="335"/>
      <c r="AA931" s="335"/>
      <c r="AB931" s="335"/>
      <c r="AC931" s="37"/>
    </row>
    <row r="932" spans="1:29">
      <c r="A932" s="2">
        <f t="shared" si="628"/>
        <v>2019</v>
      </c>
      <c r="B932" s="812">
        <f>ROUND([30]MW!B495,0)</f>
        <v>600</v>
      </c>
      <c r="C932" s="812">
        <f>ROUND([30]MW!C495,0)</f>
        <v>600</v>
      </c>
      <c r="D932" s="812">
        <f>ROUND([30]MW!D495,0)</f>
        <v>600</v>
      </c>
      <c r="E932" s="812">
        <f>ROUND([30]MW!E495,0)</f>
        <v>0</v>
      </c>
      <c r="F932" s="812">
        <f>ROUND([30]MW!F495,0)</f>
        <v>0</v>
      </c>
      <c r="G932" s="812">
        <f>ROUND([30]MW!G495,0)</f>
        <v>100</v>
      </c>
      <c r="H932" s="812">
        <f>ROUND([30]MW!H495,0)</f>
        <v>100</v>
      </c>
      <c r="I932" s="812">
        <f>ROUND([30]MW!I495,0)</f>
        <v>100</v>
      </c>
      <c r="J932" s="812">
        <f>ROUND([30]MW!J495,0)</f>
        <v>100</v>
      </c>
      <c r="K932" s="812">
        <f>ROUND([30]MW!K495,0)</f>
        <v>0</v>
      </c>
      <c r="L932" s="812">
        <f>ROUND([30]MW!L495,0)</f>
        <v>0</v>
      </c>
      <c r="M932" s="812">
        <f>ROUND([30]MW!M495,0)</f>
        <v>600</v>
      </c>
      <c r="N932" s="25">
        <f t="shared" si="627"/>
        <v>2800</v>
      </c>
      <c r="Q932" s="335"/>
      <c r="R932" s="335"/>
      <c r="S932" s="335"/>
      <c r="T932" s="335"/>
      <c r="U932" s="335"/>
      <c r="V932" s="335"/>
      <c r="W932" s="335"/>
      <c r="X932" s="335"/>
      <c r="Y932" s="335"/>
      <c r="Z932" s="335"/>
      <c r="AA932" s="335"/>
      <c r="AB932" s="335"/>
      <c r="AC932" s="37"/>
    </row>
    <row r="933" spans="1:29">
      <c r="A933" s="2">
        <f t="shared" si="628"/>
        <v>2020</v>
      </c>
      <c r="B933" s="812">
        <f>ROUND([30]MW!B496,0)</f>
        <v>600</v>
      </c>
      <c r="C933" s="812">
        <f>ROUND([30]MW!C496,0)</f>
        <v>600</v>
      </c>
      <c r="D933" s="812">
        <f>ROUND([30]MW!D496,0)</f>
        <v>600</v>
      </c>
      <c r="E933" s="812">
        <f>ROUND([30]MW!E496,0)</f>
        <v>0</v>
      </c>
      <c r="F933" s="812">
        <f>ROUND([30]MW!F496,0)</f>
        <v>0</v>
      </c>
      <c r="G933" s="812">
        <f>ROUND([30]MW!G496,0)</f>
        <v>100</v>
      </c>
      <c r="H933" s="812">
        <f>ROUND([30]MW!H496,0)</f>
        <v>100</v>
      </c>
      <c r="I933" s="812">
        <f>ROUND([30]MW!I496,0)</f>
        <v>100</v>
      </c>
      <c r="J933" s="812">
        <f>ROUND([30]MW!J496,0)</f>
        <v>100</v>
      </c>
      <c r="K933" s="812">
        <f>ROUND([30]MW!K496,0)</f>
        <v>0</v>
      </c>
      <c r="L933" s="812">
        <f>ROUND([30]MW!L496,0)</f>
        <v>0</v>
      </c>
      <c r="M933" s="812">
        <f>ROUND([30]MW!M496,0)</f>
        <v>600</v>
      </c>
      <c r="N933" s="25">
        <f t="shared" si="627"/>
        <v>2800</v>
      </c>
      <c r="O933"/>
      <c r="Q933" s="335"/>
      <c r="R933" s="335"/>
      <c r="S933" s="335"/>
      <c r="T933" s="335"/>
      <c r="U933" s="335"/>
      <c r="V933" s="335"/>
      <c r="W933" s="335"/>
      <c r="X933" s="335"/>
      <c r="Y933" s="335"/>
      <c r="Z933" s="335"/>
      <c r="AA933" s="335"/>
      <c r="AB933" s="335"/>
      <c r="AC933" s="37"/>
    </row>
    <row r="934" spans="1:29">
      <c r="A934" s="2">
        <f t="shared" si="628"/>
        <v>2021</v>
      </c>
      <c r="B934" s="812">
        <f>ROUND([30]MW!B497,0)</f>
        <v>600</v>
      </c>
      <c r="C934" s="812">
        <f>ROUND([30]MW!C497,0)</f>
        <v>600</v>
      </c>
      <c r="D934" s="812">
        <f>ROUND([30]MW!D497,0)</f>
        <v>600</v>
      </c>
      <c r="E934" s="812">
        <f>ROUND([30]MW!E497,0)</f>
        <v>0</v>
      </c>
      <c r="F934" s="812">
        <f>ROUND([30]MW!F497,0)</f>
        <v>0</v>
      </c>
      <c r="G934" s="812">
        <f>ROUND([30]MW!G497,0)</f>
        <v>0</v>
      </c>
      <c r="H934" s="812">
        <f>ROUND([30]MW!H497,0)</f>
        <v>0</v>
      </c>
      <c r="I934" s="812">
        <f>ROUND([30]MW!I497,0)</f>
        <v>0</v>
      </c>
      <c r="J934" s="812">
        <f>ROUND([30]MW!J497,0)</f>
        <v>0</v>
      </c>
      <c r="K934" s="812">
        <f>ROUND([30]MW!K497,0)</f>
        <v>0</v>
      </c>
      <c r="L934" s="812">
        <f>ROUND([30]MW!L497,0)</f>
        <v>0</v>
      </c>
      <c r="M934" s="812">
        <f>ROUND([30]MW!M497,0)</f>
        <v>600</v>
      </c>
      <c r="N934" s="25">
        <f t="shared" ref="N934:N939" si="629">SUM(B934:M934)</f>
        <v>2400</v>
      </c>
      <c r="O934"/>
      <c r="Q934" s="335"/>
      <c r="R934" s="335"/>
      <c r="S934" s="335"/>
      <c r="T934" s="335"/>
      <c r="U934" s="335"/>
      <c r="V934" s="335"/>
      <c r="W934" s="335"/>
      <c r="X934" s="335"/>
      <c r="Y934" s="335"/>
      <c r="Z934" s="335"/>
      <c r="AA934" s="335"/>
      <c r="AB934" s="335"/>
      <c r="AC934" s="37"/>
    </row>
    <row r="935" spans="1:29">
      <c r="A935" s="2">
        <f t="shared" si="628"/>
        <v>2022</v>
      </c>
      <c r="B935" s="812">
        <f>ROUND([30]MW!B498,0)</f>
        <v>600</v>
      </c>
      <c r="C935" s="812">
        <f>ROUND([30]MW!C498,0)</f>
        <v>600</v>
      </c>
      <c r="D935" s="812">
        <f>ROUND([30]MW!D498,0)</f>
        <v>600</v>
      </c>
      <c r="E935" s="812">
        <f>ROUND([30]MW!E498,0)</f>
        <v>0</v>
      </c>
      <c r="F935" s="812">
        <f>ROUND([30]MW!F498,0)</f>
        <v>0</v>
      </c>
      <c r="G935" s="812">
        <f>ROUND([30]MW!G498,0)</f>
        <v>0</v>
      </c>
      <c r="H935" s="812">
        <f>ROUND([30]MW!H498,0)</f>
        <v>0</v>
      </c>
      <c r="I935" s="812">
        <f>ROUND([30]MW!I498,0)</f>
        <v>0</v>
      </c>
      <c r="J935" s="812">
        <f>ROUND([30]MW!J498,0)</f>
        <v>0</v>
      </c>
      <c r="K935" s="812">
        <f>ROUND([30]MW!K498,0)</f>
        <v>0</v>
      </c>
      <c r="L935" s="812">
        <f>ROUND([30]MW!L498,0)</f>
        <v>0</v>
      </c>
      <c r="M935" s="812">
        <f>ROUND([30]MW!M498,0)</f>
        <v>600</v>
      </c>
      <c r="N935" s="25">
        <f t="shared" si="629"/>
        <v>2400</v>
      </c>
      <c r="O935"/>
      <c r="Q935" s="335"/>
      <c r="R935" s="335"/>
      <c r="S935" s="335"/>
      <c r="T935" s="335"/>
      <c r="U935" s="335"/>
      <c r="V935" s="335"/>
      <c r="W935" s="335"/>
      <c r="X935" s="335"/>
      <c r="Y935" s="335"/>
      <c r="Z935" s="335"/>
      <c r="AA935" s="335"/>
      <c r="AB935" s="335"/>
      <c r="AC935" s="37"/>
    </row>
    <row r="936" spans="1:29">
      <c r="A936" s="2">
        <f t="shared" si="628"/>
        <v>2023</v>
      </c>
      <c r="B936" s="812">
        <f>ROUND([30]MW!B499,0)</f>
        <v>600</v>
      </c>
      <c r="C936" s="812">
        <f>ROUND([30]MW!C499,0)</f>
        <v>600</v>
      </c>
      <c r="D936" s="812">
        <f>ROUND([30]MW!D499,0)</f>
        <v>600</v>
      </c>
      <c r="E936" s="812">
        <f>ROUND([30]MW!E499,0)</f>
        <v>0</v>
      </c>
      <c r="F936" s="812">
        <f>ROUND([30]MW!F499,0)</f>
        <v>0</v>
      </c>
      <c r="G936" s="812">
        <f>ROUND([30]MW!G499,0)</f>
        <v>0</v>
      </c>
      <c r="H936" s="812">
        <f>ROUND([30]MW!H499,0)</f>
        <v>0</v>
      </c>
      <c r="I936" s="812">
        <f>ROUND([30]MW!I499,0)</f>
        <v>0</v>
      </c>
      <c r="J936" s="812">
        <f>ROUND([30]MW!J499,0)</f>
        <v>0</v>
      </c>
      <c r="K936" s="812">
        <f>ROUND([30]MW!K499,0)</f>
        <v>0</v>
      </c>
      <c r="L936" s="812">
        <f>ROUND([30]MW!L499,0)</f>
        <v>0</v>
      </c>
      <c r="M936" s="812">
        <f>ROUND([30]MW!M499,0)</f>
        <v>600</v>
      </c>
      <c r="N936" s="25">
        <f t="shared" si="629"/>
        <v>2400</v>
      </c>
      <c r="O936"/>
      <c r="Q936" s="335"/>
      <c r="R936" s="335"/>
      <c r="S936" s="335"/>
      <c r="T936" s="335"/>
      <c r="U936" s="335"/>
      <c r="V936" s="335"/>
      <c r="W936" s="335"/>
      <c r="X936" s="335"/>
      <c r="Y936" s="335"/>
      <c r="Z936" s="335"/>
      <c r="AA936" s="335"/>
      <c r="AB936" s="335"/>
      <c r="AC936" s="37"/>
    </row>
    <row r="937" spans="1:29">
      <c r="A937" s="2">
        <f t="shared" si="628"/>
        <v>2024</v>
      </c>
      <c r="B937" s="812">
        <f>ROUND([30]MW!B500,0)</f>
        <v>600</v>
      </c>
      <c r="C937" s="812">
        <f>ROUND([30]MW!C500,0)</f>
        <v>600</v>
      </c>
      <c r="D937" s="812">
        <f>ROUND([30]MW!D500,0)</f>
        <v>600</v>
      </c>
      <c r="E937" s="812">
        <f>ROUND([30]MW!E500,0)</f>
        <v>0</v>
      </c>
      <c r="F937" s="812">
        <f>ROUND([30]MW!F500,0)</f>
        <v>0</v>
      </c>
      <c r="G937" s="812">
        <f>ROUND([30]MW!G500,0)</f>
        <v>0</v>
      </c>
      <c r="H937" s="812">
        <f>ROUND([30]MW!H500,0)</f>
        <v>0</v>
      </c>
      <c r="I937" s="812">
        <f>ROUND([30]MW!I500,0)</f>
        <v>0</v>
      </c>
      <c r="J937" s="812">
        <f>ROUND([30]MW!J500,0)</f>
        <v>0</v>
      </c>
      <c r="K937" s="812">
        <f>ROUND([30]MW!K500,0)</f>
        <v>0</v>
      </c>
      <c r="L937" s="812">
        <f>ROUND([30]MW!L500,0)</f>
        <v>0</v>
      </c>
      <c r="M937" s="812">
        <f>ROUND([30]MW!M500,0)</f>
        <v>600</v>
      </c>
      <c r="N937" s="25">
        <f t="shared" si="629"/>
        <v>2400</v>
      </c>
      <c r="O937"/>
      <c r="Q937" s="335"/>
      <c r="R937" s="335"/>
      <c r="S937" s="335"/>
      <c r="T937" s="335"/>
      <c r="U937" s="335"/>
      <c r="V937" s="335"/>
      <c r="W937" s="335"/>
      <c r="X937" s="335"/>
      <c r="Y937" s="335"/>
      <c r="Z937" s="335"/>
      <c r="AA937" s="335"/>
      <c r="AB937" s="335"/>
      <c r="AC937" s="37"/>
    </row>
    <row r="938" spans="1:29">
      <c r="A938" s="2">
        <f t="shared" si="628"/>
        <v>2025</v>
      </c>
      <c r="B938" s="812">
        <f>ROUND([30]MW!B501,0)</f>
        <v>600</v>
      </c>
      <c r="C938" s="812">
        <f>ROUND([30]MW!C501,0)</f>
        <v>600</v>
      </c>
      <c r="D938" s="812">
        <f>ROUND([30]MW!D501,0)</f>
        <v>600</v>
      </c>
      <c r="E938" s="812">
        <f>ROUND([30]MW!E501,0)</f>
        <v>0</v>
      </c>
      <c r="F938" s="812">
        <f>ROUND([30]MW!F501,0)</f>
        <v>0</v>
      </c>
      <c r="G938" s="812">
        <f>ROUND([30]MW!G501,0)</f>
        <v>0</v>
      </c>
      <c r="H938" s="812">
        <f>ROUND([30]MW!H501,0)</f>
        <v>0</v>
      </c>
      <c r="I938" s="812">
        <f>ROUND([30]MW!I501,0)</f>
        <v>0</v>
      </c>
      <c r="J938" s="812">
        <f>ROUND([30]MW!J501,0)</f>
        <v>0</v>
      </c>
      <c r="K938" s="812">
        <f>ROUND([30]MW!K501,0)</f>
        <v>0</v>
      </c>
      <c r="L938" s="812">
        <f>ROUND([30]MW!L501,0)</f>
        <v>0</v>
      </c>
      <c r="M938" s="812">
        <f>ROUND([30]MW!M501,0)</f>
        <v>600</v>
      </c>
      <c r="N938" s="25">
        <f t="shared" si="629"/>
        <v>2400</v>
      </c>
      <c r="O938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  <c r="AA938" s="335"/>
      <c r="AB938" s="335"/>
      <c r="AC938" s="37"/>
    </row>
    <row r="939" spans="1:29">
      <c r="A939" s="2">
        <f t="shared" si="628"/>
        <v>2026</v>
      </c>
      <c r="B939" s="812">
        <f>ROUND([30]MW!B502,0)</f>
        <v>600</v>
      </c>
      <c r="C939" s="812">
        <f>ROUND([30]MW!C502,0)</f>
        <v>600</v>
      </c>
      <c r="D939" s="812">
        <f>ROUND([30]MW!D502,0)</f>
        <v>600</v>
      </c>
      <c r="E939" s="812">
        <f>ROUND([30]MW!E502,0)</f>
        <v>0</v>
      </c>
      <c r="F939" s="812">
        <f>ROUND([30]MW!F502,0)</f>
        <v>0</v>
      </c>
      <c r="G939" s="812">
        <f>ROUND([30]MW!G502,0)</f>
        <v>0</v>
      </c>
      <c r="H939" s="812">
        <f>ROUND([30]MW!H502,0)</f>
        <v>0</v>
      </c>
      <c r="I939" s="812">
        <f>ROUND([30]MW!I502,0)</f>
        <v>0</v>
      </c>
      <c r="J939" s="812">
        <f>ROUND([30]MW!J502,0)</f>
        <v>0</v>
      </c>
      <c r="K939" s="812">
        <f>ROUND([30]MW!K502,0)</f>
        <v>0</v>
      </c>
      <c r="L939" s="812">
        <f>ROUND([30]MW!L502,0)</f>
        <v>0</v>
      </c>
      <c r="M939" s="812">
        <f>ROUND([30]MW!M502,0)</f>
        <v>600</v>
      </c>
      <c r="N939" s="25">
        <f t="shared" si="629"/>
        <v>2400</v>
      </c>
      <c r="O939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  <c r="AA939" s="335"/>
      <c r="AB939" s="335"/>
      <c r="AC939" s="37"/>
    </row>
    <row r="940" spans="1:29">
      <c r="A940" s="2">
        <f t="shared" si="628"/>
        <v>2027</v>
      </c>
      <c r="B940" s="812">
        <f>ROUND([30]MW!B503,0)</f>
        <v>600</v>
      </c>
      <c r="C940" s="812">
        <f>ROUND([30]MW!C503,0)</f>
        <v>600</v>
      </c>
      <c r="D940" s="812">
        <f>ROUND([30]MW!D503,0)</f>
        <v>600</v>
      </c>
      <c r="E940" s="812">
        <f>ROUND([30]MW!E503,0)</f>
        <v>0</v>
      </c>
      <c r="F940" s="812">
        <f>ROUND([30]MW!F503,0)</f>
        <v>0</v>
      </c>
      <c r="G940" s="812">
        <f>ROUND([30]MW!G503,0)</f>
        <v>0</v>
      </c>
      <c r="H940" s="812">
        <f>ROUND([30]MW!H503,0)</f>
        <v>0</v>
      </c>
      <c r="I940" s="812">
        <f>ROUND([30]MW!I503,0)</f>
        <v>0</v>
      </c>
      <c r="J940" s="812">
        <f>ROUND([30]MW!J503,0)</f>
        <v>0</v>
      </c>
      <c r="K940" s="812">
        <f>ROUND([30]MW!K503,0)</f>
        <v>0</v>
      </c>
      <c r="L940" s="812">
        <f>ROUND([30]MW!L503,0)</f>
        <v>0</v>
      </c>
      <c r="M940" s="812">
        <f>ROUND([30]MW!M503,0)</f>
        <v>600</v>
      </c>
      <c r="N940" s="25">
        <f>SUM(B940:M940)</f>
        <v>2400</v>
      </c>
      <c r="O940"/>
      <c r="Q940" s="335"/>
      <c r="R940" s="335"/>
      <c r="S940" s="335"/>
      <c r="T940" s="335"/>
      <c r="U940" s="335"/>
      <c r="V940" s="335"/>
      <c r="W940" s="335"/>
      <c r="X940" s="335"/>
      <c r="Y940" s="335"/>
      <c r="Z940" s="335"/>
      <c r="AA940" s="335"/>
      <c r="AB940" s="335"/>
      <c r="AC940" s="37"/>
    </row>
    <row r="941" spans="1:29">
      <c r="A941" s="2">
        <f t="shared" si="628"/>
        <v>2028</v>
      </c>
      <c r="B941" s="812">
        <f>ROUND([30]MW!B504,0)</f>
        <v>600</v>
      </c>
      <c r="C941" s="812">
        <f>ROUND([30]MW!C504,0)</f>
        <v>600</v>
      </c>
      <c r="D941" s="812">
        <f>ROUND([30]MW!D504,0)</f>
        <v>600</v>
      </c>
      <c r="E941" s="812">
        <f>ROUND([30]MW!E504,0)</f>
        <v>0</v>
      </c>
      <c r="F941" s="812">
        <f>ROUND([30]MW!F504,0)</f>
        <v>0</v>
      </c>
      <c r="G941" s="812">
        <f>ROUND([30]MW!G504,0)</f>
        <v>0</v>
      </c>
      <c r="H941" s="812">
        <f>ROUND([30]MW!H504,0)</f>
        <v>0</v>
      </c>
      <c r="I941" s="812">
        <f>ROUND([30]MW!I504,0)</f>
        <v>0</v>
      </c>
      <c r="J941" s="812">
        <f>ROUND([30]MW!J504,0)</f>
        <v>0</v>
      </c>
      <c r="K941" s="812">
        <f>ROUND([30]MW!K504,0)</f>
        <v>0</v>
      </c>
      <c r="L941" s="812">
        <f>ROUND([30]MW!L504,0)</f>
        <v>0</v>
      </c>
      <c r="M941" s="812">
        <f>ROUND([30]MW!M504,0)</f>
        <v>600</v>
      </c>
      <c r="N941" s="25">
        <f>SUM(B941:M941)</f>
        <v>2400</v>
      </c>
      <c r="O941"/>
      <c r="Q941" s="335"/>
      <c r="R941" s="335"/>
      <c r="S941" s="335"/>
      <c r="T941" s="335"/>
      <c r="U941" s="335"/>
      <c r="V941" s="335"/>
      <c r="W941" s="335"/>
      <c r="X941" s="335"/>
      <c r="Y941" s="335"/>
      <c r="Z941" s="335"/>
      <c r="AA941" s="335"/>
      <c r="AB941" s="335"/>
      <c r="AC941" s="37"/>
    </row>
    <row r="942" spans="1:29">
      <c r="A942" s="2">
        <f t="shared" si="628"/>
        <v>2029</v>
      </c>
      <c r="B942" s="812">
        <f>ROUND([30]MW!B505,0)</f>
        <v>600</v>
      </c>
      <c r="C942" s="812">
        <f>ROUND([30]MW!C505,0)</f>
        <v>600</v>
      </c>
      <c r="D942" s="812">
        <f>ROUND([30]MW!D505,0)</f>
        <v>600</v>
      </c>
      <c r="E942" s="812">
        <f>ROUND([30]MW!E505,0)</f>
        <v>0</v>
      </c>
      <c r="F942" s="812">
        <f>ROUND([30]MW!F505,0)</f>
        <v>0</v>
      </c>
      <c r="G942" s="812">
        <f>ROUND([30]MW!G505,0)</f>
        <v>0</v>
      </c>
      <c r="H942" s="812">
        <f>ROUND([30]MW!H505,0)</f>
        <v>0</v>
      </c>
      <c r="I942" s="812">
        <f>ROUND([30]MW!I505,0)</f>
        <v>0</v>
      </c>
      <c r="J942" s="812">
        <f>ROUND([30]MW!J505,0)</f>
        <v>0</v>
      </c>
      <c r="K942" s="812">
        <f>ROUND([30]MW!K505,0)</f>
        <v>0</v>
      </c>
      <c r="L942" s="812">
        <f>ROUND([30]MW!L505,0)</f>
        <v>0</v>
      </c>
      <c r="M942" s="812">
        <f>ROUND([30]MW!M505,0)</f>
        <v>600</v>
      </c>
      <c r="N942" s="25">
        <f>SUM(B942:M942)</f>
        <v>2400</v>
      </c>
      <c r="O942"/>
      <c r="Q942" s="335"/>
      <c r="R942" s="335"/>
      <c r="S942" s="335"/>
      <c r="T942" s="335"/>
      <c r="U942" s="335"/>
      <c r="V942" s="335"/>
      <c r="W942" s="335"/>
      <c r="X942" s="335"/>
      <c r="Y942" s="335"/>
      <c r="Z942" s="335"/>
      <c r="AA942" s="335"/>
      <c r="AB942" s="335"/>
      <c r="AC942" s="37"/>
    </row>
    <row r="943" spans="1:29">
      <c r="A943" s="2">
        <f t="shared" si="628"/>
        <v>2030</v>
      </c>
      <c r="B943" s="812">
        <f>ROUND([30]MW!B506,0)</f>
        <v>600</v>
      </c>
      <c r="C943" s="812">
        <f>ROUND([30]MW!C506,0)</f>
        <v>600</v>
      </c>
      <c r="D943" s="812">
        <f>ROUND([30]MW!D506,0)</f>
        <v>600</v>
      </c>
      <c r="E943" s="812">
        <f>ROUND([30]MW!E506,0)</f>
        <v>0</v>
      </c>
      <c r="F943" s="812">
        <f>ROUND([30]MW!F506,0)</f>
        <v>0</v>
      </c>
      <c r="G943" s="812">
        <f>ROUND([30]MW!G506,0)</f>
        <v>0</v>
      </c>
      <c r="H943" s="812">
        <f>ROUND([30]MW!H506,0)</f>
        <v>0</v>
      </c>
      <c r="I943" s="812">
        <f>ROUND([30]MW!I506,0)</f>
        <v>0</v>
      </c>
      <c r="J943" s="812">
        <f>ROUND([30]MW!J506,0)</f>
        <v>0</v>
      </c>
      <c r="K943" s="812">
        <f>ROUND([30]MW!K506,0)</f>
        <v>0</v>
      </c>
      <c r="L943" s="812">
        <f>ROUND([30]MW!L506,0)</f>
        <v>0</v>
      </c>
      <c r="M943" s="812">
        <f>ROUND([30]MW!M506,0)</f>
        <v>600</v>
      </c>
      <c r="N943" s="25">
        <f>SUM(B943:M943)</f>
        <v>2400</v>
      </c>
      <c r="O943"/>
      <c r="Q943" s="335"/>
      <c r="R943" s="335"/>
      <c r="S943" s="335"/>
      <c r="T943" s="335"/>
      <c r="U943" s="335"/>
      <c r="V943" s="335"/>
      <c r="W943" s="335"/>
      <c r="X943" s="335"/>
      <c r="Y943" s="335"/>
      <c r="Z943" s="335"/>
      <c r="AA943" s="335"/>
      <c r="AB943" s="335"/>
      <c r="AC943" s="37"/>
    </row>
    <row r="944" spans="1:29">
      <c r="A944" s="2">
        <f t="shared" si="628"/>
        <v>2031</v>
      </c>
      <c r="B944" s="812">
        <f>ROUND([30]MW!B507,0)</f>
        <v>600</v>
      </c>
      <c r="C944" s="812">
        <f>ROUND([30]MW!C507,0)</f>
        <v>600</v>
      </c>
      <c r="D944" s="812">
        <f>ROUND([30]MW!D507,0)</f>
        <v>600</v>
      </c>
      <c r="E944" s="812">
        <f>ROUND([30]MW!E507,0)</f>
        <v>0</v>
      </c>
      <c r="F944" s="812">
        <f>ROUND([30]MW!F507,0)</f>
        <v>0</v>
      </c>
      <c r="G944" s="812">
        <f>ROUND([30]MW!G507,0)</f>
        <v>0</v>
      </c>
      <c r="H944" s="812">
        <f>ROUND([30]MW!H507,0)</f>
        <v>0</v>
      </c>
      <c r="I944" s="812">
        <f>ROUND([30]MW!I507,0)</f>
        <v>0</v>
      </c>
      <c r="J944" s="812">
        <f>ROUND([30]MW!J507,0)</f>
        <v>0</v>
      </c>
      <c r="K944" s="812">
        <f>ROUND([30]MW!K507,0)</f>
        <v>0</v>
      </c>
      <c r="L944" s="812">
        <f>ROUND([30]MW!L507,0)</f>
        <v>0</v>
      </c>
      <c r="M944" s="812">
        <f>ROUND([30]MW!M507,0)</f>
        <v>600</v>
      </c>
      <c r="N944" s="25">
        <f t="shared" ref="N944:N953" si="630">SUM(B944:M944)</f>
        <v>2400</v>
      </c>
    </row>
    <row r="945" spans="1:15">
      <c r="A945" s="2">
        <f t="shared" si="628"/>
        <v>2032</v>
      </c>
      <c r="B945" s="812">
        <f>ROUND([30]MW!B508,0)</f>
        <v>600</v>
      </c>
      <c r="C945" s="812">
        <f>ROUND([30]MW!C508,0)</f>
        <v>600</v>
      </c>
      <c r="D945" s="812">
        <f>ROUND([30]MW!D508,0)</f>
        <v>600</v>
      </c>
      <c r="E945" s="812">
        <f>ROUND([30]MW!E508,0)</f>
        <v>0</v>
      </c>
      <c r="F945" s="812">
        <f>ROUND([30]MW!F508,0)</f>
        <v>0</v>
      </c>
      <c r="G945" s="812">
        <f>ROUND([30]MW!G508,0)</f>
        <v>0</v>
      </c>
      <c r="H945" s="812">
        <f>ROUND([30]MW!H508,0)</f>
        <v>0</v>
      </c>
      <c r="I945" s="812">
        <f>ROUND([30]MW!I508,0)</f>
        <v>0</v>
      </c>
      <c r="J945" s="812">
        <f>ROUND([30]MW!J508,0)</f>
        <v>0</v>
      </c>
      <c r="K945" s="812">
        <f>ROUND([30]MW!K508,0)</f>
        <v>0</v>
      </c>
      <c r="L945" s="812">
        <f>ROUND([30]MW!L508,0)</f>
        <v>0</v>
      </c>
      <c r="M945" s="812">
        <f>ROUND([30]MW!M508,0)</f>
        <v>600</v>
      </c>
      <c r="N945" s="25">
        <f t="shared" si="630"/>
        <v>2400</v>
      </c>
    </row>
    <row r="946" spans="1:15">
      <c r="A946" s="2">
        <f t="shared" si="628"/>
        <v>2033</v>
      </c>
      <c r="B946" s="812">
        <f>ROUND([30]MW!B509,0)</f>
        <v>600</v>
      </c>
      <c r="C946" s="812">
        <f>ROUND([30]MW!C509,0)</f>
        <v>600</v>
      </c>
      <c r="D946" s="812">
        <f>ROUND([30]MW!D509,0)</f>
        <v>600</v>
      </c>
      <c r="E946" s="812">
        <f>ROUND([30]MW!E509,0)</f>
        <v>0</v>
      </c>
      <c r="F946" s="812">
        <f>ROUND([30]MW!F509,0)</f>
        <v>0</v>
      </c>
      <c r="G946" s="812">
        <f>ROUND([30]MW!G509,0)</f>
        <v>0</v>
      </c>
      <c r="H946" s="812">
        <f>ROUND([30]MW!H509,0)</f>
        <v>0</v>
      </c>
      <c r="I946" s="812">
        <f>ROUND([30]MW!I509,0)</f>
        <v>0</v>
      </c>
      <c r="J946" s="812">
        <f>ROUND([30]MW!J509,0)</f>
        <v>0</v>
      </c>
      <c r="K946" s="812">
        <f>ROUND([30]MW!K509,0)</f>
        <v>0</v>
      </c>
      <c r="L946" s="812">
        <f>ROUND([30]MW!L509,0)</f>
        <v>0</v>
      </c>
      <c r="M946" s="812">
        <f>ROUND([30]MW!M509,0)</f>
        <v>600</v>
      </c>
      <c r="N946" s="25">
        <f t="shared" si="630"/>
        <v>2400</v>
      </c>
    </row>
    <row r="947" spans="1:15">
      <c r="A947" s="2">
        <f t="shared" si="628"/>
        <v>2034</v>
      </c>
      <c r="B947" s="812">
        <f>ROUND([30]MW!B510,0)</f>
        <v>600</v>
      </c>
      <c r="C947" s="812">
        <f>ROUND([30]MW!C510,0)</f>
        <v>600</v>
      </c>
      <c r="D947" s="812">
        <f>ROUND([30]MW!D510,0)</f>
        <v>600</v>
      </c>
      <c r="E947" s="812">
        <f>ROUND([30]MW!E510,0)</f>
        <v>0</v>
      </c>
      <c r="F947" s="812">
        <f>ROUND([30]MW!F510,0)</f>
        <v>0</v>
      </c>
      <c r="G947" s="812">
        <f>ROUND([30]MW!G510,0)</f>
        <v>0</v>
      </c>
      <c r="H947" s="812">
        <f>ROUND([30]MW!H510,0)</f>
        <v>0</v>
      </c>
      <c r="I947" s="812">
        <f>ROUND([30]MW!I510,0)</f>
        <v>0</v>
      </c>
      <c r="J947" s="812">
        <f>ROUND([30]MW!J510,0)</f>
        <v>0</v>
      </c>
      <c r="K947" s="812">
        <f>ROUND([30]MW!K510,0)</f>
        <v>0</v>
      </c>
      <c r="L947" s="812">
        <f>ROUND([30]MW!L510,0)</f>
        <v>0</v>
      </c>
      <c r="M947" s="812">
        <f>ROUND([30]MW!M510,0)</f>
        <v>600</v>
      </c>
      <c r="N947" s="25">
        <f t="shared" si="630"/>
        <v>2400</v>
      </c>
    </row>
    <row r="948" spans="1:15">
      <c r="A948" s="2">
        <f t="shared" si="628"/>
        <v>2035</v>
      </c>
      <c r="B948" s="812">
        <f>ROUND([30]MW!B511,0)</f>
        <v>600</v>
      </c>
      <c r="C948" s="812">
        <f>ROUND([30]MW!C511,0)</f>
        <v>600</v>
      </c>
      <c r="D948" s="812">
        <f>ROUND([30]MW!D511,0)</f>
        <v>600</v>
      </c>
      <c r="E948" s="812">
        <f>ROUND([30]MW!E511,0)</f>
        <v>0</v>
      </c>
      <c r="F948" s="812">
        <f>ROUND([30]MW!F511,0)</f>
        <v>0</v>
      </c>
      <c r="G948" s="812">
        <f>ROUND([30]MW!G511,0)</f>
        <v>0</v>
      </c>
      <c r="H948" s="812">
        <f>ROUND([30]MW!H511,0)</f>
        <v>0</v>
      </c>
      <c r="I948" s="812">
        <f>ROUND([30]MW!I511,0)</f>
        <v>0</v>
      </c>
      <c r="J948" s="812">
        <f>ROUND([30]MW!J511,0)</f>
        <v>0</v>
      </c>
      <c r="K948" s="812">
        <f>ROUND([30]MW!K511,0)</f>
        <v>0</v>
      </c>
      <c r="L948" s="812">
        <f>ROUND([30]MW!L511,0)</f>
        <v>0</v>
      </c>
      <c r="M948" s="812">
        <f>ROUND([30]MW!M511,0)</f>
        <v>600</v>
      </c>
      <c r="N948" s="25">
        <f t="shared" si="630"/>
        <v>2400</v>
      </c>
    </row>
    <row r="949" spans="1:15">
      <c r="A949" s="2">
        <f t="shared" si="628"/>
        <v>2036</v>
      </c>
      <c r="B949" s="812">
        <f>ROUND([30]MW!B512,0)</f>
        <v>600</v>
      </c>
      <c r="C949" s="812">
        <f>ROUND([30]MW!C512,0)</f>
        <v>600</v>
      </c>
      <c r="D949" s="812">
        <f>ROUND([30]MW!D512,0)</f>
        <v>600</v>
      </c>
      <c r="E949" s="812">
        <f>ROUND([30]MW!E512,0)</f>
        <v>0</v>
      </c>
      <c r="F949" s="812">
        <f>ROUND([30]MW!F512,0)</f>
        <v>0</v>
      </c>
      <c r="G949" s="812">
        <f>ROUND([30]MW!G512,0)</f>
        <v>0</v>
      </c>
      <c r="H949" s="812">
        <f>ROUND([30]MW!H512,0)</f>
        <v>0</v>
      </c>
      <c r="I949" s="812">
        <f>ROUND([30]MW!I512,0)</f>
        <v>0</v>
      </c>
      <c r="J949" s="812">
        <f>ROUND([30]MW!J512,0)</f>
        <v>0</v>
      </c>
      <c r="K949" s="812">
        <f>ROUND([30]MW!K512,0)</f>
        <v>0</v>
      </c>
      <c r="L949" s="812">
        <f>ROUND([30]MW!L512,0)</f>
        <v>0</v>
      </c>
      <c r="M949" s="812">
        <f>ROUND([30]MW!M512,0)</f>
        <v>600</v>
      </c>
      <c r="N949" s="25">
        <f t="shared" si="630"/>
        <v>2400</v>
      </c>
    </row>
    <row r="950" spans="1:15">
      <c r="A950" s="2">
        <f t="shared" si="628"/>
        <v>2037</v>
      </c>
      <c r="B950" s="812">
        <f>ROUND([30]MW!B513,0)</f>
        <v>600</v>
      </c>
      <c r="C950" s="812">
        <f>ROUND([30]MW!C513,0)</f>
        <v>600</v>
      </c>
      <c r="D950" s="812">
        <f>ROUND([30]MW!D513,0)</f>
        <v>600</v>
      </c>
      <c r="E950" s="812">
        <f>ROUND([30]MW!E513,0)</f>
        <v>0</v>
      </c>
      <c r="F950" s="812">
        <f>ROUND([30]MW!F513,0)</f>
        <v>0</v>
      </c>
      <c r="G950" s="812">
        <f>ROUND([30]MW!G513,0)</f>
        <v>0</v>
      </c>
      <c r="H950" s="812">
        <f>ROUND([30]MW!H513,0)</f>
        <v>0</v>
      </c>
      <c r="I950" s="812">
        <f>ROUND([30]MW!I513,0)</f>
        <v>0</v>
      </c>
      <c r="J950" s="812">
        <f>ROUND([30]MW!J513,0)</f>
        <v>0</v>
      </c>
      <c r="K950" s="812">
        <f>ROUND([30]MW!K513,0)</f>
        <v>0</v>
      </c>
      <c r="L950" s="812">
        <f>ROUND([30]MW!L513,0)</f>
        <v>0</v>
      </c>
      <c r="M950" s="812">
        <f>ROUND([30]MW!M513,0)</f>
        <v>600</v>
      </c>
      <c r="N950" s="25">
        <f t="shared" si="630"/>
        <v>2400</v>
      </c>
    </row>
    <row r="951" spans="1:15">
      <c r="A951" s="2">
        <f t="shared" si="628"/>
        <v>2038</v>
      </c>
      <c r="B951" s="812">
        <f>ROUND([30]MW!B514,0)</f>
        <v>600</v>
      </c>
      <c r="C951" s="812">
        <f>ROUND([30]MW!C514,0)</f>
        <v>600</v>
      </c>
      <c r="D951" s="812">
        <f>ROUND([30]MW!D514,0)</f>
        <v>600</v>
      </c>
      <c r="E951" s="812">
        <f>ROUND([30]MW!E514,0)</f>
        <v>0</v>
      </c>
      <c r="F951" s="812">
        <f>ROUND([30]MW!F514,0)</f>
        <v>0</v>
      </c>
      <c r="G951" s="812">
        <f>ROUND([30]MW!G514,0)</f>
        <v>0</v>
      </c>
      <c r="H951" s="812">
        <f>ROUND([30]MW!H514,0)</f>
        <v>0</v>
      </c>
      <c r="I951" s="812">
        <f>ROUND([30]MW!I514,0)</f>
        <v>0</v>
      </c>
      <c r="J951" s="812">
        <f>ROUND([30]MW!J514,0)</f>
        <v>0</v>
      </c>
      <c r="K951" s="812">
        <f>ROUND([30]MW!K514,0)</f>
        <v>0</v>
      </c>
      <c r="L951" s="812">
        <f>ROUND([30]MW!L514,0)</f>
        <v>0</v>
      </c>
      <c r="M951" s="812">
        <f>ROUND([30]MW!M514,0)</f>
        <v>600</v>
      </c>
      <c r="N951" s="25">
        <f t="shared" si="630"/>
        <v>2400</v>
      </c>
    </row>
    <row r="952" spans="1:15">
      <c r="A952" s="2">
        <f t="shared" si="628"/>
        <v>2039</v>
      </c>
      <c r="B952" s="812">
        <f>ROUND([30]MW!B515,0)</f>
        <v>600</v>
      </c>
      <c r="C952" s="812">
        <f>ROUND([30]MW!C515,0)</f>
        <v>600</v>
      </c>
      <c r="D952" s="812">
        <f>ROUND([30]MW!D515,0)</f>
        <v>600</v>
      </c>
      <c r="E952" s="812">
        <f>ROUND([30]MW!E515,0)</f>
        <v>0</v>
      </c>
      <c r="F952" s="812">
        <f>ROUND([30]MW!F515,0)</f>
        <v>0</v>
      </c>
      <c r="G952" s="812">
        <f>ROUND([30]MW!G515,0)</f>
        <v>0</v>
      </c>
      <c r="H952" s="812">
        <f>ROUND([30]MW!H515,0)</f>
        <v>0</v>
      </c>
      <c r="I952" s="812">
        <f>ROUND([30]MW!I515,0)</f>
        <v>0</v>
      </c>
      <c r="J952" s="812">
        <f>ROUND([30]MW!J515,0)</f>
        <v>0</v>
      </c>
      <c r="K952" s="812">
        <f>ROUND([30]MW!K515,0)</f>
        <v>0</v>
      </c>
      <c r="L952" s="812">
        <f>ROUND([30]MW!L515,0)</f>
        <v>0</v>
      </c>
      <c r="M952" s="812">
        <f>ROUND([30]MW!M515,0)</f>
        <v>600</v>
      </c>
      <c r="N952" s="25">
        <f t="shared" si="630"/>
        <v>2400</v>
      </c>
    </row>
    <row r="953" spans="1:15">
      <c r="A953" s="2">
        <f t="shared" si="628"/>
        <v>2040</v>
      </c>
      <c r="B953" s="812">
        <f>ROUND([30]MW!B516,0)</f>
        <v>600</v>
      </c>
      <c r="C953" s="812">
        <f>ROUND([30]MW!C516,0)</f>
        <v>600</v>
      </c>
      <c r="D953" s="812">
        <f>ROUND([30]MW!D516,0)</f>
        <v>600</v>
      </c>
      <c r="E953" s="812">
        <f>ROUND([30]MW!E516,0)</f>
        <v>0</v>
      </c>
      <c r="F953" s="812">
        <f>ROUND([30]MW!F516,0)</f>
        <v>0</v>
      </c>
      <c r="G953" s="812">
        <f>ROUND([30]MW!G516,0)</f>
        <v>0</v>
      </c>
      <c r="H953" s="812">
        <f>ROUND([30]MW!H516,0)</f>
        <v>0</v>
      </c>
      <c r="I953" s="812">
        <f>ROUND([30]MW!I516,0)</f>
        <v>0</v>
      </c>
      <c r="J953" s="812">
        <f>ROUND([30]MW!J516,0)</f>
        <v>0</v>
      </c>
      <c r="K953" s="812">
        <f>ROUND([30]MW!K516,0)</f>
        <v>0</v>
      </c>
      <c r="L953" s="812">
        <f>ROUND([30]MW!L516,0)</f>
        <v>0</v>
      </c>
      <c r="M953" s="812">
        <f>ROUND([30]MW!M516,0)</f>
        <v>600</v>
      </c>
      <c r="N953" s="25">
        <f t="shared" si="630"/>
        <v>2400</v>
      </c>
    </row>
    <row r="954" spans="1:15">
      <c r="A954" s="2">
        <f t="shared" si="628"/>
        <v>2041</v>
      </c>
    </row>
    <row r="955" spans="1:15">
      <c r="A955" s="2">
        <f t="shared" si="628"/>
        <v>2042</v>
      </c>
    </row>
    <row r="956" spans="1:15">
      <c r="A956" s="2">
        <f t="shared" si="628"/>
        <v>2043</v>
      </c>
    </row>
    <row r="957" spans="1:15">
      <c r="A957" s="2">
        <f t="shared" si="628"/>
        <v>2044</v>
      </c>
    </row>
    <row r="958" spans="1:15">
      <c r="A958" s="2">
        <f t="shared" si="628"/>
        <v>2045</v>
      </c>
      <c r="O958"/>
    </row>
    <row r="960" spans="1:15">
      <c r="A960" s="538"/>
      <c r="B960" s="538"/>
      <c r="C960" s="538"/>
      <c r="D960" s="538"/>
      <c r="E960" s="538"/>
    </row>
    <row r="961" spans="1:14">
      <c r="A961" s="1108" t="s">
        <v>463</v>
      </c>
      <c r="G961" s="192"/>
    </row>
    <row r="962" spans="1:14">
      <c r="A962" s="27" t="s">
        <v>9</v>
      </c>
      <c r="B962" s="27" t="s">
        <v>28</v>
      </c>
      <c r="C962" s="27" t="s">
        <v>29</v>
      </c>
      <c r="D962" s="27" t="s">
        <v>30</v>
      </c>
      <c r="E962" s="27" t="s">
        <v>31</v>
      </c>
      <c r="F962" s="27" t="s">
        <v>32</v>
      </c>
      <c r="G962" s="27" t="s">
        <v>33</v>
      </c>
      <c r="H962" s="27" t="s">
        <v>34</v>
      </c>
      <c r="I962" s="27" t="s">
        <v>35</v>
      </c>
      <c r="J962" s="27" t="s">
        <v>36</v>
      </c>
      <c r="K962" s="27" t="s">
        <v>37</v>
      </c>
      <c r="L962" s="27" t="s">
        <v>38</v>
      </c>
      <c r="M962" s="27" t="s">
        <v>39</v>
      </c>
      <c r="N962" s="33" t="s">
        <v>56</v>
      </c>
    </row>
    <row r="963" spans="1:14">
      <c r="A963" s="2">
        <f>A923</f>
        <v>2010</v>
      </c>
      <c r="B963" s="34">
        <f>[30]MW!B526</f>
        <v>0</v>
      </c>
      <c r="C963" s="34">
        <f>[30]MW!C526</f>
        <v>0</v>
      </c>
      <c r="D963" s="34">
        <f>[30]MW!D526</f>
        <v>0</v>
      </c>
      <c r="E963" s="34">
        <f>[30]MW!E526</f>
        <v>0</v>
      </c>
      <c r="F963" s="34">
        <f>[30]MW!F526</f>
        <v>0</v>
      </c>
      <c r="G963" s="34">
        <f>[30]MW!G526</f>
        <v>0</v>
      </c>
      <c r="H963" s="34">
        <f>[30]MW!H526</f>
        <v>0</v>
      </c>
      <c r="I963" s="34">
        <f>[30]MW!I526</f>
        <v>0</v>
      </c>
      <c r="J963" s="34">
        <f>[30]MW!J526</f>
        <v>0</v>
      </c>
      <c r="K963" s="34">
        <f>[30]MW!K526</f>
        <v>0</v>
      </c>
      <c r="L963" s="34">
        <f>[30]MW!L526</f>
        <v>0</v>
      </c>
      <c r="M963" s="34">
        <f>[30]MW!M526</f>
        <v>0</v>
      </c>
      <c r="N963" s="25">
        <f t="shared" ref="N963:N973" si="631">SUM(B963:M963)</f>
        <v>0</v>
      </c>
    </row>
    <row r="964" spans="1:14">
      <c r="A964" s="2">
        <f t="shared" ref="A964:A997" si="632">A924</f>
        <v>2011</v>
      </c>
      <c r="B964" s="880">
        <f>[30]MW!B527</f>
        <v>0</v>
      </c>
      <c r="C964" s="880">
        <f>[30]MW!C527</f>
        <v>0</v>
      </c>
      <c r="D964" s="880">
        <f>[30]MW!D527</f>
        <v>0</v>
      </c>
      <c r="E964" s="880">
        <f>[30]MW!E527</f>
        <v>0</v>
      </c>
      <c r="F964" s="880">
        <f>[30]MW!F527</f>
        <v>0</v>
      </c>
      <c r="G964" s="880">
        <f>[30]MW!G527</f>
        <v>0</v>
      </c>
      <c r="H964" s="880">
        <f>[30]MW!H527</f>
        <v>0</v>
      </c>
      <c r="I964" s="880">
        <f>[30]MW!I527</f>
        <v>0</v>
      </c>
      <c r="J964" s="880">
        <f>[30]MW!J527</f>
        <v>0</v>
      </c>
      <c r="K964" s="880">
        <f>[30]MW!K527</f>
        <v>0</v>
      </c>
      <c r="L964" s="880">
        <f>[30]MW!L527</f>
        <v>0</v>
      </c>
      <c r="M964" s="880">
        <f>[30]MW!M527</f>
        <v>0</v>
      </c>
      <c r="N964" s="25">
        <f t="shared" si="631"/>
        <v>0</v>
      </c>
    </row>
    <row r="965" spans="1:14">
      <c r="A965" s="2">
        <f t="shared" si="632"/>
        <v>2012</v>
      </c>
      <c r="B965" s="812">
        <f>ROUND([30]MW!B528,0)</f>
        <v>0</v>
      </c>
      <c r="C965" s="812">
        <f>ROUND([30]MW!C528,0)</f>
        <v>0</v>
      </c>
      <c r="D965" s="812">
        <f>ROUND([30]MW!D528,0)</f>
        <v>0</v>
      </c>
      <c r="E965" s="812">
        <f>ROUND([30]MW!E528,0)</f>
        <v>0</v>
      </c>
      <c r="F965" s="812">
        <f>ROUND([30]MW!F528,0)</f>
        <v>0</v>
      </c>
      <c r="G965" s="812">
        <f>ROUND([30]MW!G528,0)</f>
        <v>0</v>
      </c>
      <c r="H965" s="812">
        <f>ROUND([30]MW!H528,0)</f>
        <v>0</v>
      </c>
      <c r="I965" s="812">
        <f>ROUND([30]MW!I528,0)</f>
        <v>0</v>
      </c>
      <c r="J965" s="812">
        <f>ROUND([30]MW!J528,0)</f>
        <v>0</v>
      </c>
      <c r="K965" s="812">
        <f>ROUND([30]MW!K528,0)</f>
        <v>0</v>
      </c>
      <c r="L965" s="812">
        <f>ROUND([30]MW!L528,0)</f>
        <v>0</v>
      </c>
      <c r="M965" s="812">
        <f>ROUND([30]MW!M528,0)</f>
        <v>0</v>
      </c>
      <c r="N965" s="25">
        <f t="shared" si="631"/>
        <v>0</v>
      </c>
    </row>
    <row r="966" spans="1:14">
      <c r="A966" s="2">
        <f t="shared" si="632"/>
        <v>2013</v>
      </c>
      <c r="B966" s="812">
        <f>ROUND([30]MW!B529,0)</f>
        <v>0</v>
      </c>
      <c r="C966" s="812">
        <f>ROUND([30]MW!C529,0)</f>
        <v>0</v>
      </c>
      <c r="D966" s="812">
        <f>ROUND([30]MW!D529,0)</f>
        <v>0</v>
      </c>
      <c r="E966" s="812">
        <f>ROUND([30]MW!E529,0)</f>
        <v>0</v>
      </c>
      <c r="F966" s="812">
        <f>ROUND([30]MW!F529,0)</f>
        <v>0</v>
      </c>
      <c r="G966" s="812">
        <f>ROUND([30]MW!G529,0)</f>
        <v>0</v>
      </c>
      <c r="H966" s="812">
        <f>ROUND([30]MW!H529,0)</f>
        <v>0</v>
      </c>
      <c r="I966" s="812">
        <f>ROUND([30]MW!I529,0)</f>
        <v>0</v>
      </c>
      <c r="J966" s="812">
        <f>ROUND([30]MW!J529,0)</f>
        <v>0</v>
      </c>
      <c r="K966" s="812">
        <f>ROUND([30]MW!K529,0)</f>
        <v>0</v>
      </c>
      <c r="L966" s="812">
        <f>ROUND([30]MW!L529,0)</f>
        <v>0</v>
      </c>
      <c r="M966" s="812">
        <f>ROUND([30]MW!M529,0)</f>
        <v>0</v>
      </c>
      <c r="N966" s="25">
        <f t="shared" si="631"/>
        <v>0</v>
      </c>
    </row>
    <row r="967" spans="1:14">
      <c r="A967" s="2">
        <f t="shared" si="632"/>
        <v>2014</v>
      </c>
      <c r="B967" s="812">
        <f>ROUND([30]MW!B530,0)</f>
        <v>150</v>
      </c>
      <c r="C967" s="812">
        <f>ROUND([30]MW!C530,0)</f>
        <v>150</v>
      </c>
      <c r="D967" s="812">
        <f>ROUND([30]MW!D530,0)</f>
        <v>150</v>
      </c>
      <c r="E967" s="812">
        <f>ROUND([30]MW!E530,0)</f>
        <v>150</v>
      </c>
      <c r="F967" s="812">
        <f>ROUND([30]MW!F530,0)</f>
        <v>150</v>
      </c>
      <c r="G967" s="812">
        <f>ROUND([30]MW!G530,0)</f>
        <v>150</v>
      </c>
      <c r="H967" s="812">
        <f>ROUND([30]MW!H530,0)</f>
        <v>150</v>
      </c>
      <c r="I967" s="812">
        <f>ROUND([30]MW!I530,0)</f>
        <v>150</v>
      </c>
      <c r="J967" s="812">
        <f>ROUND([30]MW!J530,0)</f>
        <v>150</v>
      </c>
      <c r="K967" s="812">
        <f>ROUND([30]MW!K530,0)</f>
        <v>150</v>
      </c>
      <c r="L967" s="812">
        <f>ROUND([30]MW!L530,0)</f>
        <v>150</v>
      </c>
      <c r="M967" s="812">
        <f>ROUND([30]MW!M530,0)</f>
        <v>150</v>
      </c>
      <c r="N967" s="25">
        <f t="shared" si="631"/>
        <v>1800</v>
      </c>
    </row>
    <row r="968" spans="1:14">
      <c r="A968" s="2">
        <f t="shared" si="632"/>
        <v>2015</v>
      </c>
      <c r="B968" s="812">
        <f>ROUND([30]MW!B531,0)</f>
        <v>150</v>
      </c>
      <c r="C968" s="812">
        <f>ROUND([30]MW!C531,0)</f>
        <v>150</v>
      </c>
      <c r="D968" s="812">
        <f>ROUND([30]MW!D531,0)</f>
        <v>150</v>
      </c>
      <c r="E968" s="812">
        <f>ROUND([30]MW!E531,0)</f>
        <v>150</v>
      </c>
      <c r="F968" s="812">
        <f>ROUND([30]MW!F531,0)</f>
        <v>150</v>
      </c>
      <c r="G968" s="812">
        <f>ROUND([30]MW!G531,0)</f>
        <v>150</v>
      </c>
      <c r="H968" s="812">
        <f>ROUND([30]MW!H531,0)</f>
        <v>150</v>
      </c>
      <c r="I968" s="812">
        <f>ROUND([30]MW!I531,0)</f>
        <v>150</v>
      </c>
      <c r="J968" s="812">
        <f>ROUND([30]MW!J531,0)</f>
        <v>150</v>
      </c>
      <c r="K968" s="812">
        <f>ROUND([30]MW!K531,0)</f>
        <v>150</v>
      </c>
      <c r="L968" s="812">
        <f>ROUND([30]MW!L531,0)</f>
        <v>150</v>
      </c>
      <c r="M968" s="812">
        <f>ROUND([30]MW!M531,0)</f>
        <v>150</v>
      </c>
      <c r="N968" s="25">
        <f t="shared" si="631"/>
        <v>1800</v>
      </c>
    </row>
    <row r="969" spans="1:14">
      <c r="A969" s="2">
        <f t="shared" si="632"/>
        <v>2016</v>
      </c>
      <c r="B969" s="812">
        <f>ROUND([30]MW!B532,0)</f>
        <v>150</v>
      </c>
      <c r="C969" s="812">
        <f>ROUND([30]MW!C532,0)</f>
        <v>150</v>
      </c>
      <c r="D969" s="812">
        <f>ROUND([30]MW!D532,0)</f>
        <v>150</v>
      </c>
      <c r="E969" s="812">
        <f>ROUND([30]MW!E532,0)</f>
        <v>150</v>
      </c>
      <c r="F969" s="812">
        <f>ROUND([30]MW!F532,0)</f>
        <v>150</v>
      </c>
      <c r="G969" s="812">
        <f>ROUND([30]MW!G532,0)</f>
        <v>150</v>
      </c>
      <c r="H969" s="812">
        <f>ROUND([30]MW!H532,0)</f>
        <v>150</v>
      </c>
      <c r="I969" s="812">
        <f>ROUND([30]MW!I532,0)</f>
        <v>150</v>
      </c>
      <c r="J969" s="812">
        <f>ROUND([30]MW!J532,0)</f>
        <v>150</v>
      </c>
      <c r="K969" s="812">
        <f>ROUND([30]MW!K532,0)</f>
        <v>150</v>
      </c>
      <c r="L969" s="812">
        <f>ROUND([30]MW!L532,0)</f>
        <v>150</v>
      </c>
      <c r="M969" s="812">
        <f>ROUND([30]MW!M532,0)</f>
        <v>150</v>
      </c>
      <c r="N969" s="25">
        <f t="shared" si="631"/>
        <v>1800</v>
      </c>
    </row>
    <row r="970" spans="1:14">
      <c r="A970" s="2">
        <f t="shared" si="632"/>
        <v>2017</v>
      </c>
      <c r="B970" s="812">
        <f>ROUND([30]MW!B533,0)</f>
        <v>150</v>
      </c>
      <c r="C970" s="812">
        <f>ROUND([30]MW!C533,0)</f>
        <v>150</v>
      </c>
      <c r="D970" s="812">
        <f>ROUND([30]MW!D533,0)</f>
        <v>150</v>
      </c>
      <c r="E970" s="812">
        <f>ROUND([30]MW!E533,0)</f>
        <v>150</v>
      </c>
      <c r="F970" s="812">
        <f>ROUND([30]MW!F533,0)</f>
        <v>150</v>
      </c>
      <c r="G970" s="812">
        <f>ROUND([30]MW!G533,0)</f>
        <v>150</v>
      </c>
      <c r="H970" s="812">
        <f>ROUND([30]MW!H533,0)</f>
        <v>150</v>
      </c>
      <c r="I970" s="812">
        <f>ROUND([30]MW!I533,0)</f>
        <v>150</v>
      </c>
      <c r="J970" s="812">
        <f>ROUND([30]MW!J533,0)</f>
        <v>150</v>
      </c>
      <c r="K970" s="812">
        <f>ROUND([30]MW!K533,0)</f>
        <v>150</v>
      </c>
      <c r="L970" s="812">
        <f>ROUND([30]MW!L533,0)</f>
        <v>150</v>
      </c>
      <c r="M970" s="812">
        <f>ROUND([30]MW!M533,0)</f>
        <v>150</v>
      </c>
      <c r="N970" s="25">
        <f t="shared" si="631"/>
        <v>1800</v>
      </c>
    </row>
    <row r="971" spans="1:14">
      <c r="A971" s="2">
        <f t="shared" si="632"/>
        <v>2018</v>
      </c>
      <c r="B971" s="812">
        <f>ROUND([30]MW!B534,0)</f>
        <v>150</v>
      </c>
      <c r="C971" s="812">
        <f>ROUND([30]MW!C534,0)</f>
        <v>150</v>
      </c>
      <c r="D971" s="812">
        <f>ROUND([30]MW!D534,0)</f>
        <v>150</v>
      </c>
      <c r="E971" s="812">
        <f>ROUND([30]MW!E534,0)</f>
        <v>150</v>
      </c>
      <c r="F971" s="812">
        <f>ROUND([30]MW!F534,0)</f>
        <v>150</v>
      </c>
      <c r="G971" s="812">
        <f>ROUND([30]MW!G534,0)</f>
        <v>150</v>
      </c>
      <c r="H971" s="812">
        <f>ROUND([30]MW!H534,0)</f>
        <v>150</v>
      </c>
      <c r="I971" s="812">
        <f>ROUND([30]MW!I534,0)</f>
        <v>150</v>
      </c>
      <c r="J971" s="812">
        <f>ROUND([30]MW!J534,0)</f>
        <v>150</v>
      </c>
      <c r="K971" s="812">
        <f>ROUND([30]MW!K534,0)</f>
        <v>150</v>
      </c>
      <c r="L971" s="812">
        <f>ROUND([30]MW!L534,0)</f>
        <v>150</v>
      </c>
      <c r="M971" s="812">
        <f>ROUND([30]MW!M534,0)</f>
        <v>150</v>
      </c>
      <c r="N971" s="25">
        <f t="shared" si="631"/>
        <v>1800</v>
      </c>
    </row>
    <row r="972" spans="1:14">
      <c r="A972" s="2">
        <f t="shared" si="632"/>
        <v>2019</v>
      </c>
      <c r="B972" s="812">
        <f>ROUND([30]MW!B535,0)</f>
        <v>150</v>
      </c>
      <c r="C972" s="812">
        <f>ROUND([30]MW!C535,0)</f>
        <v>150</v>
      </c>
      <c r="D972" s="812">
        <f>ROUND([30]MW!D535,0)</f>
        <v>150</v>
      </c>
      <c r="E972" s="812">
        <f>ROUND([30]MW!E535,0)</f>
        <v>150</v>
      </c>
      <c r="F972" s="812">
        <f>ROUND([30]MW!F535,0)</f>
        <v>150</v>
      </c>
      <c r="G972" s="812">
        <f>ROUND([30]MW!G535,0)</f>
        <v>150</v>
      </c>
      <c r="H972" s="812">
        <f>ROUND([30]MW!H535,0)</f>
        <v>150</v>
      </c>
      <c r="I972" s="812">
        <f>ROUND([30]MW!I535,0)</f>
        <v>150</v>
      </c>
      <c r="J972" s="812">
        <f>ROUND([30]MW!J535,0)</f>
        <v>150</v>
      </c>
      <c r="K972" s="812">
        <f>ROUND([30]MW!K535,0)</f>
        <v>150</v>
      </c>
      <c r="L972" s="812">
        <f>ROUND([30]MW!L535,0)</f>
        <v>150</v>
      </c>
      <c r="M972" s="812">
        <f>ROUND([30]MW!M535,0)</f>
        <v>150</v>
      </c>
      <c r="N972" s="25">
        <f t="shared" si="631"/>
        <v>1800</v>
      </c>
    </row>
    <row r="973" spans="1:14">
      <c r="A973" s="2">
        <f t="shared" si="632"/>
        <v>2020</v>
      </c>
      <c r="B973" s="812">
        <f>ROUND([30]MW!B536,0)</f>
        <v>150</v>
      </c>
      <c r="C973" s="812">
        <f>ROUND([30]MW!C536,0)</f>
        <v>150</v>
      </c>
      <c r="D973" s="812">
        <f>ROUND([30]MW!D536,0)</f>
        <v>150</v>
      </c>
      <c r="E973" s="812">
        <f>ROUND([30]MW!E536,0)</f>
        <v>150</v>
      </c>
      <c r="F973" s="812">
        <f>ROUND([30]MW!F536,0)</f>
        <v>150</v>
      </c>
      <c r="G973" s="812">
        <f>ROUND([30]MW!G536,0)</f>
        <v>150</v>
      </c>
      <c r="H973" s="812">
        <f>ROUND([30]MW!H536,0)</f>
        <v>150</v>
      </c>
      <c r="I973" s="812">
        <f>ROUND([30]MW!I536,0)</f>
        <v>150</v>
      </c>
      <c r="J973" s="812">
        <f>ROUND([30]MW!J536,0)</f>
        <v>150</v>
      </c>
      <c r="K973" s="812">
        <f>ROUND([30]MW!K536,0)</f>
        <v>150</v>
      </c>
      <c r="L973" s="812">
        <f>ROUND([30]MW!L536,0)</f>
        <v>150</v>
      </c>
      <c r="M973" s="812">
        <f>ROUND([30]MW!M536,0)</f>
        <v>150</v>
      </c>
      <c r="N973" s="25">
        <f t="shared" si="631"/>
        <v>1800</v>
      </c>
    </row>
    <row r="974" spans="1:14">
      <c r="A974" s="2">
        <f t="shared" si="632"/>
        <v>2021</v>
      </c>
      <c r="B974" s="812">
        <f>ROUND([30]MW!B537,0)</f>
        <v>150</v>
      </c>
      <c r="C974" s="812">
        <f>ROUND([30]MW!C537,0)</f>
        <v>150</v>
      </c>
      <c r="D974" s="812">
        <f>ROUND([30]MW!D537,0)</f>
        <v>150</v>
      </c>
      <c r="E974" s="812">
        <f>ROUND([30]MW!E537,0)</f>
        <v>150</v>
      </c>
      <c r="F974" s="812">
        <f>ROUND([30]MW!F537,0)</f>
        <v>150</v>
      </c>
      <c r="G974" s="812">
        <f>ROUND([30]MW!G537,0)</f>
        <v>150</v>
      </c>
      <c r="H974" s="812">
        <f>ROUND([30]MW!H537,0)</f>
        <v>150</v>
      </c>
      <c r="I974" s="812">
        <f>ROUND([30]MW!I537,0)</f>
        <v>150</v>
      </c>
      <c r="J974" s="812">
        <f>ROUND([30]MW!J537,0)</f>
        <v>150</v>
      </c>
      <c r="K974" s="812">
        <f>ROUND([30]MW!K537,0)</f>
        <v>150</v>
      </c>
      <c r="L974" s="812">
        <f>ROUND([30]MW!L537,0)</f>
        <v>150</v>
      </c>
      <c r="M974" s="812">
        <f>ROUND([30]MW!M537,0)</f>
        <v>150</v>
      </c>
      <c r="N974" s="25">
        <f t="shared" ref="N974:N979" si="633">SUM(B974:M974)</f>
        <v>1800</v>
      </c>
    </row>
    <row r="975" spans="1:14">
      <c r="A975" s="2">
        <f t="shared" si="632"/>
        <v>2022</v>
      </c>
      <c r="B975" s="812">
        <f>ROUND([30]MW!B538,0)</f>
        <v>150</v>
      </c>
      <c r="C975" s="812">
        <f>ROUND([30]MW!C538,0)</f>
        <v>150</v>
      </c>
      <c r="D975" s="812">
        <f>ROUND([30]MW!D538,0)</f>
        <v>150</v>
      </c>
      <c r="E975" s="812">
        <f>ROUND([30]MW!E538,0)</f>
        <v>150</v>
      </c>
      <c r="F975" s="812">
        <f>ROUND([30]MW!F538,0)</f>
        <v>150</v>
      </c>
      <c r="G975" s="812">
        <f>ROUND([30]MW!G538,0)</f>
        <v>150</v>
      </c>
      <c r="H975" s="812">
        <f>ROUND([30]MW!H538,0)</f>
        <v>150</v>
      </c>
      <c r="I975" s="812">
        <f>ROUND([30]MW!I538,0)</f>
        <v>150</v>
      </c>
      <c r="J975" s="812">
        <f>ROUND([30]MW!J538,0)</f>
        <v>150</v>
      </c>
      <c r="K975" s="812">
        <f>ROUND([30]MW!K538,0)</f>
        <v>150</v>
      </c>
      <c r="L975" s="812">
        <f>ROUND([30]MW!L538,0)</f>
        <v>150</v>
      </c>
      <c r="M975" s="812">
        <f>ROUND([30]MW!M538,0)</f>
        <v>150</v>
      </c>
      <c r="N975" s="25">
        <f t="shared" si="633"/>
        <v>1800</v>
      </c>
    </row>
    <row r="976" spans="1:14">
      <c r="A976" s="2">
        <f t="shared" si="632"/>
        <v>2023</v>
      </c>
      <c r="B976" s="812">
        <f>ROUND([30]MW!B539,0)</f>
        <v>150</v>
      </c>
      <c r="C976" s="812">
        <f>ROUND([30]MW!C539,0)</f>
        <v>150</v>
      </c>
      <c r="D976" s="812">
        <f>ROUND([30]MW!D539,0)</f>
        <v>150</v>
      </c>
      <c r="E976" s="812">
        <f>ROUND([30]MW!E539,0)</f>
        <v>150</v>
      </c>
      <c r="F976" s="812">
        <f>ROUND([30]MW!F539,0)</f>
        <v>150</v>
      </c>
      <c r="G976" s="812">
        <f>ROUND([30]MW!G539,0)</f>
        <v>150</v>
      </c>
      <c r="H976" s="812">
        <f>ROUND([30]MW!H539,0)</f>
        <v>150</v>
      </c>
      <c r="I976" s="812">
        <f>ROUND([30]MW!I539,0)</f>
        <v>150</v>
      </c>
      <c r="J976" s="812">
        <f>ROUND([30]MW!J539,0)</f>
        <v>150</v>
      </c>
      <c r="K976" s="812">
        <f>ROUND([30]MW!K539,0)</f>
        <v>150</v>
      </c>
      <c r="L976" s="812">
        <f>ROUND([30]MW!L539,0)</f>
        <v>150</v>
      </c>
      <c r="M976" s="812">
        <f>ROUND([30]MW!M539,0)</f>
        <v>150</v>
      </c>
      <c r="N976" s="25">
        <f t="shared" si="633"/>
        <v>1800</v>
      </c>
    </row>
    <row r="977" spans="1:14">
      <c r="A977" s="2">
        <f t="shared" si="632"/>
        <v>2024</v>
      </c>
      <c r="B977" s="812">
        <f>ROUND([30]MW!B540,0)</f>
        <v>150</v>
      </c>
      <c r="C977" s="812">
        <f>ROUND([30]MW!C540,0)</f>
        <v>150</v>
      </c>
      <c r="D977" s="812">
        <f>ROUND([30]MW!D540,0)</f>
        <v>150</v>
      </c>
      <c r="E977" s="812">
        <f>ROUND([30]MW!E540,0)</f>
        <v>150</v>
      </c>
      <c r="F977" s="812">
        <f>ROUND([30]MW!F540,0)</f>
        <v>150</v>
      </c>
      <c r="G977" s="812">
        <f>ROUND([30]MW!G540,0)</f>
        <v>150</v>
      </c>
      <c r="H977" s="812">
        <f>ROUND([30]MW!H540,0)</f>
        <v>150</v>
      </c>
      <c r="I977" s="812">
        <f>ROUND([30]MW!I540,0)</f>
        <v>150</v>
      </c>
      <c r="J977" s="812">
        <f>ROUND([30]MW!J540,0)</f>
        <v>150</v>
      </c>
      <c r="K977" s="812">
        <f>ROUND([30]MW!K540,0)</f>
        <v>150</v>
      </c>
      <c r="L977" s="812">
        <f>ROUND([30]MW!L540,0)</f>
        <v>150</v>
      </c>
      <c r="M977" s="812">
        <f>ROUND([30]MW!M540,0)</f>
        <v>150</v>
      </c>
      <c r="N977" s="25">
        <f t="shared" si="633"/>
        <v>1800</v>
      </c>
    </row>
    <row r="978" spans="1:14">
      <c r="A978" s="2">
        <f t="shared" si="632"/>
        <v>2025</v>
      </c>
      <c r="B978" s="812">
        <f>ROUND([30]MW!B541,0)</f>
        <v>150</v>
      </c>
      <c r="C978" s="812">
        <f>ROUND([30]MW!C541,0)</f>
        <v>150</v>
      </c>
      <c r="D978" s="812">
        <f>ROUND([30]MW!D541,0)</f>
        <v>150</v>
      </c>
      <c r="E978" s="812">
        <f>ROUND([30]MW!E541,0)</f>
        <v>150</v>
      </c>
      <c r="F978" s="812">
        <f>ROUND([30]MW!F541,0)</f>
        <v>150</v>
      </c>
      <c r="G978" s="812">
        <f>ROUND([30]MW!G541,0)</f>
        <v>150</v>
      </c>
      <c r="H978" s="812">
        <f>ROUND([30]MW!H541,0)</f>
        <v>150</v>
      </c>
      <c r="I978" s="812">
        <f>ROUND([30]MW!I541,0)</f>
        <v>150</v>
      </c>
      <c r="J978" s="812">
        <f>ROUND([30]MW!J541,0)</f>
        <v>150</v>
      </c>
      <c r="K978" s="812">
        <f>ROUND([30]MW!K541,0)</f>
        <v>150</v>
      </c>
      <c r="L978" s="812">
        <f>ROUND([30]MW!L541,0)</f>
        <v>150</v>
      </c>
      <c r="M978" s="812">
        <f>ROUND([30]MW!M541,0)</f>
        <v>150</v>
      </c>
      <c r="N978" s="25">
        <f t="shared" si="633"/>
        <v>1800</v>
      </c>
    </row>
    <row r="979" spans="1:14">
      <c r="A979" s="2">
        <f t="shared" si="632"/>
        <v>2026</v>
      </c>
      <c r="B979" s="812">
        <f>ROUND([30]MW!B542,0)</f>
        <v>150</v>
      </c>
      <c r="C979" s="812">
        <f>ROUND([30]MW!C542,0)</f>
        <v>150</v>
      </c>
      <c r="D979" s="812">
        <f>ROUND([30]MW!D542,0)</f>
        <v>150</v>
      </c>
      <c r="E979" s="812">
        <f>ROUND([30]MW!E542,0)</f>
        <v>150</v>
      </c>
      <c r="F979" s="812">
        <f>ROUND([30]MW!F542,0)</f>
        <v>150</v>
      </c>
      <c r="G979" s="812">
        <f>ROUND([30]MW!G542,0)</f>
        <v>150</v>
      </c>
      <c r="H979" s="812">
        <f>ROUND([30]MW!H542,0)</f>
        <v>150</v>
      </c>
      <c r="I979" s="812">
        <f>ROUND([30]MW!I542,0)</f>
        <v>150</v>
      </c>
      <c r="J979" s="812">
        <f>ROUND([30]MW!J542,0)</f>
        <v>150</v>
      </c>
      <c r="K979" s="812">
        <f>ROUND([30]MW!K542,0)</f>
        <v>150</v>
      </c>
      <c r="L979" s="812">
        <f>ROUND([30]MW!L542,0)</f>
        <v>150</v>
      </c>
      <c r="M979" s="812">
        <f>ROUND([30]MW!M542,0)</f>
        <v>150</v>
      </c>
      <c r="N979" s="25">
        <f t="shared" si="633"/>
        <v>1800</v>
      </c>
    </row>
    <row r="980" spans="1:14">
      <c r="A980" s="2">
        <f t="shared" si="632"/>
        <v>2027</v>
      </c>
      <c r="B980" s="812">
        <f>ROUND([30]MW!B543,0)</f>
        <v>150</v>
      </c>
      <c r="C980" s="812">
        <f>ROUND([30]MW!C543,0)</f>
        <v>150</v>
      </c>
      <c r="D980" s="812">
        <f>ROUND([30]MW!D543,0)</f>
        <v>150</v>
      </c>
      <c r="E980" s="812">
        <f>ROUND([30]MW!E543,0)</f>
        <v>150</v>
      </c>
      <c r="F980" s="812">
        <f>ROUND([30]MW!F543,0)</f>
        <v>150</v>
      </c>
      <c r="G980" s="812">
        <f>ROUND([30]MW!G543,0)</f>
        <v>150</v>
      </c>
      <c r="H980" s="812">
        <f>ROUND([30]MW!H543,0)</f>
        <v>150</v>
      </c>
      <c r="I980" s="812">
        <f>ROUND([30]MW!I543,0)</f>
        <v>150</v>
      </c>
      <c r="J980" s="812">
        <f>ROUND([30]MW!J543,0)</f>
        <v>150</v>
      </c>
      <c r="K980" s="812">
        <f>ROUND([30]MW!K543,0)</f>
        <v>150</v>
      </c>
      <c r="L980" s="812">
        <f>ROUND([30]MW!L543,0)</f>
        <v>150</v>
      </c>
      <c r="M980" s="812">
        <f>ROUND([30]MW!M543,0)</f>
        <v>150</v>
      </c>
      <c r="N980" s="25">
        <f>SUM(B980:M980)</f>
        <v>1800</v>
      </c>
    </row>
    <row r="981" spans="1:14">
      <c r="A981" s="2">
        <f t="shared" si="632"/>
        <v>2028</v>
      </c>
      <c r="B981" s="812">
        <f>ROUND([30]MW!B544,0)</f>
        <v>150</v>
      </c>
      <c r="C981" s="812">
        <f>ROUND([30]MW!C544,0)</f>
        <v>150</v>
      </c>
      <c r="D981" s="812">
        <f>ROUND([30]MW!D544,0)</f>
        <v>150</v>
      </c>
      <c r="E981" s="812">
        <f>ROUND([30]MW!E544,0)</f>
        <v>150</v>
      </c>
      <c r="F981" s="812">
        <f>ROUND([30]MW!F544,0)</f>
        <v>150</v>
      </c>
      <c r="G981" s="812">
        <f>ROUND([30]MW!G544,0)</f>
        <v>150</v>
      </c>
      <c r="H981" s="812">
        <f>ROUND([30]MW!H544,0)</f>
        <v>150</v>
      </c>
      <c r="I981" s="812">
        <f>ROUND([30]MW!I544,0)</f>
        <v>150</v>
      </c>
      <c r="J981" s="812">
        <f>ROUND([30]MW!J544,0)</f>
        <v>150</v>
      </c>
      <c r="K981" s="812">
        <f>ROUND([30]MW!K544,0)</f>
        <v>150</v>
      </c>
      <c r="L981" s="812">
        <f>ROUND([30]MW!L544,0)</f>
        <v>150</v>
      </c>
      <c r="M981" s="812">
        <f>ROUND([30]MW!M544,0)</f>
        <v>150</v>
      </c>
      <c r="N981" s="25">
        <f>SUM(B981:M981)</f>
        <v>1800</v>
      </c>
    </row>
    <row r="982" spans="1:14">
      <c r="A982" s="2">
        <f t="shared" si="632"/>
        <v>2029</v>
      </c>
      <c r="B982" s="812">
        <f>ROUND([30]MW!B545,0)</f>
        <v>150</v>
      </c>
      <c r="C982" s="812">
        <f>ROUND([30]MW!C545,0)</f>
        <v>150</v>
      </c>
      <c r="D982" s="812">
        <f>ROUND([30]MW!D545,0)</f>
        <v>150</v>
      </c>
      <c r="E982" s="812">
        <f>ROUND([30]MW!E545,0)</f>
        <v>150</v>
      </c>
      <c r="F982" s="812">
        <f>ROUND([30]MW!F545,0)</f>
        <v>150</v>
      </c>
      <c r="G982" s="812">
        <f>ROUND([30]MW!G545,0)</f>
        <v>150</v>
      </c>
      <c r="H982" s="812">
        <f>ROUND([30]MW!H545,0)</f>
        <v>150</v>
      </c>
      <c r="I982" s="812">
        <f>ROUND([30]MW!I545,0)</f>
        <v>150</v>
      </c>
      <c r="J982" s="812">
        <f>ROUND([30]MW!J545,0)</f>
        <v>150</v>
      </c>
      <c r="K982" s="812">
        <f>ROUND([30]MW!K545,0)</f>
        <v>150</v>
      </c>
      <c r="L982" s="812">
        <f>ROUND([30]MW!L545,0)</f>
        <v>150</v>
      </c>
      <c r="M982" s="812">
        <f>ROUND([30]MW!M545,0)</f>
        <v>150</v>
      </c>
      <c r="N982" s="25">
        <f>SUM(B982:M982)</f>
        <v>1800</v>
      </c>
    </row>
    <row r="983" spans="1:14">
      <c r="A983" s="2">
        <f t="shared" si="632"/>
        <v>2030</v>
      </c>
      <c r="B983" s="812">
        <f>ROUND([30]MW!B546,0)</f>
        <v>150</v>
      </c>
      <c r="C983" s="812">
        <f>ROUND([30]MW!C546,0)</f>
        <v>150</v>
      </c>
      <c r="D983" s="812">
        <f>ROUND([30]MW!D546,0)</f>
        <v>150</v>
      </c>
      <c r="E983" s="812">
        <f>ROUND([30]MW!E546,0)</f>
        <v>150</v>
      </c>
      <c r="F983" s="812">
        <f>ROUND([30]MW!F546,0)</f>
        <v>150</v>
      </c>
      <c r="G983" s="812">
        <f>ROUND([30]MW!G546,0)</f>
        <v>150</v>
      </c>
      <c r="H983" s="812">
        <f>ROUND([30]MW!H546,0)</f>
        <v>150</v>
      </c>
      <c r="I983" s="812">
        <f>ROUND([30]MW!I546,0)</f>
        <v>150</v>
      </c>
      <c r="J983" s="812">
        <f>ROUND([30]MW!J546,0)</f>
        <v>150</v>
      </c>
      <c r="K983" s="812">
        <f>ROUND([30]MW!K546,0)</f>
        <v>150</v>
      </c>
      <c r="L983" s="812">
        <f>ROUND([30]MW!L546,0)</f>
        <v>150</v>
      </c>
      <c r="M983" s="812">
        <f>ROUND([30]MW!M546,0)</f>
        <v>150</v>
      </c>
      <c r="N983" s="25">
        <f>SUM(B983:M983)</f>
        <v>1800</v>
      </c>
    </row>
    <row r="984" spans="1:14">
      <c r="A984" s="2">
        <f t="shared" si="632"/>
        <v>2031</v>
      </c>
      <c r="B984" s="812">
        <f>ROUND([30]MW!B547,0)</f>
        <v>150</v>
      </c>
      <c r="C984" s="812">
        <f>ROUND([30]MW!C547,0)</f>
        <v>150</v>
      </c>
      <c r="D984" s="812">
        <f>ROUND([30]MW!D547,0)</f>
        <v>150</v>
      </c>
      <c r="E984" s="812">
        <f>ROUND([30]MW!E547,0)</f>
        <v>150</v>
      </c>
      <c r="F984" s="812">
        <f>ROUND([30]MW!F547,0)</f>
        <v>150</v>
      </c>
      <c r="G984" s="812">
        <f>ROUND([30]MW!G547,0)</f>
        <v>150</v>
      </c>
      <c r="H984" s="812">
        <f>ROUND([30]MW!H547,0)</f>
        <v>150</v>
      </c>
      <c r="I984" s="812">
        <f>ROUND([30]MW!I547,0)</f>
        <v>150</v>
      </c>
      <c r="J984" s="812">
        <f>ROUND([30]MW!J547,0)</f>
        <v>150</v>
      </c>
      <c r="K984" s="812">
        <f>ROUND([30]MW!K547,0)</f>
        <v>150</v>
      </c>
      <c r="L984" s="812">
        <f>ROUND([30]MW!L547,0)</f>
        <v>150</v>
      </c>
      <c r="M984" s="812">
        <f>ROUND([30]MW!M547,0)</f>
        <v>150</v>
      </c>
      <c r="N984" s="25">
        <f t="shared" ref="N984:N993" si="634">SUM(B984:M984)</f>
        <v>1800</v>
      </c>
    </row>
    <row r="985" spans="1:14">
      <c r="A985" s="2">
        <f t="shared" si="632"/>
        <v>2032</v>
      </c>
      <c r="B985" s="812">
        <f>ROUND([30]MW!B548,0)</f>
        <v>150</v>
      </c>
      <c r="C985" s="812">
        <f>ROUND([30]MW!C548,0)</f>
        <v>150</v>
      </c>
      <c r="D985" s="812">
        <f>ROUND([30]MW!D548,0)</f>
        <v>150</v>
      </c>
      <c r="E985" s="812">
        <f>ROUND([30]MW!E548,0)</f>
        <v>150</v>
      </c>
      <c r="F985" s="812">
        <f>ROUND([30]MW!F548,0)</f>
        <v>150</v>
      </c>
      <c r="G985" s="812">
        <f>ROUND([30]MW!G548,0)</f>
        <v>150</v>
      </c>
      <c r="H985" s="812">
        <f>ROUND([30]MW!H548,0)</f>
        <v>150</v>
      </c>
      <c r="I985" s="812">
        <f>ROUND([30]MW!I548,0)</f>
        <v>150</v>
      </c>
      <c r="J985" s="812">
        <f>ROUND([30]MW!J548,0)</f>
        <v>150</v>
      </c>
      <c r="K985" s="812">
        <f>ROUND([30]MW!K548,0)</f>
        <v>150</v>
      </c>
      <c r="L985" s="812">
        <f>ROUND([30]MW!L548,0)</f>
        <v>150</v>
      </c>
      <c r="M985" s="812">
        <f>ROUND([30]MW!M548,0)</f>
        <v>150</v>
      </c>
      <c r="N985" s="25">
        <f t="shared" si="634"/>
        <v>1800</v>
      </c>
    </row>
    <row r="986" spans="1:14">
      <c r="A986" s="2">
        <f t="shared" si="632"/>
        <v>2033</v>
      </c>
      <c r="B986" s="812">
        <f>ROUND([30]MW!B549,0)</f>
        <v>150</v>
      </c>
      <c r="C986" s="812">
        <f>ROUND([30]MW!C549,0)</f>
        <v>150</v>
      </c>
      <c r="D986" s="812">
        <f>ROUND([30]MW!D549,0)</f>
        <v>150</v>
      </c>
      <c r="E986" s="812">
        <f>ROUND([30]MW!E549,0)</f>
        <v>150</v>
      </c>
      <c r="F986" s="812">
        <f>ROUND([30]MW!F549,0)</f>
        <v>150</v>
      </c>
      <c r="G986" s="812">
        <f>ROUND([30]MW!G549,0)</f>
        <v>150</v>
      </c>
      <c r="H986" s="812">
        <f>ROUND([30]MW!H549,0)</f>
        <v>150</v>
      </c>
      <c r="I986" s="812">
        <f>ROUND([30]MW!I549,0)</f>
        <v>150</v>
      </c>
      <c r="J986" s="812">
        <f>ROUND([30]MW!J549,0)</f>
        <v>150</v>
      </c>
      <c r="K986" s="812">
        <f>ROUND([30]MW!K549,0)</f>
        <v>150</v>
      </c>
      <c r="L986" s="812">
        <f>ROUND([30]MW!L549,0)</f>
        <v>150</v>
      </c>
      <c r="M986" s="812">
        <f>ROUND([30]MW!M549,0)</f>
        <v>150</v>
      </c>
      <c r="N986" s="25">
        <f t="shared" si="634"/>
        <v>1800</v>
      </c>
    </row>
    <row r="987" spans="1:14">
      <c r="A987" s="2">
        <f t="shared" si="632"/>
        <v>2034</v>
      </c>
      <c r="B987" s="812">
        <f>ROUND([30]MW!B550,0)</f>
        <v>150</v>
      </c>
      <c r="C987" s="812">
        <f>ROUND([30]MW!C550,0)</f>
        <v>150</v>
      </c>
      <c r="D987" s="812">
        <f>ROUND([30]MW!D550,0)</f>
        <v>150</v>
      </c>
      <c r="E987" s="812">
        <f>ROUND([30]MW!E550,0)</f>
        <v>150</v>
      </c>
      <c r="F987" s="812">
        <f>ROUND([30]MW!F550,0)</f>
        <v>150</v>
      </c>
      <c r="G987" s="812">
        <f>ROUND([30]MW!G550,0)</f>
        <v>150</v>
      </c>
      <c r="H987" s="812">
        <f>ROUND([30]MW!H550,0)</f>
        <v>150</v>
      </c>
      <c r="I987" s="812">
        <f>ROUND([30]MW!I550,0)</f>
        <v>150</v>
      </c>
      <c r="J987" s="812">
        <f>ROUND([30]MW!J550,0)</f>
        <v>150</v>
      </c>
      <c r="K987" s="812">
        <f>ROUND([30]MW!K550,0)</f>
        <v>150</v>
      </c>
      <c r="L987" s="812">
        <f>ROUND([30]MW!L550,0)</f>
        <v>150</v>
      </c>
      <c r="M987" s="812">
        <f>ROUND([30]MW!M550,0)</f>
        <v>150</v>
      </c>
      <c r="N987" s="25">
        <f t="shared" si="634"/>
        <v>1800</v>
      </c>
    </row>
    <row r="988" spans="1:14">
      <c r="A988" s="2">
        <f t="shared" si="632"/>
        <v>2035</v>
      </c>
      <c r="B988" s="812">
        <f>ROUND([30]MW!B551,0)</f>
        <v>150</v>
      </c>
      <c r="C988" s="812">
        <f>ROUND([30]MW!C551,0)</f>
        <v>150</v>
      </c>
      <c r="D988" s="812">
        <f>ROUND([30]MW!D551,0)</f>
        <v>150</v>
      </c>
      <c r="E988" s="812">
        <f>ROUND([30]MW!E551,0)</f>
        <v>150</v>
      </c>
      <c r="F988" s="812">
        <f>ROUND([30]MW!F551,0)</f>
        <v>150</v>
      </c>
      <c r="G988" s="812">
        <f>ROUND([30]MW!G551,0)</f>
        <v>150</v>
      </c>
      <c r="H988" s="812">
        <f>ROUND([30]MW!H551,0)</f>
        <v>150</v>
      </c>
      <c r="I988" s="812">
        <f>ROUND([30]MW!I551,0)</f>
        <v>150</v>
      </c>
      <c r="J988" s="812">
        <f>ROUND([30]MW!J551,0)</f>
        <v>150</v>
      </c>
      <c r="K988" s="812">
        <f>ROUND([30]MW!K551,0)</f>
        <v>150</v>
      </c>
      <c r="L988" s="812">
        <f>ROUND([30]MW!L551,0)</f>
        <v>150</v>
      </c>
      <c r="M988" s="812">
        <f>ROUND([30]MW!M551,0)</f>
        <v>150</v>
      </c>
      <c r="N988" s="25">
        <f t="shared" si="634"/>
        <v>1800</v>
      </c>
    </row>
    <row r="989" spans="1:14">
      <c r="A989" s="2">
        <f t="shared" si="632"/>
        <v>2036</v>
      </c>
      <c r="B989" s="812">
        <f>ROUND([30]MW!B552,0)</f>
        <v>150</v>
      </c>
      <c r="C989" s="812">
        <f>ROUND([30]MW!C552,0)</f>
        <v>150</v>
      </c>
      <c r="D989" s="812">
        <f>ROUND([30]MW!D552,0)</f>
        <v>150</v>
      </c>
      <c r="E989" s="812">
        <f>ROUND([30]MW!E552,0)</f>
        <v>150</v>
      </c>
      <c r="F989" s="812">
        <f>ROUND([30]MW!F552,0)</f>
        <v>150</v>
      </c>
      <c r="G989" s="812">
        <f>ROUND([30]MW!G552,0)</f>
        <v>150</v>
      </c>
      <c r="H989" s="812">
        <f>ROUND([30]MW!H552,0)</f>
        <v>150</v>
      </c>
      <c r="I989" s="812">
        <f>ROUND([30]MW!I552,0)</f>
        <v>150</v>
      </c>
      <c r="J989" s="812">
        <f>ROUND([30]MW!J552,0)</f>
        <v>150</v>
      </c>
      <c r="K989" s="812">
        <f>ROUND([30]MW!K552,0)</f>
        <v>150</v>
      </c>
      <c r="L989" s="812">
        <f>ROUND([30]MW!L552,0)</f>
        <v>150</v>
      </c>
      <c r="M989" s="812">
        <f>ROUND([30]MW!M552,0)</f>
        <v>150</v>
      </c>
      <c r="N989" s="25">
        <f t="shared" si="634"/>
        <v>1800</v>
      </c>
    </row>
    <row r="990" spans="1:14">
      <c r="A990" s="2">
        <f t="shared" si="632"/>
        <v>2037</v>
      </c>
      <c r="B990" s="812">
        <f>ROUND([30]MW!B553,0)</f>
        <v>150</v>
      </c>
      <c r="C990" s="812">
        <f>ROUND([30]MW!C553,0)</f>
        <v>150</v>
      </c>
      <c r="D990" s="812">
        <f>ROUND([30]MW!D553,0)</f>
        <v>150</v>
      </c>
      <c r="E990" s="812">
        <f>ROUND([30]MW!E553,0)</f>
        <v>150</v>
      </c>
      <c r="F990" s="812">
        <f>ROUND([30]MW!F553,0)</f>
        <v>150</v>
      </c>
      <c r="G990" s="812">
        <f>ROUND([30]MW!G553,0)</f>
        <v>150</v>
      </c>
      <c r="H990" s="812">
        <f>ROUND([30]MW!H553,0)</f>
        <v>150</v>
      </c>
      <c r="I990" s="812">
        <f>ROUND([30]MW!I553,0)</f>
        <v>150</v>
      </c>
      <c r="J990" s="812">
        <f>ROUND([30]MW!J553,0)</f>
        <v>150</v>
      </c>
      <c r="K990" s="812">
        <f>ROUND([30]MW!K553,0)</f>
        <v>150</v>
      </c>
      <c r="L990" s="812">
        <f>ROUND([30]MW!L553,0)</f>
        <v>150</v>
      </c>
      <c r="M990" s="812">
        <f>ROUND([30]MW!M553,0)</f>
        <v>150</v>
      </c>
      <c r="N990" s="25">
        <f t="shared" si="634"/>
        <v>1800</v>
      </c>
    </row>
    <row r="991" spans="1:14">
      <c r="A991" s="2">
        <f t="shared" si="632"/>
        <v>2038</v>
      </c>
      <c r="B991" s="812">
        <f>ROUND([30]MW!B554,0)</f>
        <v>150</v>
      </c>
      <c r="C991" s="812">
        <f>ROUND([30]MW!C554,0)</f>
        <v>150</v>
      </c>
      <c r="D991" s="812">
        <f>ROUND([30]MW!D554,0)</f>
        <v>150</v>
      </c>
      <c r="E991" s="812">
        <f>ROUND([30]MW!E554,0)</f>
        <v>150</v>
      </c>
      <c r="F991" s="812">
        <f>ROUND([30]MW!F554,0)</f>
        <v>150</v>
      </c>
      <c r="G991" s="812">
        <f>ROUND([30]MW!G554,0)</f>
        <v>150</v>
      </c>
      <c r="H991" s="812">
        <f>ROUND([30]MW!H554,0)</f>
        <v>150</v>
      </c>
      <c r="I991" s="812">
        <f>ROUND([30]MW!I554,0)</f>
        <v>150</v>
      </c>
      <c r="J991" s="812">
        <f>ROUND([30]MW!J554,0)</f>
        <v>150</v>
      </c>
      <c r="K991" s="812">
        <f>ROUND([30]MW!K554,0)</f>
        <v>150</v>
      </c>
      <c r="L991" s="812">
        <f>ROUND([30]MW!L554,0)</f>
        <v>150</v>
      </c>
      <c r="M991" s="812">
        <f>ROUND([30]MW!M554,0)</f>
        <v>150</v>
      </c>
      <c r="N991" s="25">
        <f t="shared" si="634"/>
        <v>1800</v>
      </c>
    </row>
    <row r="992" spans="1:14">
      <c r="A992" s="2">
        <f t="shared" si="632"/>
        <v>2039</v>
      </c>
      <c r="B992" s="812">
        <f>ROUND([30]MW!B555,0)</f>
        <v>150</v>
      </c>
      <c r="C992" s="812">
        <f>ROUND([30]MW!C555,0)</f>
        <v>150</v>
      </c>
      <c r="D992" s="812">
        <f>ROUND([30]MW!D555,0)</f>
        <v>150</v>
      </c>
      <c r="E992" s="812">
        <f>ROUND([30]MW!E555,0)</f>
        <v>150</v>
      </c>
      <c r="F992" s="812">
        <f>ROUND([30]MW!F555,0)</f>
        <v>150</v>
      </c>
      <c r="G992" s="812">
        <f>ROUND([30]MW!G555,0)</f>
        <v>150</v>
      </c>
      <c r="H992" s="812">
        <f>ROUND([30]MW!H555,0)</f>
        <v>150</v>
      </c>
      <c r="I992" s="812">
        <f>ROUND([30]MW!I555,0)</f>
        <v>150</v>
      </c>
      <c r="J992" s="812">
        <f>ROUND([30]MW!J555,0)</f>
        <v>150</v>
      </c>
      <c r="K992" s="812">
        <f>ROUND([30]MW!K555,0)</f>
        <v>150</v>
      </c>
      <c r="L992" s="812">
        <f>ROUND([30]MW!L555,0)</f>
        <v>150</v>
      </c>
      <c r="M992" s="812">
        <f>ROUND([30]MW!M555,0)</f>
        <v>150</v>
      </c>
      <c r="N992" s="25">
        <f t="shared" si="634"/>
        <v>1800</v>
      </c>
    </row>
    <row r="993" spans="1:16">
      <c r="A993" s="2">
        <f t="shared" si="632"/>
        <v>2040</v>
      </c>
      <c r="B993" s="812">
        <f>ROUND([30]MW!B556,0)</f>
        <v>150</v>
      </c>
      <c r="C993" s="812">
        <f>ROUND([30]MW!C556,0)</f>
        <v>150</v>
      </c>
      <c r="D993" s="812">
        <f>ROUND([30]MW!D556,0)</f>
        <v>150</v>
      </c>
      <c r="E993" s="812">
        <f>ROUND([30]MW!E556,0)</f>
        <v>150</v>
      </c>
      <c r="F993" s="812">
        <f>ROUND([30]MW!F556,0)</f>
        <v>150</v>
      </c>
      <c r="G993" s="812">
        <f>ROUND([30]MW!G556,0)</f>
        <v>150</v>
      </c>
      <c r="H993" s="812">
        <f>ROUND([30]MW!H556,0)</f>
        <v>150</v>
      </c>
      <c r="I993" s="812">
        <f>ROUND([30]MW!I556,0)</f>
        <v>150</v>
      </c>
      <c r="J993" s="812">
        <f>ROUND([30]MW!J556,0)</f>
        <v>150</v>
      </c>
      <c r="K993" s="812">
        <f>ROUND([30]MW!K556,0)</f>
        <v>150</v>
      </c>
      <c r="L993" s="812">
        <f>ROUND([30]MW!L556,0)</f>
        <v>150</v>
      </c>
      <c r="M993" s="812">
        <f>ROUND([30]MW!M556,0)</f>
        <v>150</v>
      </c>
      <c r="N993" s="25">
        <f t="shared" si="634"/>
        <v>1800</v>
      </c>
    </row>
    <row r="994" spans="1:16">
      <c r="A994" s="2">
        <f t="shared" si="632"/>
        <v>2041</v>
      </c>
    </row>
    <row r="995" spans="1:16">
      <c r="A995" s="2">
        <f t="shared" si="632"/>
        <v>2042</v>
      </c>
    </row>
    <row r="996" spans="1:16">
      <c r="A996" s="2">
        <f t="shared" si="632"/>
        <v>2043</v>
      </c>
    </row>
    <row r="997" spans="1:16">
      <c r="A997" s="2">
        <f t="shared" si="632"/>
        <v>2044</v>
      </c>
    </row>
    <row r="998" spans="1:16">
      <c r="A998" s="2">
        <f>A958</f>
        <v>2045</v>
      </c>
    </row>
    <row r="999" spans="1:16">
      <c r="P999" s="192"/>
    </row>
    <row r="1000" spans="1:16">
      <c r="P1000" s="192"/>
    </row>
    <row r="1001" spans="1:16">
      <c r="A1001" s="1082" t="s">
        <v>471</v>
      </c>
      <c r="B1001" s="37"/>
      <c r="C1001" s="37"/>
      <c r="D1001" s="37"/>
      <c r="E1001" s="2" t="s">
        <v>616</v>
      </c>
      <c r="F1001" s="602"/>
      <c r="G1001" s="37"/>
      <c r="H1001" s="37"/>
      <c r="I1001" s="37"/>
      <c r="J1001" s="37"/>
      <c r="K1001" s="37"/>
      <c r="L1001" s="37"/>
      <c r="M1001" s="37"/>
      <c r="N1001" s="37"/>
      <c r="P1001" s="192"/>
    </row>
    <row r="1002" spans="1:16" s="27" customFormat="1">
      <c r="A1002" s="326" t="s">
        <v>9</v>
      </c>
      <c r="B1002" s="333" t="s">
        <v>28</v>
      </c>
      <c r="C1002" s="333" t="s">
        <v>29</v>
      </c>
      <c r="D1002" s="333" t="s">
        <v>30</v>
      </c>
      <c r="E1002" s="333" t="s">
        <v>31</v>
      </c>
      <c r="F1002" s="333" t="s">
        <v>32</v>
      </c>
      <c r="G1002" s="333" t="s">
        <v>33</v>
      </c>
      <c r="H1002" s="333" t="s">
        <v>34</v>
      </c>
      <c r="I1002" s="333" t="s">
        <v>35</v>
      </c>
      <c r="J1002" s="333" t="s">
        <v>36</v>
      </c>
      <c r="K1002" s="333" t="s">
        <v>37</v>
      </c>
      <c r="L1002" s="333" t="s">
        <v>38</v>
      </c>
      <c r="M1002" s="333" t="s">
        <v>39</v>
      </c>
      <c r="N1002" s="334" t="s">
        <v>56</v>
      </c>
      <c r="P1002" s="1106"/>
    </row>
    <row r="1003" spans="1:16">
      <c r="A1003" s="2">
        <f>A963</f>
        <v>2010</v>
      </c>
      <c r="B1003" s="335">
        <v>0</v>
      </c>
      <c r="C1003" s="335">
        <v>0</v>
      </c>
      <c r="D1003" s="335">
        <v>0</v>
      </c>
      <c r="E1003" s="335">
        <v>0</v>
      </c>
      <c r="F1003" s="335">
        <v>0</v>
      </c>
      <c r="G1003" s="335">
        <v>0</v>
      </c>
      <c r="H1003" s="335">
        <v>0</v>
      </c>
      <c r="I1003" s="335">
        <v>0</v>
      </c>
      <c r="J1003" s="335">
        <v>0</v>
      </c>
      <c r="K1003" s="335">
        <v>0</v>
      </c>
      <c r="L1003" s="335">
        <v>0</v>
      </c>
      <c r="M1003" s="335">
        <v>0</v>
      </c>
      <c r="N1003" s="37">
        <f>SUM(B1003:M1003)</f>
        <v>0</v>
      </c>
      <c r="P1003" s="192"/>
    </row>
    <row r="1004" spans="1:16">
      <c r="A1004" s="2">
        <f t="shared" ref="A1004:A1038" si="635">A964</f>
        <v>2011</v>
      </c>
      <c r="B1004" s="881">
        <f>[30]MW!B567</f>
        <v>0</v>
      </c>
      <c r="C1004" s="881">
        <f>[30]MW!C567</f>
        <v>0</v>
      </c>
      <c r="D1004" s="881">
        <f>[30]MW!D567</f>
        <v>0</v>
      </c>
      <c r="E1004" s="881">
        <f>[30]MW!E567</f>
        <v>0</v>
      </c>
      <c r="F1004" s="881">
        <f>[30]MW!F567</f>
        <v>0</v>
      </c>
      <c r="G1004" s="881">
        <f>[30]MW!G567</f>
        <v>0</v>
      </c>
      <c r="H1004" s="881">
        <f>[30]MW!H567</f>
        <v>0</v>
      </c>
      <c r="I1004" s="881">
        <f>[30]MW!I567</f>
        <v>0</v>
      </c>
      <c r="J1004" s="881">
        <f>[30]MW!J567</f>
        <v>0</v>
      </c>
      <c r="K1004" s="881">
        <f>[30]MW!K567</f>
        <v>0</v>
      </c>
      <c r="L1004" s="881">
        <f>[30]MW!L567</f>
        <v>0</v>
      </c>
      <c r="M1004" s="881">
        <f>[30]MW!M567</f>
        <v>0</v>
      </c>
      <c r="N1004" s="37">
        <f t="shared" ref="N1004:N1018" si="636">SUM(B1004:M1004)</f>
        <v>0</v>
      </c>
      <c r="P1004" s="192"/>
    </row>
    <row r="1005" spans="1:16">
      <c r="A1005" s="2">
        <f t="shared" si="635"/>
        <v>2012</v>
      </c>
      <c r="B1005" s="812">
        <f>ROUND([30]MW!B568,0)</f>
        <v>0</v>
      </c>
      <c r="C1005" s="812">
        <f>ROUND([30]MW!C568,0)</f>
        <v>0</v>
      </c>
      <c r="D1005" s="812">
        <f>ROUND([30]MW!D568,0)</f>
        <v>0</v>
      </c>
      <c r="E1005" s="812">
        <f>ROUND([30]MW!E568,0)</f>
        <v>0</v>
      </c>
      <c r="F1005" s="812">
        <f>ROUND([30]MW!F568,0)</f>
        <v>0</v>
      </c>
      <c r="G1005" s="812">
        <f>ROUND([30]MW!G568,0)</f>
        <v>0</v>
      </c>
      <c r="H1005" s="812">
        <f>ROUND([30]MW!H568,0)</f>
        <v>0</v>
      </c>
      <c r="I1005" s="812">
        <f>ROUND([30]MW!I568,0)</f>
        <v>0</v>
      </c>
      <c r="J1005" s="812">
        <f>ROUND([30]MW!J568,0)</f>
        <v>0</v>
      </c>
      <c r="K1005" s="812">
        <f>ROUND([30]MW!K568,0)</f>
        <v>0</v>
      </c>
      <c r="L1005" s="812">
        <f>ROUND([30]MW!L568,0)</f>
        <v>0</v>
      </c>
      <c r="M1005" s="812">
        <f>ROUND([30]MW!M568,0)</f>
        <v>0</v>
      </c>
      <c r="N1005" s="37">
        <f t="shared" si="636"/>
        <v>0</v>
      </c>
      <c r="P1005" s="192"/>
    </row>
    <row r="1006" spans="1:16">
      <c r="A1006" s="2">
        <f t="shared" si="635"/>
        <v>2013</v>
      </c>
      <c r="B1006" s="812">
        <f>ROUND([30]MW!B569,0)</f>
        <v>0</v>
      </c>
      <c r="C1006" s="812">
        <f>ROUND([30]MW!C569,0)</f>
        <v>0</v>
      </c>
      <c r="D1006" s="812">
        <f>ROUND([30]MW!D569,0)</f>
        <v>0</v>
      </c>
      <c r="E1006" s="812">
        <f>ROUND([30]MW!E569,0)</f>
        <v>0</v>
      </c>
      <c r="F1006" s="812">
        <f>ROUND([30]MW!F569,0)</f>
        <v>0</v>
      </c>
      <c r="G1006" s="812">
        <f>ROUND([30]MW!G569,0)</f>
        <v>0</v>
      </c>
      <c r="H1006" s="812">
        <f>ROUND([30]MW!H569,0)</f>
        <v>0</v>
      </c>
      <c r="I1006" s="812">
        <f>ROUND([30]MW!I569,0)</f>
        <v>0</v>
      </c>
      <c r="J1006" s="812">
        <f>ROUND([30]MW!J569,0)</f>
        <v>0</v>
      </c>
      <c r="K1006" s="812">
        <f>ROUND([30]MW!K569,0)</f>
        <v>0</v>
      </c>
      <c r="L1006" s="812">
        <f>ROUND([30]MW!L569,0)</f>
        <v>0</v>
      </c>
      <c r="M1006" s="812">
        <f>ROUND([30]MW!M569,0)</f>
        <v>0</v>
      </c>
      <c r="N1006" s="37">
        <f t="shared" si="636"/>
        <v>0</v>
      </c>
      <c r="P1006" s="192"/>
    </row>
    <row r="1007" spans="1:16">
      <c r="A1007" s="2">
        <f t="shared" si="635"/>
        <v>2014</v>
      </c>
      <c r="B1007" s="812">
        <f>ROUND([30]MW!B570,0)</f>
        <v>0</v>
      </c>
      <c r="C1007" s="812">
        <f>ROUND([30]MW!C570,0)</f>
        <v>0</v>
      </c>
      <c r="D1007" s="812">
        <f>ROUND([30]MW!D570,0)</f>
        <v>0</v>
      </c>
      <c r="E1007" s="812">
        <f>ROUND([30]MW!E570,0)</f>
        <v>0</v>
      </c>
      <c r="F1007" s="812">
        <f>ROUND([30]MW!F570,0)</f>
        <v>0</v>
      </c>
      <c r="G1007" s="812">
        <f>ROUND([30]MW!G570,0)</f>
        <v>0</v>
      </c>
      <c r="H1007" s="812">
        <f>ROUND([30]MW!H570,0)</f>
        <v>0</v>
      </c>
      <c r="I1007" s="812">
        <f>ROUND([30]MW!I570,0)</f>
        <v>0</v>
      </c>
      <c r="J1007" s="812">
        <f>ROUND([30]MW!J570,0)</f>
        <v>0</v>
      </c>
      <c r="K1007" s="812">
        <f>ROUND([30]MW!K570,0)</f>
        <v>0</v>
      </c>
      <c r="L1007" s="812">
        <f>ROUND([30]MW!L570,0)</f>
        <v>0</v>
      </c>
      <c r="M1007" s="812">
        <f>ROUND([30]MW!M570,0)</f>
        <v>0</v>
      </c>
      <c r="N1007" s="37">
        <f t="shared" si="636"/>
        <v>0</v>
      </c>
      <c r="P1007" s="192"/>
    </row>
    <row r="1008" spans="1:16">
      <c r="A1008" s="2">
        <f t="shared" si="635"/>
        <v>2015</v>
      </c>
      <c r="B1008" s="812">
        <f>ROUND([30]MW!B571,0)</f>
        <v>0</v>
      </c>
      <c r="C1008" s="812">
        <f>ROUND([30]MW!C571,0)</f>
        <v>0</v>
      </c>
      <c r="D1008" s="812">
        <f>ROUND([30]MW!D571,0)</f>
        <v>0</v>
      </c>
      <c r="E1008" s="812">
        <f>ROUND([30]MW!E571,0)</f>
        <v>0</v>
      </c>
      <c r="F1008" s="812">
        <f>ROUND([30]MW!F571,0)</f>
        <v>0</v>
      </c>
      <c r="G1008" s="812">
        <f>ROUND([30]MW!G571,0)</f>
        <v>0</v>
      </c>
      <c r="H1008" s="812">
        <f>ROUND([30]MW!H571,0)</f>
        <v>0</v>
      </c>
      <c r="I1008" s="812">
        <f>ROUND([30]MW!I571,0)</f>
        <v>0</v>
      </c>
      <c r="J1008" s="812">
        <f>ROUND([30]MW!J571,0)</f>
        <v>0</v>
      </c>
      <c r="K1008" s="812">
        <f>ROUND([30]MW!K571,0)</f>
        <v>0</v>
      </c>
      <c r="L1008" s="812">
        <f>ROUND([30]MW!L571,0)</f>
        <v>0</v>
      </c>
      <c r="M1008" s="812">
        <f>ROUND([30]MW!M571,0)</f>
        <v>0</v>
      </c>
      <c r="N1008" s="37">
        <f t="shared" si="636"/>
        <v>0</v>
      </c>
      <c r="P1008" s="192"/>
    </row>
    <row r="1009" spans="1:16">
      <c r="A1009" s="2">
        <f t="shared" si="635"/>
        <v>2016</v>
      </c>
      <c r="B1009" s="812">
        <f>ROUND([30]MW!B572,0)</f>
        <v>0</v>
      </c>
      <c r="C1009" s="812">
        <f>ROUND([30]MW!C572,0)</f>
        <v>0</v>
      </c>
      <c r="D1009" s="812">
        <f>ROUND([30]MW!D572,0)</f>
        <v>0</v>
      </c>
      <c r="E1009" s="812">
        <f>ROUND([30]MW!E572,0)</f>
        <v>0</v>
      </c>
      <c r="F1009" s="812">
        <f>ROUND([30]MW!F572,0)</f>
        <v>0</v>
      </c>
      <c r="G1009" s="812">
        <f>ROUND([30]MW!G572,0)</f>
        <v>200</v>
      </c>
      <c r="H1009" s="812">
        <f>ROUND([30]MW!H572,0)</f>
        <v>200</v>
      </c>
      <c r="I1009" s="812">
        <f>ROUND([30]MW!I572,0)</f>
        <v>200</v>
      </c>
      <c r="J1009" s="812">
        <f>ROUND([30]MW!J572,0)</f>
        <v>200</v>
      </c>
      <c r="K1009" s="812">
        <f>ROUND([30]MW!K572,0)</f>
        <v>200</v>
      </c>
      <c r="L1009" s="812">
        <f>ROUND([30]MW!L572,0)</f>
        <v>200</v>
      </c>
      <c r="M1009" s="812">
        <f>ROUND([30]MW!M572,0)</f>
        <v>200</v>
      </c>
      <c r="N1009" s="37">
        <f t="shared" si="636"/>
        <v>1400</v>
      </c>
      <c r="P1009" s="192"/>
    </row>
    <row r="1010" spans="1:16">
      <c r="A1010" s="2">
        <f t="shared" si="635"/>
        <v>2017</v>
      </c>
      <c r="B1010" s="812">
        <f>ROUND([30]MW!B573,0)</f>
        <v>200</v>
      </c>
      <c r="C1010" s="812">
        <f>ROUND([30]MW!C573,0)</f>
        <v>200</v>
      </c>
      <c r="D1010" s="812">
        <f>ROUND([30]MW!D573,0)</f>
        <v>200</v>
      </c>
      <c r="E1010" s="812">
        <f>ROUND([30]MW!E573,0)</f>
        <v>200</v>
      </c>
      <c r="F1010" s="812">
        <f>ROUND([30]MW!F573,0)</f>
        <v>200</v>
      </c>
      <c r="G1010" s="812">
        <f>ROUND([30]MW!G573,0)</f>
        <v>200</v>
      </c>
      <c r="H1010" s="812">
        <f>ROUND([30]MW!H573,0)</f>
        <v>200</v>
      </c>
      <c r="I1010" s="812">
        <f>ROUND([30]MW!I573,0)</f>
        <v>200</v>
      </c>
      <c r="J1010" s="812">
        <f>ROUND([30]MW!J573,0)</f>
        <v>200</v>
      </c>
      <c r="K1010" s="812">
        <f>ROUND([30]MW!K573,0)</f>
        <v>200</v>
      </c>
      <c r="L1010" s="812">
        <f>ROUND([30]MW!L573,0)</f>
        <v>200</v>
      </c>
      <c r="M1010" s="812">
        <f>ROUND([30]MW!M573,0)</f>
        <v>200</v>
      </c>
      <c r="N1010" s="37">
        <f t="shared" si="636"/>
        <v>2400</v>
      </c>
      <c r="P1010" s="192"/>
    </row>
    <row r="1011" spans="1:16">
      <c r="A1011" s="2">
        <f t="shared" si="635"/>
        <v>2018</v>
      </c>
      <c r="B1011" s="812">
        <f>ROUND([30]MW!B574,0)</f>
        <v>200</v>
      </c>
      <c r="C1011" s="812">
        <f>ROUND([30]MW!C574,0)</f>
        <v>200</v>
      </c>
      <c r="D1011" s="812">
        <f>ROUND([30]MW!D574,0)</f>
        <v>200</v>
      </c>
      <c r="E1011" s="812">
        <f>ROUND([30]MW!E574,0)</f>
        <v>200</v>
      </c>
      <c r="F1011" s="812">
        <f>ROUND([30]MW!F574,0)</f>
        <v>200</v>
      </c>
      <c r="G1011" s="812">
        <f>ROUND([30]MW!G574,0)</f>
        <v>200</v>
      </c>
      <c r="H1011" s="812">
        <f>ROUND([30]MW!H574,0)</f>
        <v>200</v>
      </c>
      <c r="I1011" s="812">
        <f>ROUND([30]MW!I574,0)</f>
        <v>200</v>
      </c>
      <c r="J1011" s="812">
        <f>ROUND([30]MW!J574,0)</f>
        <v>200</v>
      </c>
      <c r="K1011" s="812">
        <f>ROUND([30]MW!K574,0)</f>
        <v>200</v>
      </c>
      <c r="L1011" s="812">
        <f>ROUND([30]MW!L574,0)</f>
        <v>200</v>
      </c>
      <c r="M1011" s="812">
        <f>ROUND([30]MW!M574,0)</f>
        <v>200</v>
      </c>
      <c r="N1011" s="37">
        <f t="shared" si="636"/>
        <v>2400</v>
      </c>
      <c r="P1011" s="192"/>
    </row>
    <row r="1012" spans="1:16">
      <c r="A1012" s="2">
        <f t="shared" si="635"/>
        <v>2019</v>
      </c>
      <c r="B1012" s="812">
        <f>ROUND([30]MW!B575,0)</f>
        <v>250</v>
      </c>
      <c r="C1012" s="812">
        <f>ROUND([30]MW!C575,0)</f>
        <v>250</v>
      </c>
      <c r="D1012" s="812">
        <f>ROUND([30]MW!D575,0)</f>
        <v>250</v>
      </c>
      <c r="E1012" s="812">
        <f>ROUND([30]MW!E575,0)</f>
        <v>250</v>
      </c>
      <c r="F1012" s="812">
        <f>ROUND([30]MW!F575,0)</f>
        <v>250</v>
      </c>
      <c r="G1012" s="812">
        <f>ROUND([30]MW!G575,0)</f>
        <v>500</v>
      </c>
      <c r="H1012" s="812">
        <f>ROUND([30]MW!H575,0)</f>
        <v>500</v>
      </c>
      <c r="I1012" s="812">
        <f>ROUND([30]MW!I575,0)</f>
        <v>500</v>
      </c>
      <c r="J1012" s="812">
        <f>ROUND([30]MW!J575,0)</f>
        <v>500</v>
      </c>
      <c r="K1012" s="812">
        <f>ROUND([30]MW!K575,0)</f>
        <v>500</v>
      </c>
      <c r="L1012" s="812">
        <f>ROUND([30]MW!L575,0)</f>
        <v>500</v>
      </c>
      <c r="M1012" s="812">
        <f>ROUND([30]MW!M575,0)</f>
        <v>500</v>
      </c>
      <c r="N1012" s="37">
        <f t="shared" si="636"/>
        <v>4750</v>
      </c>
      <c r="P1012" s="192"/>
    </row>
    <row r="1013" spans="1:16">
      <c r="A1013" s="2">
        <f t="shared" si="635"/>
        <v>2020</v>
      </c>
      <c r="B1013" s="812">
        <f>ROUND([30]MW!B576,0)</f>
        <v>500</v>
      </c>
      <c r="C1013" s="812">
        <f>ROUND([30]MW!C576,0)</f>
        <v>500</v>
      </c>
      <c r="D1013" s="812">
        <f>ROUND([30]MW!D576,0)</f>
        <v>500</v>
      </c>
      <c r="E1013" s="812">
        <f>ROUND([30]MW!E576,0)</f>
        <v>500</v>
      </c>
      <c r="F1013" s="812">
        <f>ROUND([30]MW!F576,0)</f>
        <v>500</v>
      </c>
      <c r="G1013" s="812">
        <f>ROUND([30]MW!G576,0)</f>
        <v>500</v>
      </c>
      <c r="H1013" s="812">
        <f>ROUND([30]MW!H576,0)</f>
        <v>500</v>
      </c>
      <c r="I1013" s="812">
        <f>ROUND([30]MW!I576,0)</f>
        <v>500</v>
      </c>
      <c r="J1013" s="812">
        <f>ROUND([30]MW!J576,0)</f>
        <v>500</v>
      </c>
      <c r="K1013" s="812">
        <f>ROUND([30]MW!K576,0)</f>
        <v>500</v>
      </c>
      <c r="L1013" s="812">
        <f>ROUND([30]MW!L576,0)</f>
        <v>500</v>
      </c>
      <c r="M1013" s="812">
        <f>ROUND([30]MW!M576,0)</f>
        <v>500</v>
      </c>
      <c r="N1013" s="37">
        <f t="shared" si="636"/>
        <v>6000</v>
      </c>
      <c r="P1013" s="192"/>
    </row>
    <row r="1014" spans="1:16">
      <c r="A1014" s="2">
        <f t="shared" si="635"/>
        <v>2021</v>
      </c>
      <c r="B1014" s="812">
        <f>ROUND([30]MW!B577,0)</f>
        <v>500</v>
      </c>
      <c r="C1014" s="812">
        <f>ROUND([30]MW!C577,0)</f>
        <v>500</v>
      </c>
      <c r="D1014" s="812">
        <f>ROUND([30]MW!D577,0)</f>
        <v>500</v>
      </c>
      <c r="E1014" s="812">
        <f>ROUND([30]MW!E577,0)</f>
        <v>500</v>
      </c>
      <c r="F1014" s="812">
        <f>ROUND([30]MW!F577,0)</f>
        <v>500</v>
      </c>
      <c r="G1014" s="812">
        <f>ROUND([30]MW!G577,0)</f>
        <v>500</v>
      </c>
      <c r="H1014" s="812">
        <f>ROUND([30]MW!H577,0)</f>
        <v>500</v>
      </c>
      <c r="I1014" s="812">
        <f>ROUND([30]MW!I577,0)</f>
        <v>500</v>
      </c>
      <c r="J1014" s="812">
        <f>ROUND([30]MW!J577,0)</f>
        <v>500</v>
      </c>
      <c r="K1014" s="812">
        <f>ROUND([30]MW!K577,0)</f>
        <v>500</v>
      </c>
      <c r="L1014" s="812">
        <f>ROUND([30]MW!L577,0)</f>
        <v>500</v>
      </c>
      <c r="M1014" s="812">
        <f>ROUND([30]MW!M577,0)</f>
        <v>500</v>
      </c>
      <c r="N1014" s="37">
        <f t="shared" si="636"/>
        <v>6000</v>
      </c>
      <c r="P1014" s="192"/>
    </row>
    <row r="1015" spans="1:16">
      <c r="A1015" s="2">
        <f t="shared" si="635"/>
        <v>2022</v>
      </c>
      <c r="B1015" s="812">
        <f>ROUND([30]MW!B578,0)</f>
        <v>500</v>
      </c>
      <c r="C1015" s="812">
        <f>ROUND([30]MW!C578,0)</f>
        <v>500</v>
      </c>
      <c r="D1015" s="812">
        <f>ROUND([30]MW!D578,0)</f>
        <v>500</v>
      </c>
      <c r="E1015" s="812">
        <f>ROUND([30]MW!E578,0)</f>
        <v>500</v>
      </c>
      <c r="F1015" s="812">
        <f>ROUND([30]MW!F578,0)</f>
        <v>500</v>
      </c>
      <c r="G1015" s="812">
        <f>ROUND([30]MW!G578,0)</f>
        <v>500</v>
      </c>
      <c r="H1015" s="812">
        <f>ROUND([30]MW!H578,0)</f>
        <v>500</v>
      </c>
      <c r="I1015" s="812">
        <f>ROUND([30]MW!I578,0)</f>
        <v>500</v>
      </c>
      <c r="J1015" s="812">
        <f>ROUND([30]MW!J578,0)</f>
        <v>500</v>
      </c>
      <c r="K1015" s="812">
        <f>ROUND([30]MW!K578,0)</f>
        <v>500</v>
      </c>
      <c r="L1015" s="812">
        <f>ROUND([30]MW!L578,0)</f>
        <v>500</v>
      </c>
      <c r="M1015" s="812">
        <f>ROUND([30]MW!M578,0)</f>
        <v>500</v>
      </c>
      <c r="N1015" s="37">
        <f t="shared" si="636"/>
        <v>6000</v>
      </c>
      <c r="P1015" s="192"/>
    </row>
    <row r="1016" spans="1:16">
      <c r="A1016" s="2">
        <f t="shared" si="635"/>
        <v>2023</v>
      </c>
      <c r="B1016" s="812">
        <f>ROUND([30]MW!B579,0)</f>
        <v>500</v>
      </c>
      <c r="C1016" s="812">
        <f>ROUND([30]MW!C579,0)</f>
        <v>500</v>
      </c>
      <c r="D1016" s="812">
        <f>ROUND([30]MW!D579,0)</f>
        <v>500</v>
      </c>
      <c r="E1016" s="812">
        <f>ROUND([30]MW!E579,0)</f>
        <v>500</v>
      </c>
      <c r="F1016" s="812">
        <f>ROUND([30]MW!F579,0)</f>
        <v>500</v>
      </c>
      <c r="G1016" s="812">
        <f>ROUND([30]MW!G579,0)</f>
        <v>500</v>
      </c>
      <c r="H1016" s="812">
        <f>ROUND([30]MW!H579,0)</f>
        <v>500</v>
      </c>
      <c r="I1016" s="812">
        <f>ROUND([30]MW!I579,0)</f>
        <v>500</v>
      </c>
      <c r="J1016" s="812">
        <f>ROUND([30]MW!J579,0)</f>
        <v>500</v>
      </c>
      <c r="K1016" s="812">
        <f>ROUND([30]MW!K579,0)</f>
        <v>500</v>
      </c>
      <c r="L1016" s="812">
        <f>ROUND([30]MW!L579,0)</f>
        <v>500</v>
      </c>
      <c r="M1016" s="812">
        <f>ROUND([30]MW!M579,0)</f>
        <v>500</v>
      </c>
      <c r="N1016" s="37">
        <f t="shared" si="636"/>
        <v>6000</v>
      </c>
      <c r="P1016" s="192"/>
    </row>
    <row r="1017" spans="1:16">
      <c r="A1017" s="2">
        <f t="shared" si="635"/>
        <v>2024</v>
      </c>
      <c r="B1017" s="812">
        <f>ROUND([30]MW!B580,0)</f>
        <v>500</v>
      </c>
      <c r="C1017" s="812">
        <f>ROUND([30]MW!C580,0)</f>
        <v>500</v>
      </c>
      <c r="D1017" s="812">
        <f>ROUND([30]MW!D580,0)</f>
        <v>500</v>
      </c>
      <c r="E1017" s="812">
        <f>ROUND([30]MW!E580,0)</f>
        <v>500</v>
      </c>
      <c r="F1017" s="812">
        <f>ROUND([30]MW!F580,0)</f>
        <v>500</v>
      </c>
      <c r="G1017" s="812">
        <f>ROUND([30]MW!G580,0)</f>
        <v>500</v>
      </c>
      <c r="H1017" s="812">
        <f>ROUND([30]MW!H580,0)</f>
        <v>500</v>
      </c>
      <c r="I1017" s="812">
        <f>ROUND([30]MW!I580,0)</f>
        <v>500</v>
      </c>
      <c r="J1017" s="812">
        <f>ROUND([30]MW!J580,0)</f>
        <v>500</v>
      </c>
      <c r="K1017" s="812">
        <f>ROUND([30]MW!K580,0)</f>
        <v>500</v>
      </c>
      <c r="L1017" s="812">
        <f>ROUND([30]MW!L580,0)</f>
        <v>500</v>
      </c>
      <c r="M1017" s="812">
        <f>ROUND([30]MW!M580,0)</f>
        <v>500</v>
      </c>
      <c r="N1017" s="37">
        <f t="shared" si="636"/>
        <v>6000</v>
      </c>
      <c r="P1017" s="192"/>
    </row>
    <row r="1018" spans="1:16">
      <c r="A1018" s="2">
        <f t="shared" si="635"/>
        <v>2025</v>
      </c>
      <c r="B1018" s="812">
        <f>ROUND([30]MW!B581,0)</f>
        <v>500</v>
      </c>
      <c r="C1018" s="812">
        <f>ROUND([30]MW!C581,0)</f>
        <v>500</v>
      </c>
      <c r="D1018" s="812">
        <f>ROUND([30]MW!D581,0)</f>
        <v>500</v>
      </c>
      <c r="E1018" s="812">
        <f>ROUND([30]MW!E581,0)</f>
        <v>500</v>
      </c>
      <c r="F1018" s="812">
        <f>ROUND([30]MW!F581,0)</f>
        <v>500</v>
      </c>
      <c r="G1018" s="812">
        <f>ROUND([30]MW!G581,0)</f>
        <v>500</v>
      </c>
      <c r="H1018" s="812">
        <f>ROUND([30]MW!H581,0)</f>
        <v>500</v>
      </c>
      <c r="I1018" s="812">
        <f>ROUND([30]MW!I581,0)</f>
        <v>500</v>
      </c>
      <c r="J1018" s="812">
        <f>ROUND([30]MW!J581,0)</f>
        <v>500</v>
      </c>
      <c r="K1018" s="812">
        <f>ROUND([30]MW!K581,0)</f>
        <v>500</v>
      </c>
      <c r="L1018" s="812">
        <f>ROUND([30]MW!L581,0)</f>
        <v>500</v>
      </c>
      <c r="M1018" s="812">
        <f>ROUND([30]MW!M581,0)</f>
        <v>500</v>
      </c>
      <c r="N1018" s="37">
        <f t="shared" si="636"/>
        <v>6000</v>
      </c>
      <c r="P1018" s="192"/>
    </row>
    <row r="1019" spans="1:16">
      <c r="A1019" s="2">
        <f t="shared" si="635"/>
        <v>2026</v>
      </c>
      <c r="B1019" s="812">
        <f>ROUND([30]MW!B582,0)</f>
        <v>500</v>
      </c>
      <c r="C1019" s="812">
        <f>ROUND([30]MW!C582,0)</f>
        <v>500</v>
      </c>
      <c r="D1019" s="812">
        <f>ROUND([30]MW!D582,0)</f>
        <v>500</v>
      </c>
      <c r="E1019" s="812">
        <f>ROUND([30]MW!E582,0)</f>
        <v>500</v>
      </c>
      <c r="F1019" s="812">
        <f>ROUND([30]MW!F582,0)</f>
        <v>500</v>
      </c>
      <c r="G1019" s="812">
        <f>ROUND([30]MW!G582,0)</f>
        <v>500</v>
      </c>
      <c r="H1019" s="812">
        <f>ROUND([30]MW!H582,0)</f>
        <v>500</v>
      </c>
      <c r="I1019" s="812">
        <f>ROUND([30]MW!I582,0)</f>
        <v>500</v>
      </c>
      <c r="J1019" s="812">
        <f>ROUND([30]MW!J582,0)</f>
        <v>500</v>
      </c>
      <c r="K1019" s="812">
        <f>ROUND([30]MW!K582,0)</f>
        <v>500</v>
      </c>
      <c r="L1019" s="812">
        <f>ROUND([30]MW!L582,0)</f>
        <v>500</v>
      </c>
      <c r="M1019" s="812">
        <f>ROUND([30]MW!M582,0)</f>
        <v>500</v>
      </c>
      <c r="N1019" s="37">
        <f>SUM(B1019:M1019)</f>
        <v>6000</v>
      </c>
      <c r="P1019" s="192"/>
    </row>
    <row r="1020" spans="1:16">
      <c r="A1020" s="2">
        <f t="shared" si="635"/>
        <v>2027</v>
      </c>
      <c r="B1020" s="812">
        <f>ROUND([30]MW!B583,0)</f>
        <v>500</v>
      </c>
      <c r="C1020" s="812">
        <f>ROUND([30]MW!C583,0)</f>
        <v>500</v>
      </c>
      <c r="D1020" s="812">
        <f>ROUND([30]MW!D583,0)</f>
        <v>500</v>
      </c>
      <c r="E1020" s="812">
        <f>ROUND([30]MW!E583,0)</f>
        <v>500</v>
      </c>
      <c r="F1020" s="812">
        <f>ROUND([30]MW!F583,0)</f>
        <v>500</v>
      </c>
      <c r="G1020" s="812">
        <f>ROUND([30]MW!G583,0)</f>
        <v>500</v>
      </c>
      <c r="H1020" s="812">
        <f>ROUND([30]MW!H583,0)</f>
        <v>500</v>
      </c>
      <c r="I1020" s="812">
        <f>ROUND([30]MW!I583,0)</f>
        <v>500</v>
      </c>
      <c r="J1020" s="812">
        <f>ROUND([30]MW!J583,0)</f>
        <v>500</v>
      </c>
      <c r="K1020" s="812">
        <f>ROUND([30]MW!K583,0)</f>
        <v>500</v>
      </c>
      <c r="L1020" s="812">
        <f>ROUND([30]MW!L583,0)</f>
        <v>500</v>
      </c>
      <c r="M1020" s="812">
        <f>ROUND([30]MW!M583,0)</f>
        <v>500</v>
      </c>
      <c r="N1020" s="37">
        <f>SUM(B1020:M1020)</f>
        <v>6000</v>
      </c>
      <c r="P1020" s="192"/>
    </row>
    <row r="1021" spans="1:16">
      <c r="A1021" s="2">
        <f t="shared" si="635"/>
        <v>2028</v>
      </c>
      <c r="B1021" s="812">
        <f>ROUND([30]MW!B584,0)</f>
        <v>500</v>
      </c>
      <c r="C1021" s="812">
        <f>ROUND([30]MW!C584,0)</f>
        <v>500</v>
      </c>
      <c r="D1021" s="812">
        <f>ROUND([30]MW!D584,0)</f>
        <v>500</v>
      </c>
      <c r="E1021" s="812">
        <f>ROUND([30]MW!E584,0)</f>
        <v>500</v>
      </c>
      <c r="F1021" s="812">
        <f>ROUND([30]MW!F584,0)</f>
        <v>500</v>
      </c>
      <c r="G1021" s="812">
        <f>ROUND([30]MW!G584,0)</f>
        <v>500</v>
      </c>
      <c r="H1021" s="812">
        <f>ROUND([30]MW!H584,0)</f>
        <v>500</v>
      </c>
      <c r="I1021" s="812">
        <f>ROUND([30]MW!I584,0)</f>
        <v>500</v>
      </c>
      <c r="J1021" s="812">
        <f>ROUND([30]MW!J584,0)</f>
        <v>500</v>
      </c>
      <c r="K1021" s="812">
        <f>ROUND([30]MW!K584,0)</f>
        <v>500</v>
      </c>
      <c r="L1021" s="812">
        <f>ROUND([30]MW!L584,0)</f>
        <v>500</v>
      </c>
      <c r="M1021" s="812">
        <f>ROUND([30]MW!M584,0)</f>
        <v>500</v>
      </c>
      <c r="N1021" s="37">
        <f>SUM(B1021:M1021)</f>
        <v>6000</v>
      </c>
      <c r="P1021" s="192"/>
    </row>
    <row r="1022" spans="1:16">
      <c r="A1022" s="2">
        <f t="shared" si="635"/>
        <v>2029</v>
      </c>
      <c r="B1022" s="812">
        <f>ROUND([30]MW!B585,0)</f>
        <v>500</v>
      </c>
      <c r="C1022" s="812">
        <f>ROUND([30]MW!C585,0)</f>
        <v>500</v>
      </c>
      <c r="D1022" s="812">
        <f>ROUND([30]MW!D585,0)</f>
        <v>500</v>
      </c>
      <c r="E1022" s="812">
        <f>ROUND([30]MW!E585,0)</f>
        <v>500</v>
      </c>
      <c r="F1022" s="812">
        <f>ROUND([30]MW!F585,0)</f>
        <v>500</v>
      </c>
      <c r="G1022" s="812">
        <f>ROUND([30]MW!G585,0)</f>
        <v>500</v>
      </c>
      <c r="H1022" s="812">
        <f>ROUND([30]MW!H585,0)</f>
        <v>500</v>
      </c>
      <c r="I1022" s="812">
        <f>ROUND([30]MW!I585,0)</f>
        <v>500</v>
      </c>
      <c r="J1022" s="812">
        <f>ROUND([30]MW!J585,0)</f>
        <v>500</v>
      </c>
      <c r="K1022" s="812">
        <f>ROUND([30]MW!K585,0)</f>
        <v>500</v>
      </c>
      <c r="L1022" s="812">
        <f>ROUND([30]MW!L585,0)</f>
        <v>500</v>
      </c>
      <c r="M1022" s="812">
        <f>ROUND([30]MW!M585,0)</f>
        <v>500</v>
      </c>
      <c r="N1022" s="37">
        <f>SUM(B1022:M1022)</f>
        <v>6000</v>
      </c>
      <c r="P1022" s="192"/>
    </row>
    <row r="1023" spans="1:16">
      <c r="A1023" s="2">
        <f t="shared" si="635"/>
        <v>2030</v>
      </c>
      <c r="B1023" s="812">
        <f>ROUND([30]MW!B586,0)</f>
        <v>500</v>
      </c>
      <c r="C1023" s="812">
        <f>ROUND([30]MW!C586,0)</f>
        <v>500</v>
      </c>
      <c r="D1023" s="812">
        <f>ROUND([30]MW!D586,0)</f>
        <v>500</v>
      </c>
      <c r="E1023" s="812">
        <f>ROUND([30]MW!E586,0)</f>
        <v>500</v>
      </c>
      <c r="F1023" s="812">
        <f>ROUND([30]MW!F586,0)</f>
        <v>500</v>
      </c>
      <c r="G1023" s="812">
        <f>ROUND([30]MW!G586,0)</f>
        <v>500</v>
      </c>
      <c r="H1023" s="812">
        <f>ROUND([30]MW!H586,0)</f>
        <v>500</v>
      </c>
      <c r="I1023" s="812">
        <f>ROUND([30]MW!I586,0)</f>
        <v>500</v>
      </c>
      <c r="J1023" s="812">
        <f>ROUND([30]MW!J586,0)</f>
        <v>500</v>
      </c>
      <c r="K1023" s="812">
        <f>ROUND([30]MW!K586,0)</f>
        <v>500</v>
      </c>
      <c r="L1023" s="812">
        <f>ROUND([30]MW!L586,0)</f>
        <v>500</v>
      </c>
      <c r="M1023" s="812">
        <f>ROUND([30]MW!M586,0)</f>
        <v>500</v>
      </c>
      <c r="N1023" s="37">
        <f>SUM(B1023:M1023)</f>
        <v>6000</v>
      </c>
      <c r="P1023" s="192"/>
    </row>
    <row r="1024" spans="1:16">
      <c r="A1024" s="2">
        <f t="shared" si="635"/>
        <v>2031</v>
      </c>
      <c r="B1024" s="812">
        <f>ROUND([30]MW!B587,0)</f>
        <v>500</v>
      </c>
      <c r="C1024" s="812">
        <f>ROUND([30]MW!C587,0)</f>
        <v>500</v>
      </c>
      <c r="D1024" s="812">
        <f>ROUND([30]MW!D587,0)</f>
        <v>500</v>
      </c>
      <c r="E1024" s="812">
        <f>ROUND([30]MW!E587,0)</f>
        <v>500</v>
      </c>
      <c r="F1024" s="812">
        <f>ROUND([30]MW!F587,0)</f>
        <v>500</v>
      </c>
      <c r="G1024" s="812">
        <f>ROUND([30]MW!G587,0)</f>
        <v>500</v>
      </c>
      <c r="H1024" s="812">
        <f>ROUND([30]MW!H587,0)</f>
        <v>500</v>
      </c>
      <c r="I1024" s="812">
        <f>ROUND([30]MW!I587,0)</f>
        <v>500</v>
      </c>
      <c r="J1024" s="812">
        <f>ROUND([30]MW!J587,0)</f>
        <v>500</v>
      </c>
      <c r="K1024" s="812">
        <f>ROUND([30]MW!K587,0)</f>
        <v>500</v>
      </c>
      <c r="L1024" s="812">
        <f>ROUND([30]MW!L587,0)</f>
        <v>500</v>
      </c>
      <c r="M1024" s="812">
        <f>ROUND([30]MW!M587,0)</f>
        <v>500</v>
      </c>
      <c r="N1024" s="37">
        <f t="shared" ref="N1024:N1033" si="637">SUM(B1024:M1024)</f>
        <v>6000</v>
      </c>
      <c r="P1024" s="192"/>
    </row>
    <row r="1025" spans="1:16">
      <c r="A1025" s="2">
        <f t="shared" si="635"/>
        <v>2032</v>
      </c>
      <c r="B1025" s="812">
        <f>ROUND([30]MW!B588,0)</f>
        <v>500</v>
      </c>
      <c r="C1025" s="812">
        <f>ROUND([30]MW!C588,0)</f>
        <v>500</v>
      </c>
      <c r="D1025" s="812">
        <f>ROUND([30]MW!D588,0)</f>
        <v>500</v>
      </c>
      <c r="E1025" s="812">
        <f>ROUND([30]MW!E588,0)</f>
        <v>500</v>
      </c>
      <c r="F1025" s="812">
        <f>ROUND([30]MW!F588,0)</f>
        <v>500</v>
      </c>
      <c r="G1025" s="812">
        <f>ROUND([30]MW!G588,0)</f>
        <v>500</v>
      </c>
      <c r="H1025" s="812">
        <f>ROUND([30]MW!H588,0)</f>
        <v>500</v>
      </c>
      <c r="I1025" s="812">
        <f>ROUND([30]MW!I588,0)</f>
        <v>500</v>
      </c>
      <c r="J1025" s="812">
        <f>ROUND([30]MW!J588,0)</f>
        <v>500</v>
      </c>
      <c r="K1025" s="812">
        <f>ROUND([30]MW!K588,0)</f>
        <v>500</v>
      </c>
      <c r="L1025" s="812">
        <f>ROUND([30]MW!L588,0)</f>
        <v>500</v>
      </c>
      <c r="M1025" s="812">
        <f>ROUND([30]MW!M588,0)</f>
        <v>500</v>
      </c>
      <c r="N1025" s="37">
        <f t="shared" si="637"/>
        <v>6000</v>
      </c>
      <c r="P1025" s="192"/>
    </row>
    <row r="1026" spans="1:16">
      <c r="A1026" s="2">
        <f t="shared" si="635"/>
        <v>2033</v>
      </c>
      <c r="B1026" s="812">
        <f>ROUND([30]MW!B589,0)</f>
        <v>500</v>
      </c>
      <c r="C1026" s="812">
        <f>ROUND([30]MW!C589,0)</f>
        <v>500</v>
      </c>
      <c r="D1026" s="812">
        <f>ROUND([30]MW!D589,0)</f>
        <v>500</v>
      </c>
      <c r="E1026" s="812">
        <f>ROUND([30]MW!E589,0)</f>
        <v>500</v>
      </c>
      <c r="F1026" s="812">
        <f>ROUND([30]MW!F589,0)</f>
        <v>500</v>
      </c>
      <c r="G1026" s="812">
        <f>ROUND([30]MW!G589,0)</f>
        <v>500</v>
      </c>
      <c r="H1026" s="812">
        <f>ROUND([30]MW!H589,0)</f>
        <v>500</v>
      </c>
      <c r="I1026" s="812">
        <f>ROUND([30]MW!I589,0)</f>
        <v>500</v>
      </c>
      <c r="J1026" s="812">
        <f>ROUND([30]MW!J589,0)</f>
        <v>500</v>
      </c>
      <c r="K1026" s="812">
        <f>ROUND([30]MW!K589,0)</f>
        <v>500</v>
      </c>
      <c r="L1026" s="812">
        <f>ROUND([30]MW!L589,0)</f>
        <v>500</v>
      </c>
      <c r="M1026" s="812">
        <f>ROUND([30]MW!M589,0)</f>
        <v>500</v>
      </c>
      <c r="N1026" s="37">
        <f t="shared" si="637"/>
        <v>6000</v>
      </c>
      <c r="P1026" s="192"/>
    </row>
    <row r="1027" spans="1:16">
      <c r="A1027" s="2">
        <f t="shared" si="635"/>
        <v>2034</v>
      </c>
      <c r="B1027" s="812">
        <f>ROUND([30]MW!B590,0)</f>
        <v>500</v>
      </c>
      <c r="C1027" s="812">
        <f>ROUND([30]MW!C590,0)</f>
        <v>500</v>
      </c>
      <c r="D1027" s="812">
        <f>ROUND([30]MW!D590,0)</f>
        <v>500</v>
      </c>
      <c r="E1027" s="812">
        <f>ROUND([30]MW!E590,0)</f>
        <v>500</v>
      </c>
      <c r="F1027" s="812">
        <f>ROUND([30]MW!F590,0)</f>
        <v>500</v>
      </c>
      <c r="G1027" s="812">
        <f>ROUND([30]MW!G590,0)</f>
        <v>500</v>
      </c>
      <c r="H1027" s="812">
        <f>ROUND([30]MW!H590,0)</f>
        <v>500</v>
      </c>
      <c r="I1027" s="812">
        <f>ROUND([30]MW!I590,0)</f>
        <v>500</v>
      </c>
      <c r="J1027" s="812">
        <f>ROUND([30]MW!J590,0)</f>
        <v>500</v>
      </c>
      <c r="K1027" s="812">
        <f>ROUND([30]MW!K590,0)</f>
        <v>500</v>
      </c>
      <c r="L1027" s="812">
        <f>ROUND([30]MW!L590,0)</f>
        <v>500</v>
      </c>
      <c r="M1027" s="812">
        <f>ROUND([30]MW!M590,0)</f>
        <v>500</v>
      </c>
      <c r="N1027" s="37">
        <f t="shared" si="637"/>
        <v>6000</v>
      </c>
      <c r="P1027" s="192"/>
    </row>
    <row r="1028" spans="1:16">
      <c r="A1028" s="2">
        <f t="shared" si="635"/>
        <v>2035</v>
      </c>
      <c r="B1028" s="812">
        <f>ROUND([30]MW!B591,0)</f>
        <v>500</v>
      </c>
      <c r="C1028" s="812">
        <f>ROUND([30]MW!C591,0)</f>
        <v>500</v>
      </c>
      <c r="D1028" s="812">
        <f>ROUND([30]MW!D591,0)</f>
        <v>500</v>
      </c>
      <c r="E1028" s="812">
        <f>ROUND([30]MW!E591,0)</f>
        <v>500</v>
      </c>
      <c r="F1028" s="812">
        <f>ROUND([30]MW!F591,0)</f>
        <v>500</v>
      </c>
      <c r="G1028" s="812">
        <f>ROUND([30]MW!G591,0)</f>
        <v>500</v>
      </c>
      <c r="H1028" s="812">
        <f>ROUND([30]MW!H591,0)</f>
        <v>500</v>
      </c>
      <c r="I1028" s="812">
        <f>ROUND([30]MW!I591,0)</f>
        <v>500</v>
      </c>
      <c r="J1028" s="812">
        <f>ROUND([30]MW!J591,0)</f>
        <v>500</v>
      </c>
      <c r="K1028" s="812">
        <f>ROUND([30]MW!K591,0)</f>
        <v>500</v>
      </c>
      <c r="L1028" s="812">
        <f>ROUND([30]MW!L591,0)</f>
        <v>500</v>
      </c>
      <c r="M1028" s="812">
        <f>ROUND([30]MW!M591,0)</f>
        <v>500</v>
      </c>
      <c r="N1028" s="37">
        <f t="shared" si="637"/>
        <v>6000</v>
      </c>
      <c r="P1028" s="192"/>
    </row>
    <row r="1029" spans="1:16">
      <c r="A1029" s="2">
        <f t="shared" si="635"/>
        <v>2036</v>
      </c>
      <c r="B1029" s="812">
        <f>ROUND([30]MW!B592,0)</f>
        <v>500</v>
      </c>
      <c r="C1029" s="812">
        <f>ROUND([30]MW!C592,0)</f>
        <v>500</v>
      </c>
      <c r="D1029" s="812">
        <f>ROUND([30]MW!D592,0)</f>
        <v>500</v>
      </c>
      <c r="E1029" s="812">
        <f>ROUND([30]MW!E592,0)</f>
        <v>500</v>
      </c>
      <c r="F1029" s="812">
        <f>ROUND([30]MW!F592,0)</f>
        <v>500</v>
      </c>
      <c r="G1029" s="812">
        <f>ROUND([30]MW!G592,0)</f>
        <v>500</v>
      </c>
      <c r="H1029" s="812">
        <f>ROUND([30]MW!H592,0)</f>
        <v>500</v>
      </c>
      <c r="I1029" s="812">
        <f>ROUND([30]MW!I592,0)</f>
        <v>500</v>
      </c>
      <c r="J1029" s="812">
        <f>ROUND([30]MW!J592,0)</f>
        <v>500</v>
      </c>
      <c r="K1029" s="812">
        <f>ROUND([30]MW!K592,0)</f>
        <v>500</v>
      </c>
      <c r="L1029" s="812">
        <f>ROUND([30]MW!L592,0)</f>
        <v>500</v>
      </c>
      <c r="M1029" s="812">
        <f>ROUND([30]MW!M592,0)</f>
        <v>500</v>
      </c>
      <c r="N1029" s="37">
        <f t="shared" si="637"/>
        <v>6000</v>
      </c>
      <c r="P1029" s="192"/>
    </row>
    <row r="1030" spans="1:16">
      <c r="A1030" s="2">
        <f t="shared" si="635"/>
        <v>2037</v>
      </c>
      <c r="B1030" s="812">
        <f>ROUND([30]MW!B593,0)</f>
        <v>500</v>
      </c>
      <c r="C1030" s="812">
        <f>ROUND([30]MW!C593,0)</f>
        <v>500</v>
      </c>
      <c r="D1030" s="812">
        <f>ROUND([30]MW!D593,0)</f>
        <v>500</v>
      </c>
      <c r="E1030" s="812">
        <f>ROUND([30]MW!E593,0)</f>
        <v>500</v>
      </c>
      <c r="F1030" s="812">
        <f>ROUND([30]MW!F593,0)</f>
        <v>500</v>
      </c>
      <c r="G1030" s="812">
        <f>ROUND([30]MW!G593,0)</f>
        <v>500</v>
      </c>
      <c r="H1030" s="812">
        <f>ROUND([30]MW!H593,0)</f>
        <v>500</v>
      </c>
      <c r="I1030" s="812">
        <f>ROUND([30]MW!I593,0)</f>
        <v>500</v>
      </c>
      <c r="J1030" s="812">
        <f>ROUND([30]MW!J593,0)</f>
        <v>500</v>
      </c>
      <c r="K1030" s="812">
        <f>ROUND([30]MW!K593,0)</f>
        <v>500</v>
      </c>
      <c r="L1030" s="812">
        <f>ROUND([30]MW!L593,0)</f>
        <v>500</v>
      </c>
      <c r="M1030" s="812">
        <f>ROUND([30]MW!M593,0)</f>
        <v>500</v>
      </c>
      <c r="N1030" s="37">
        <f t="shared" si="637"/>
        <v>6000</v>
      </c>
      <c r="P1030" s="192"/>
    </row>
    <row r="1031" spans="1:16">
      <c r="A1031" s="2">
        <f t="shared" si="635"/>
        <v>2038</v>
      </c>
      <c r="B1031" s="812">
        <f>ROUND([30]MW!B594,0)</f>
        <v>500</v>
      </c>
      <c r="C1031" s="812">
        <f>ROUND([30]MW!C594,0)</f>
        <v>500</v>
      </c>
      <c r="D1031" s="812">
        <f>ROUND([30]MW!D594,0)</f>
        <v>500</v>
      </c>
      <c r="E1031" s="812">
        <f>ROUND([30]MW!E594,0)</f>
        <v>500</v>
      </c>
      <c r="F1031" s="812">
        <f>ROUND([30]MW!F594,0)</f>
        <v>500</v>
      </c>
      <c r="G1031" s="812">
        <f>ROUND([30]MW!G594,0)</f>
        <v>500</v>
      </c>
      <c r="H1031" s="812">
        <f>ROUND([30]MW!H594,0)</f>
        <v>500</v>
      </c>
      <c r="I1031" s="812">
        <f>ROUND([30]MW!I594,0)</f>
        <v>500</v>
      </c>
      <c r="J1031" s="812">
        <f>ROUND([30]MW!J594,0)</f>
        <v>500</v>
      </c>
      <c r="K1031" s="812">
        <f>ROUND([30]MW!K594,0)</f>
        <v>500</v>
      </c>
      <c r="L1031" s="812">
        <f>ROUND([30]MW!L594,0)</f>
        <v>500</v>
      </c>
      <c r="M1031" s="812">
        <f>ROUND([30]MW!M594,0)</f>
        <v>500</v>
      </c>
      <c r="N1031" s="37">
        <f t="shared" si="637"/>
        <v>6000</v>
      </c>
      <c r="P1031" s="192"/>
    </row>
    <row r="1032" spans="1:16">
      <c r="A1032" s="2">
        <f t="shared" si="635"/>
        <v>2039</v>
      </c>
      <c r="B1032" s="812">
        <f>ROUND([30]MW!B595,0)</f>
        <v>500</v>
      </c>
      <c r="C1032" s="812">
        <f>ROUND([30]MW!C595,0)</f>
        <v>500</v>
      </c>
      <c r="D1032" s="812">
        <f>ROUND([30]MW!D595,0)</f>
        <v>500</v>
      </c>
      <c r="E1032" s="812">
        <f>ROUND([30]MW!E595,0)</f>
        <v>500</v>
      </c>
      <c r="F1032" s="812">
        <f>ROUND([30]MW!F595,0)</f>
        <v>500</v>
      </c>
      <c r="G1032" s="812">
        <f>ROUND([30]MW!G595,0)</f>
        <v>500</v>
      </c>
      <c r="H1032" s="812">
        <f>ROUND([30]MW!H595,0)</f>
        <v>500</v>
      </c>
      <c r="I1032" s="812">
        <f>ROUND([30]MW!I595,0)</f>
        <v>500</v>
      </c>
      <c r="J1032" s="812">
        <f>ROUND([30]MW!J595,0)</f>
        <v>500</v>
      </c>
      <c r="K1032" s="812">
        <f>ROUND([30]MW!K595,0)</f>
        <v>500</v>
      </c>
      <c r="L1032" s="812">
        <f>ROUND([30]MW!L595,0)</f>
        <v>500</v>
      </c>
      <c r="M1032" s="812">
        <f>ROUND([30]MW!M595,0)</f>
        <v>500</v>
      </c>
      <c r="N1032" s="37">
        <f t="shared" si="637"/>
        <v>6000</v>
      </c>
      <c r="P1032" s="192"/>
    </row>
    <row r="1033" spans="1:16">
      <c r="A1033" s="2">
        <f t="shared" si="635"/>
        <v>2040</v>
      </c>
      <c r="B1033" s="812">
        <f>ROUND([30]MW!B596,0)</f>
        <v>500</v>
      </c>
      <c r="C1033" s="812">
        <f>ROUND([30]MW!C596,0)</f>
        <v>500</v>
      </c>
      <c r="D1033" s="812">
        <f>ROUND([30]MW!D596,0)</f>
        <v>500</v>
      </c>
      <c r="E1033" s="812">
        <f>ROUND([30]MW!E596,0)</f>
        <v>500</v>
      </c>
      <c r="F1033" s="812">
        <f>ROUND([30]MW!F596,0)</f>
        <v>500</v>
      </c>
      <c r="G1033" s="812">
        <f>ROUND([30]MW!G596,0)</f>
        <v>500</v>
      </c>
      <c r="H1033" s="812">
        <f>ROUND([30]MW!H596,0)</f>
        <v>500</v>
      </c>
      <c r="I1033" s="812">
        <f>ROUND([30]MW!I596,0)</f>
        <v>500</v>
      </c>
      <c r="J1033" s="812">
        <f>ROUND([30]MW!J596,0)</f>
        <v>500</v>
      </c>
      <c r="K1033" s="812">
        <f>ROUND([30]MW!K596,0)</f>
        <v>500</v>
      </c>
      <c r="L1033" s="812">
        <f>ROUND([30]MW!L596,0)</f>
        <v>500</v>
      </c>
      <c r="M1033" s="812">
        <f>ROUND([30]MW!M596,0)</f>
        <v>500</v>
      </c>
      <c r="N1033" s="37">
        <f t="shared" si="637"/>
        <v>6000</v>
      </c>
      <c r="P1033" s="192"/>
    </row>
    <row r="1034" spans="1:16">
      <c r="A1034" s="2">
        <f t="shared" si="635"/>
        <v>2041</v>
      </c>
      <c r="P1034" s="192"/>
    </row>
    <row r="1035" spans="1:16">
      <c r="A1035" s="2">
        <f t="shared" si="635"/>
        <v>2042</v>
      </c>
      <c r="P1035" s="192"/>
    </row>
    <row r="1036" spans="1:16">
      <c r="A1036" s="2">
        <f t="shared" si="635"/>
        <v>2043</v>
      </c>
      <c r="P1036" s="192"/>
    </row>
    <row r="1037" spans="1:16">
      <c r="A1037" s="2">
        <f t="shared" si="635"/>
        <v>2044</v>
      </c>
      <c r="P1037" s="192"/>
    </row>
    <row r="1038" spans="1:16">
      <c r="A1038" s="2">
        <f t="shared" si="635"/>
        <v>2045</v>
      </c>
      <c r="P1038" s="192"/>
    </row>
    <row r="1039" spans="1:16">
      <c r="P1039" s="192"/>
    </row>
    <row r="1040" spans="1:16">
      <c r="P1040" s="192"/>
    </row>
    <row r="1041" spans="1:30">
      <c r="A1041" s="1107" t="s">
        <v>464</v>
      </c>
      <c r="B1041" s="1104"/>
      <c r="C1041" s="1104"/>
      <c r="D1041" s="1104"/>
      <c r="K1041" s="2" t="s">
        <v>311</v>
      </c>
      <c r="P1041" s="192"/>
    </row>
    <row r="1042" spans="1:30" s="27" customFormat="1">
      <c r="A1042" s="27" t="s">
        <v>9</v>
      </c>
      <c r="B1042" s="27" t="s">
        <v>28</v>
      </c>
      <c r="C1042" s="27" t="s">
        <v>29</v>
      </c>
      <c r="D1042" s="27" t="s">
        <v>30</v>
      </c>
      <c r="E1042" s="27" t="s">
        <v>31</v>
      </c>
      <c r="F1042" s="27" t="s">
        <v>32</v>
      </c>
      <c r="G1042" s="27" t="s">
        <v>33</v>
      </c>
      <c r="H1042" s="27" t="s">
        <v>34</v>
      </c>
      <c r="I1042" s="27" t="s">
        <v>35</v>
      </c>
      <c r="J1042" s="27" t="s">
        <v>36</v>
      </c>
      <c r="K1042" s="27" t="s">
        <v>37</v>
      </c>
      <c r="L1042" s="27" t="s">
        <v>38</v>
      </c>
      <c r="M1042" s="27" t="s">
        <v>39</v>
      </c>
      <c r="N1042" s="33" t="s">
        <v>56</v>
      </c>
      <c r="O1042" s="2"/>
      <c r="P1042" s="19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</row>
    <row r="1043" spans="1:30">
      <c r="A1043" s="2">
        <f>A1003</f>
        <v>2010</v>
      </c>
      <c r="B1043" s="1080">
        <f>[30]MW!B606</f>
        <v>4.2999999999999997E-2</v>
      </c>
      <c r="C1043" s="1080">
        <f>[30]MW!C606</f>
        <v>11.576000000000001</v>
      </c>
      <c r="D1043" s="1080">
        <f>[30]MW!D606</f>
        <v>9.7439999999999998</v>
      </c>
      <c r="E1043" s="1080">
        <f>[30]MW!E606</f>
        <v>5.907</v>
      </c>
      <c r="F1043" s="1080">
        <f>[30]MW!F606</f>
        <v>9.7219999999999995</v>
      </c>
      <c r="G1043" s="1080">
        <f>[30]MW!G606</f>
        <v>12.378</v>
      </c>
      <c r="H1043" s="1080">
        <f>[30]MW!H606</f>
        <v>19.186</v>
      </c>
      <c r="I1043" s="1080">
        <f>[30]MW!I606</f>
        <v>11.914</v>
      </c>
      <c r="J1043" s="1080">
        <f>[30]MW!J606</f>
        <v>2.1850000000000001</v>
      </c>
      <c r="K1043" s="1080">
        <f>[30]MW!K606</f>
        <v>6.36</v>
      </c>
      <c r="L1043" s="1080">
        <f>[30]MW!L606</f>
        <v>9.92</v>
      </c>
      <c r="M1043" s="1080">
        <f>[30]MW!M606</f>
        <v>16</v>
      </c>
      <c r="N1043" s="25">
        <f t="shared" ref="N1043:N1053" si="638">SUM(B1043:M1043)</f>
        <v>114.935</v>
      </c>
      <c r="P1043" s="192"/>
    </row>
    <row r="1044" spans="1:30">
      <c r="A1044" s="2">
        <f t="shared" ref="A1044:A1078" si="639">A1004</f>
        <v>2011</v>
      </c>
      <c r="B1044" s="1081">
        <f>[30]MW!B607</f>
        <v>22</v>
      </c>
      <c r="C1044" s="1081">
        <f>[30]MW!C607</f>
        <v>24</v>
      </c>
      <c r="D1044" s="1081">
        <f>[30]MW!D607</f>
        <v>30</v>
      </c>
      <c r="E1044" s="1081">
        <f>[30]MW!E607</f>
        <v>15</v>
      </c>
      <c r="F1044" s="1081">
        <f>[30]MW!F607</f>
        <v>15</v>
      </c>
      <c r="G1044" s="1081">
        <f>[30]MW!G607</f>
        <v>15</v>
      </c>
      <c r="H1044" s="1081">
        <f>[30]MW!H607</f>
        <v>15</v>
      </c>
      <c r="I1044" s="1081">
        <f>[30]MW!I607</f>
        <v>15</v>
      </c>
      <c r="J1044" s="1081">
        <f>[30]MW!J607</f>
        <v>15</v>
      </c>
      <c r="K1044" s="1081">
        <f>[30]MW!K607</f>
        <v>15</v>
      </c>
      <c r="L1044" s="1081">
        <f>[30]MW!L607</f>
        <v>15</v>
      </c>
      <c r="M1044" s="1081">
        <f>[30]MW!M607</f>
        <v>15</v>
      </c>
      <c r="N1044" s="25">
        <f t="shared" si="638"/>
        <v>211</v>
      </c>
      <c r="P1044" s="192"/>
    </row>
    <row r="1045" spans="1:30">
      <c r="A1045" s="2">
        <f t="shared" si="639"/>
        <v>2012</v>
      </c>
      <c r="B1045" s="1081">
        <f>[30]MW!B608</f>
        <v>16</v>
      </c>
      <c r="C1045" s="1081">
        <f>[30]MW!C608</f>
        <v>21</v>
      </c>
      <c r="D1045" s="1081">
        <f>[30]MW!D608</f>
        <v>21</v>
      </c>
      <c r="E1045" s="1081">
        <f>[30]MW!E608</f>
        <v>15</v>
      </c>
      <c r="F1045" s="1081">
        <f>[30]MW!F608</f>
        <v>15</v>
      </c>
      <c r="G1045" s="1081">
        <f>[30]MW!G608</f>
        <v>15</v>
      </c>
      <c r="H1045" s="1081">
        <f>[30]MW!H608</f>
        <v>15</v>
      </c>
      <c r="I1045" s="1081">
        <f>[30]MW!I608</f>
        <v>15</v>
      </c>
      <c r="J1045" s="1081">
        <f>[30]MW!J608</f>
        <v>15</v>
      </c>
      <c r="K1045" s="1081">
        <f>[30]MW!K608</f>
        <v>15</v>
      </c>
      <c r="L1045" s="1081">
        <f>[30]MW!L608</f>
        <v>15</v>
      </c>
      <c r="M1045" s="1081">
        <f>[30]MW!M608</f>
        <v>15</v>
      </c>
      <c r="N1045" s="25">
        <f t="shared" si="638"/>
        <v>193</v>
      </c>
      <c r="P1045" s="192"/>
    </row>
    <row r="1046" spans="1:30">
      <c r="A1046" s="2">
        <f t="shared" si="639"/>
        <v>2013</v>
      </c>
      <c r="B1046" s="1081">
        <f>[30]MW!B609</f>
        <v>15.01</v>
      </c>
      <c r="C1046" s="1081">
        <f>[30]MW!C609</f>
        <v>15.01</v>
      </c>
      <c r="D1046" s="1081">
        <f>[30]MW!D609</f>
        <v>15.01</v>
      </c>
      <c r="E1046" s="1081">
        <f>[30]MW!E609</f>
        <v>15.01</v>
      </c>
      <c r="F1046" s="1081">
        <f>[30]MW!F609</f>
        <v>15.01</v>
      </c>
      <c r="G1046" s="1081">
        <f>[30]MW!G609</f>
        <v>15.01</v>
      </c>
      <c r="H1046" s="1081">
        <f>[30]MW!H609</f>
        <v>15.01</v>
      </c>
      <c r="I1046" s="1081">
        <f>[30]MW!I609</f>
        <v>15.01</v>
      </c>
      <c r="J1046" s="1081">
        <f>[30]MW!J609</f>
        <v>15.01</v>
      </c>
      <c r="K1046" s="1081">
        <f>[30]MW!K609</f>
        <v>15.01</v>
      </c>
      <c r="L1046" s="1081">
        <f>[30]MW!L609</f>
        <v>15.01</v>
      </c>
      <c r="M1046" s="1081">
        <f>[30]MW!M609</f>
        <v>15.01</v>
      </c>
      <c r="N1046" s="25">
        <f t="shared" si="638"/>
        <v>180.11999999999998</v>
      </c>
      <c r="P1046" s="192"/>
    </row>
    <row r="1047" spans="1:30">
      <c r="A1047" s="2">
        <f t="shared" si="639"/>
        <v>2014</v>
      </c>
      <c r="B1047" s="1081">
        <f>[30]MW!B610</f>
        <v>0</v>
      </c>
      <c r="C1047" s="1081">
        <f>[30]MW!C610</f>
        <v>0</v>
      </c>
      <c r="D1047" s="1081">
        <f>[30]MW!D610</f>
        <v>0</v>
      </c>
      <c r="E1047" s="1081">
        <f>[30]MW!E610</f>
        <v>0</v>
      </c>
      <c r="F1047" s="1081">
        <f>[30]MW!F610</f>
        <v>0</v>
      </c>
      <c r="G1047" s="1081">
        <f>[30]MW!G610</f>
        <v>0</v>
      </c>
      <c r="H1047" s="1081">
        <f>[30]MW!H610</f>
        <v>0</v>
      </c>
      <c r="I1047" s="1081">
        <f>[30]MW!I610</f>
        <v>0</v>
      </c>
      <c r="J1047" s="1081">
        <f>[30]MW!J610</f>
        <v>0</v>
      </c>
      <c r="K1047" s="1081">
        <f>[30]MW!K610</f>
        <v>0</v>
      </c>
      <c r="L1047" s="1081">
        <f>[30]MW!L610</f>
        <v>0</v>
      </c>
      <c r="M1047" s="1081">
        <f>[30]MW!M610</f>
        <v>0</v>
      </c>
      <c r="N1047" s="25">
        <f t="shared" si="638"/>
        <v>0</v>
      </c>
      <c r="P1047" s="192"/>
    </row>
    <row r="1048" spans="1:30">
      <c r="A1048" s="2">
        <f t="shared" si="639"/>
        <v>2015</v>
      </c>
      <c r="B1048" s="1081">
        <f>[30]MW!B611</f>
        <v>0</v>
      </c>
      <c r="C1048" s="1081">
        <f>[30]MW!C611</f>
        <v>0</v>
      </c>
      <c r="D1048" s="1081">
        <f>[30]MW!D611</f>
        <v>0</v>
      </c>
      <c r="E1048" s="1081">
        <f>[30]MW!E611</f>
        <v>0</v>
      </c>
      <c r="F1048" s="1081">
        <f>[30]MW!F611</f>
        <v>0</v>
      </c>
      <c r="G1048" s="1081">
        <f>[30]MW!G611</f>
        <v>0</v>
      </c>
      <c r="H1048" s="1081">
        <f>[30]MW!H611</f>
        <v>0</v>
      </c>
      <c r="I1048" s="1081">
        <f>[30]MW!I611</f>
        <v>0</v>
      </c>
      <c r="J1048" s="1081">
        <f>[30]MW!J611</f>
        <v>0</v>
      </c>
      <c r="K1048" s="1081">
        <f>[30]MW!K611</f>
        <v>0</v>
      </c>
      <c r="L1048" s="1081">
        <f>[30]MW!L611</f>
        <v>0</v>
      </c>
      <c r="M1048" s="1081">
        <f>[30]MW!M611</f>
        <v>0</v>
      </c>
      <c r="N1048" s="25">
        <f t="shared" si="638"/>
        <v>0</v>
      </c>
      <c r="P1048" s="192"/>
    </row>
    <row r="1049" spans="1:30">
      <c r="A1049" s="2">
        <f t="shared" si="639"/>
        <v>2016</v>
      </c>
      <c r="B1049" s="1081">
        <f>[30]MW!B612</f>
        <v>0</v>
      </c>
      <c r="C1049" s="1081">
        <f>[30]MW!C612</f>
        <v>0</v>
      </c>
      <c r="D1049" s="1081">
        <f>[30]MW!D612</f>
        <v>0</v>
      </c>
      <c r="E1049" s="1081">
        <f>[30]MW!E612</f>
        <v>0</v>
      </c>
      <c r="F1049" s="1081">
        <f>[30]MW!F612</f>
        <v>0</v>
      </c>
      <c r="G1049" s="1081">
        <f>[30]MW!G612</f>
        <v>0</v>
      </c>
      <c r="H1049" s="1081">
        <f>[30]MW!H612</f>
        <v>0</v>
      </c>
      <c r="I1049" s="1081">
        <f>[30]MW!I612</f>
        <v>0</v>
      </c>
      <c r="J1049" s="1081">
        <f>[30]MW!J612</f>
        <v>0</v>
      </c>
      <c r="K1049" s="1081">
        <f>[30]MW!K612</f>
        <v>0</v>
      </c>
      <c r="L1049" s="1081">
        <f>[30]MW!L612</f>
        <v>0</v>
      </c>
      <c r="M1049" s="1081">
        <f>[30]MW!M612</f>
        <v>0</v>
      </c>
      <c r="N1049" s="25">
        <f t="shared" si="638"/>
        <v>0</v>
      </c>
      <c r="P1049" s="192"/>
    </row>
    <row r="1050" spans="1:30">
      <c r="A1050" s="2">
        <f t="shared" si="639"/>
        <v>2017</v>
      </c>
      <c r="B1050" s="1081">
        <f>[30]MW!B613</f>
        <v>0</v>
      </c>
      <c r="C1050" s="1081">
        <f>[30]MW!C613</f>
        <v>0</v>
      </c>
      <c r="D1050" s="1081">
        <f>[30]MW!D613</f>
        <v>0</v>
      </c>
      <c r="E1050" s="1081">
        <f>[30]MW!E613</f>
        <v>0</v>
      </c>
      <c r="F1050" s="1081">
        <f>[30]MW!F613</f>
        <v>0</v>
      </c>
      <c r="G1050" s="1081">
        <f>[30]MW!G613</f>
        <v>0</v>
      </c>
      <c r="H1050" s="1081">
        <f>[30]MW!H613</f>
        <v>0</v>
      </c>
      <c r="I1050" s="1081">
        <f>[30]MW!I613</f>
        <v>0</v>
      </c>
      <c r="J1050" s="1081">
        <f>[30]MW!J613</f>
        <v>0</v>
      </c>
      <c r="K1050" s="1081">
        <f>[30]MW!K613</f>
        <v>0</v>
      </c>
      <c r="L1050" s="1081">
        <f>[30]MW!L613</f>
        <v>0</v>
      </c>
      <c r="M1050" s="1081">
        <f>[30]MW!M613</f>
        <v>0</v>
      </c>
      <c r="N1050" s="25">
        <f t="shared" si="638"/>
        <v>0</v>
      </c>
      <c r="P1050" s="192"/>
    </row>
    <row r="1051" spans="1:30">
      <c r="A1051" s="2">
        <f t="shared" si="639"/>
        <v>2018</v>
      </c>
      <c r="B1051" s="1081">
        <f>[30]MW!B614</f>
        <v>0</v>
      </c>
      <c r="C1051" s="1081">
        <f>[30]MW!C614</f>
        <v>0</v>
      </c>
      <c r="D1051" s="1081">
        <f>[30]MW!D614</f>
        <v>0</v>
      </c>
      <c r="E1051" s="1081">
        <f>[30]MW!E614</f>
        <v>0</v>
      </c>
      <c r="F1051" s="1081">
        <f>[30]MW!F614</f>
        <v>0</v>
      </c>
      <c r="G1051" s="1081">
        <f>[30]MW!G614</f>
        <v>0</v>
      </c>
      <c r="H1051" s="1081">
        <f>[30]MW!H614</f>
        <v>0</v>
      </c>
      <c r="I1051" s="1081">
        <f>[30]MW!I614</f>
        <v>0</v>
      </c>
      <c r="J1051" s="1081">
        <f>[30]MW!J614</f>
        <v>0</v>
      </c>
      <c r="K1051" s="1081">
        <f>[30]MW!K614</f>
        <v>0</v>
      </c>
      <c r="L1051" s="1081">
        <f>[30]MW!L614</f>
        <v>0</v>
      </c>
      <c r="M1051" s="1081">
        <f>[30]MW!M614</f>
        <v>0</v>
      </c>
      <c r="N1051" s="25">
        <f t="shared" si="638"/>
        <v>0</v>
      </c>
      <c r="P1051" s="192"/>
    </row>
    <row r="1052" spans="1:30">
      <c r="A1052" s="2">
        <f t="shared" si="639"/>
        <v>2019</v>
      </c>
      <c r="B1052" s="1081">
        <f>[30]MW!B615</f>
        <v>0</v>
      </c>
      <c r="C1052" s="1081">
        <f>[30]MW!C615</f>
        <v>0</v>
      </c>
      <c r="D1052" s="1081">
        <f>[30]MW!D615</f>
        <v>0</v>
      </c>
      <c r="E1052" s="1081">
        <f>[30]MW!E615</f>
        <v>0</v>
      </c>
      <c r="F1052" s="1081">
        <f>[30]MW!F615</f>
        <v>0</v>
      </c>
      <c r="G1052" s="1081">
        <f>[30]MW!G615</f>
        <v>0</v>
      </c>
      <c r="H1052" s="1081">
        <f>[30]MW!H615</f>
        <v>0</v>
      </c>
      <c r="I1052" s="1081">
        <f>[30]MW!I615</f>
        <v>0</v>
      </c>
      <c r="J1052" s="1081">
        <f>[30]MW!J615</f>
        <v>0</v>
      </c>
      <c r="K1052" s="1081">
        <f>[30]MW!K615</f>
        <v>0</v>
      </c>
      <c r="L1052" s="1081">
        <f>[30]MW!L615</f>
        <v>0</v>
      </c>
      <c r="M1052" s="1081">
        <f>[30]MW!M615</f>
        <v>0</v>
      </c>
      <c r="N1052" s="25">
        <f t="shared" si="638"/>
        <v>0</v>
      </c>
      <c r="P1052" s="192"/>
    </row>
    <row r="1053" spans="1:30">
      <c r="A1053" s="2">
        <f t="shared" si="639"/>
        <v>2020</v>
      </c>
      <c r="B1053" s="1081">
        <f>[30]MW!B616</f>
        <v>0</v>
      </c>
      <c r="C1053" s="1081">
        <f>[30]MW!C616</f>
        <v>0</v>
      </c>
      <c r="D1053" s="1081">
        <f>[30]MW!D616</f>
        <v>0</v>
      </c>
      <c r="E1053" s="1081">
        <f>[30]MW!E616</f>
        <v>0</v>
      </c>
      <c r="F1053" s="1081">
        <f>[30]MW!F616</f>
        <v>0</v>
      </c>
      <c r="G1053" s="1081">
        <f>[30]MW!G616</f>
        <v>0</v>
      </c>
      <c r="H1053" s="1081">
        <f>[30]MW!H616</f>
        <v>0</v>
      </c>
      <c r="I1053" s="1081">
        <f>[30]MW!I616</f>
        <v>0</v>
      </c>
      <c r="J1053" s="1081">
        <f>[30]MW!J616</f>
        <v>0</v>
      </c>
      <c r="K1053" s="1081">
        <f>[30]MW!K616</f>
        <v>0</v>
      </c>
      <c r="L1053" s="1081">
        <f>[30]MW!L616</f>
        <v>0</v>
      </c>
      <c r="M1053" s="1081">
        <f>[30]MW!M616</f>
        <v>0</v>
      </c>
      <c r="N1053" s="25">
        <f t="shared" si="638"/>
        <v>0</v>
      </c>
      <c r="P1053" s="192"/>
    </row>
    <row r="1054" spans="1:30">
      <c r="A1054" s="2">
        <f t="shared" si="639"/>
        <v>2021</v>
      </c>
      <c r="B1054" s="1081">
        <f>[30]MW!B617</f>
        <v>0</v>
      </c>
      <c r="C1054" s="1081">
        <f>[30]MW!C617</f>
        <v>0</v>
      </c>
      <c r="D1054" s="1081">
        <f>[30]MW!D617</f>
        <v>0</v>
      </c>
      <c r="E1054" s="1081">
        <f>[30]MW!E617</f>
        <v>0</v>
      </c>
      <c r="F1054" s="1081">
        <f>[30]MW!F617</f>
        <v>0</v>
      </c>
      <c r="G1054" s="1081">
        <f>[30]MW!G617</f>
        <v>0</v>
      </c>
      <c r="H1054" s="1081">
        <f>[30]MW!H617</f>
        <v>0</v>
      </c>
      <c r="I1054" s="1081">
        <f>[30]MW!I617</f>
        <v>0</v>
      </c>
      <c r="J1054" s="1081">
        <f>[30]MW!J617</f>
        <v>0</v>
      </c>
      <c r="K1054" s="1081">
        <f>[30]MW!K617</f>
        <v>0</v>
      </c>
      <c r="L1054" s="1081">
        <f>[30]MW!L617</f>
        <v>0</v>
      </c>
      <c r="M1054" s="1081">
        <f>[30]MW!M617</f>
        <v>0</v>
      </c>
      <c r="N1054" s="25">
        <f t="shared" ref="N1054:N1059" si="640">SUM(B1054:M1054)</f>
        <v>0</v>
      </c>
      <c r="P1054" s="192"/>
    </row>
    <row r="1055" spans="1:30">
      <c r="A1055" s="2">
        <f t="shared" si="639"/>
        <v>2022</v>
      </c>
      <c r="B1055" s="1081">
        <f>[30]MW!B618</f>
        <v>0</v>
      </c>
      <c r="C1055" s="1081">
        <f>[30]MW!C618</f>
        <v>0</v>
      </c>
      <c r="D1055" s="1081">
        <f>[30]MW!D618</f>
        <v>0</v>
      </c>
      <c r="E1055" s="1081">
        <f>[30]MW!E618</f>
        <v>0</v>
      </c>
      <c r="F1055" s="1081">
        <f>[30]MW!F618</f>
        <v>0</v>
      </c>
      <c r="G1055" s="1081">
        <f>[30]MW!G618</f>
        <v>0</v>
      </c>
      <c r="H1055" s="1081">
        <f>[30]MW!H618</f>
        <v>0</v>
      </c>
      <c r="I1055" s="1081">
        <f>[30]MW!I618</f>
        <v>0</v>
      </c>
      <c r="J1055" s="1081">
        <f>[30]MW!J618</f>
        <v>0</v>
      </c>
      <c r="K1055" s="1081">
        <f>[30]MW!K618</f>
        <v>0</v>
      </c>
      <c r="L1055" s="1081">
        <f>[30]MW!L618</f>
        <v>0</v>
      </c>
      <c r="M1055" s="1081">
        <f>[30]MW!M618</f>
        <v>0</v>
      </c>
      <c r="N1055" s="25">
        <f t="shared" si="640"/>
        <v>0</v>
      </c>
      <c r="P1055" s="192"/>
    </row>
    <row r="1056" spans="1:30">
      <c r="A1056" s="2">
        <f t="shared" si="639"/>
        <v>2023</v>
      </c>
      <c r="B1056" s="1081">
        <f>[30]MW!B619</f>
        <v>0</v>
      </c>
      <c r="C1056" s="1081">
        <f>[30]MW!C619</f>
        <v>0</v>
      </c>
      <c r="D1056" s="1081">
        <f>[30]MW!D619</f>
        <v>0</v>
      </c>
      <c r="E1056" s="1081">
        <f>[30]MW!E619</f>
        <v>0</v>
      </c>
      <c r="F1056" s="1081">
        <f>[30]MW!F619</f>
        <v>0</v>
      </c>
      <c r="G1056" s="1081">
        <f>[30]MW!G619</f>
        <v>0</v>
      </c>
      <c r="H1056" s="1081">
        <f>[30]MW!H619</f>
        <v>0</v>
      </c>
      <c r="I1056" s="1081">
        <f>[30]MW!I619</f>
        <v>0</v>
      </c>
      <c r="J1056" s="1081">
        <f>[30]MW!J619</f>
        <v>0</v>
      </c>
      <c r="K1056" s="1081">
        <f>[30]MW!K619</f>
        <v>0</v>
      </c>
      <c r="L1056" s="1081">
        <f>[30]MW!L619</f>
        <v>0</v>
      </c>
      <c r="M1056" s="1081">
        <f>[30]MW!M619</f>
        <v>0</v>
      </c>
      <c r="N1056" s="25">
        <f t="shared" si="640"/>
        <v>0</v>
      </c>
      <c r="P1056" s="192"/>
    </row>
    <row r="1057" spans="1:16">
      <c r="A1057" s="2">
        <f t="shared" si="639"/>
        <v>2024</v>
      </c>
      <c r="B1057" s="1081">
        <f>[30]MW!B620</f>
        <v>0</v>
      </c>
      <c r="C1057" s="1081">
        <f>[30]MW!C620</f>
        <v>0</v>
      </c>
      <c r="D1057" s="1081">
        <f>[30]MW!D620</f>
        <v>0</v>
      </c>
      <c r="E1057" s="1081">
        <f>[30]MW!E620</f>
        <v>0</v>
      </c>
      <c r="F1057" s="1081">
        <f>[30]MW!F620</f>
        <v>0</v>
      </c>
      <c r="G1057" s="1081">
        <f>[30]MW!G620</f>
        <v>0</v>
      </c>
      <c r="H1057" s="1081">
        <f>[30]MW!H620</f>
        <v>0</v>
      </c>
      <c r="I1057" s="1081">
        <f>[30]MW!I620</f>
        <v>0</v>
      </c>
      <c r="J1057" s="1081">
        <f>[30]MW!J620</f>
        <v>0</v>
      </c>
      <c r="K1057" s="1081">
        <f>[30]MW!K620</f>
        <v>0</v>
      </c>
      <c r="L1057" s="1081">
        <f>[30]MW!L620</f>
        <v>0</v>
      </c>
      <c r="M1057" s="1081">
        <f>[30]MW!M620</f>
        <v>0</v>
      </c>
      <c r="N1057" s="25">
        <f t="shared" si="640"/>
        <v>0</v>
      </c>
      <c r="P1057" s="192"/>
    </row>
    <row r="1058" spans="1:16">
      <c r="A1058" s="2">
        <f t="shared" si="639"/>
        <v>2025</v>
      </c>
      <c r="B1058" s="1081">
        <f>[30]MW!B621</f>
        <v>0</v>
      </c>
      <c r="C1058" s="1081">
        <f>[30]MW!C621</f>
        <v>0</v>
      </c>
      <c r="D1058" s="1081">
        <f>[30]MW!D621</f>
        <v>0</v>
      </c>
      <c r="E1058" s="1081">
        <f>[30]MW!E621</f>
        <v>0</v>
      </c>
      <c r="F1058" s="1081">
        <f>[30]MW!F621</f>
        <v>0</v>
      </c>
      <c r="G1058" s="1081">
        <f>[30]MW!G621</f>
        <v>0</v>
      </c>
      <c r="H1058" s="1081">
        <f>[30]MW!H621</f>
        <v>0</v>
      </c>
      <c r="I1058" s="1081">
        <f>[30]MW!I621</f>
        <v>0</v>
      </c>
      <c r="J1058" s="1081">
        <f>[30]MW!J621</f>
        <v>0</v>
      </c>
      <c r="K1058" s="1081">
        <f>[30]MW!K621</f>
        <v>0</v>
      </c>
      <c r="L1058" s="1081">
        <f>[30]MW!L621</f>
        <v>0</v>
      </c>
      <c r="M1058" s="1081">
        <f>[30]MW!M621</f>
        <v>0</v>
      </c>
      <c r="N1058" s="25">
        <f t="shared" si="640"/>
        <v>0</v>
      </c>
      <c r="P1058" s="192"/>
    </row>
    <row r="1059" spans="1:16">
      <c r="A1059" s="2">
        <f t="shared" si="639"/>
        <v>2026</v>
      </c>
      <c r="B1059" s="1081">
        <f>[30]MW!B622</f>
        <v>0</v>
      </c>
      <c r="C1059" s="1081">
        <f>[30]MW!C622</f>
        <v>0</v>
      </c>
      <c r="D1059" s="1081">
        <f>[30]MW!D622</f>
        <v>0</v>
      </c>
      <c r="E1059" s="1081">
        <f>[30]MW!E622</f>
        <v>0</v>
      </c>
      <c r="F1059" s="1081">
        <f>[30]MW!F622</f>
        <v>0</v>
      </c>
      <c r="G1059" s="1081">
        <f>[30]MW!G622</f>
        <v>0</v>
      </c>
      <c r="H1059" s="1081">
        <f>[30]MW!H622</f>
        <v>0</v>
      </c>
      <c r="I1059" s="1081">
        <f>[30]MW!I622</f>
        <v>0</v>
      </c>
      <c r="J1059" s="1081">
        <f>[30]MW!J622</f>
        <v>0</v>
      </c>
      <c r="K1059" s="1081">
        <f>[30]MW!K622</f>
        <v>0</v>
      </c>
      <c r="L1059" s="1081">
        <f>[30]MW!L622</f>
        <v>0</v>
      </c>
      <c r="M1059" s="1081">
        <f>[30]MW!M622</f>
        <v>0</v>
      </c>
      <c r="N1059" s="25">
        <f t="shared" si="640"/>
        <v>0</v>
      </c>
      <c r="P1059" s="192"/>
    </row>
    <row r="1060" spans="1:16">
      <c r="A1060" s="2">
        <f t="shared" si="639"/>
        <v>2027</v>
      </c>
      <c r="B1060" s="1081">
        <f>[30]MW!B623</f>
        <v>0</v>
      </c>
      <c r="C1060" s="1081">
        <f>[30]MW!C623</f>
        <v>0</v>
      </c>
      <c r="D1060" s="1081">
        <f>[30]MW!D623</f>
        <v>0</v>
      </c>
      <c r="E1060" s="1081">
        <f>[30]MW!E623</f>
        <v>0</v>
      </c>
      <c r="F1060" s="1081">
        <f>[30]MW!F623</f>
        <v>0</v>
      </c>
      <c r="G1060" s="1081">
        <f>[30]MW!G623</f>
        <v>0</v>
      </c>
      <c r="H1060" s="1081">
        <f>[30]MW!H623</f>
        <v>0</v>
      </c>
      <c r="I1060" s="1081">
        <f>[30]MW!I623</f>
        <v>0</v>
      </c>
      <c r="J1060" s="1081">
        <f>[30]MW!J623</f>
        <v>0</v>
      </c>
      <c r="K1060" s="1081">
        <f>[30]MW!K623</f>
        <v>0</v>
      </c>
      <c r="L1060" s="1081">
        <f>[30]MW!L623</f>
        <v>0</v>
      </c>
      <c r="M1060" s="1081">
        <f>[30]MW!M623</f>
        <v>0</v>
      </c>
      <c r="N1060" s="25">
        <f>SUM(B1060:M1060)</f>
        <v>0</v>
      </c>
      <c r="P1060" s="192"/>
    </row>
    <row r="1061" spans="1:16">
      <c r="A1061" s="2">
        <f t="shared" si="639"/>
        <v>2028</v>
      </c>
      <c r="B1061" s="1081">
        <f>[30]MW!B624</f>
        <v>0</v>
      </c>
      <c r="C1061" s="1081">
        <f>[30]MW!C624</f>
        <v>0</v>
      </c>
      <c r="D1061" s="1081">
        <f>[30]MW!D624</f>
        <v>0</v>
      </c>
      <c r="E1061" s="1081">
        <f>[30]MW!E624</f>
        <v>0</v>
      </c>
      <c r="F1061" s="1081">
        <f>[30]MW!F624</f>
        <v>0</v>
      </c>
      <c r="G1061" s="1081">
        <f>[30]MW!G624</f>
        <v>0</v>
      </c>
      <c r="H1061" s="1081">
        <f>[30]MW!H624</f>
        <v>0</v>
      </c>
      <c r="I1061" s="1081">
        <f>[30]MW!I624</f>
        <v>0</v>
      </c>
      <c r="J1061" s="1081">
        <f>[30]MW!J624</f>
        <v>0</v>
      </c>
      <c r="K1061" s="1081">
        <f>[30]MW!K624</f>
        <v>0</v>
      </c>
      <c r="L1061" s="1081">
        <f>[30]MW!L624</f>
        <v>0</v>
      </c>
      <c r="M1061" s="1081">
        <f>[30]MW!M624</f>
        <v>0</v>
      </c>
      <c r="N1061" s="25">
        <f>SUM(B1061:M1061)</f>
        <v>0</v>
      </c>
      <c r="P1061" s="192"/>
    </row>
    <row r="1062" spans="1:16">
      <c r="A1062" s="2">
        <f t="shared" si="639"/>
        <v>2029</v>
      </c>
      <c r="B1062" s="1081">
        <f>[30]MW!B625</f>
        <v>0</v>
      </c>
      <c r="C1062" s="1081">
        <f>[30]MW!C625</f>
        <v>0</v>
      </c>
      <c r="D1062" s="1081">
        <f>[30]MW!D625</f>
        <v>0</v>
      </c>
      <c r="E1062" s="1081">
        <f>[30]MW!E625</f>
        <v>0</v>
      </c>
      <c r="F1062" s="1081">
        <f>[30]MW!F625</f>
        <v>0</v>
      </c>
      <c r="G1062" s="1081">
        <f>[30]MW!G625</f>
        <v>0</v>
      </c>
      <c r="H1062" s="1081">
        <f>[30]MW!H625</f>
        <v>0</v>
      </c>
      <c r="I1062" s="1081">
        <f>[30]MW!I625</f>
        <v>0</v>
      </c>
      <c r="J1062" s="1081">
        <f>[30]MW!J625</f>
        <v>0</v>
      </c>
      <c r="K1062" s="1081">
        <f>[30]MW!K625</f>
        <v>0</v>
      </c>
      <c r="L1062" s="1081">
        <f>[30]MW!L625</f>
        <v>0</v>
      </c>
      <c r="M1062" s="1081">
        <f>[30]MW!M625</f>
        <v>0</v>
      </c>
      <c r="N1062" s="25">
        <f>SUM(B1062:M1062)</f>
        <v>0</v>
      </c>
      <c r="P1062" s="192"/>
    </row>
    <row r="1063" spans="1:16">
      <c r="A1063" s="2">
        <f t="shared" si="639"/>
        <v>2030</v>
      </c>
      <c r="B1063" s="1081">
        <f>[30]MW!B626</f>
        <v>0</v>
      </c>
      <c r="C1063" s="1081">
        <f>[30]MW!C626</f>
        <v>0</v>
      </c>
      <c r="D1063" s="1081">
        <f>[30]MW!D626</f>
        <v>0</v>
      </c>
      <c r="E1063" s="1081">
        <f>[30]MW!E626</f>
        <v>0</v>
      </c>
      <c r="F1063" s="1081">
        <f>[30]MW!F626</f>
        <v>0</v>
      </c>
      <c r="G1063" s="1081">
        <f>[30]MW!G626</f>
        <v>0</v>
      </c>
      <c r="H1063" s="1081">
        <f>[30]MW!H626</f>
        <v>0</v>
      </c>
      <c r="I1063" s="1081">
        <f>[30]MW!I626</f>
        <v>0</v>
      </c>
      <c r="J1063" s="1081">
        <f>[30]MW!J626</f>
        <v>0</v>
      </c>
      <c r="K1063" s="1081">
        <f>[30]MW!K626</f>
        <v>0</v>
      </c>
      <c r="L1063" s="1081">
        <f>[30]MW!L626</f>
        <v>0</v>
      </c>
      <c r="M1063" s="1081">
        <f>[30]MW!M626</f>
        <v>0</v>
      </c>
      <c r="N1063" s="25">
        <f>SUM(B1063:M1063)</f>
        <v>0</v>
      </c>
      <c r="P1063" s="192"/>
    </row>
    <row r="1064" spans="1:16">
      <c r="A1064" s="2">
        <f t="shared" si="639"/>
        <v>2031</v>
      </c>
      <c r="B1064" s="1081">
        <f>[30]MW!B627</f>
        <v>0</v>
      </c>
      <c r="C1064" s="1081">
        <f>[30]MW!C627</f>
        <v>0</v>
      </c>
      <c r="D1064" s="1081">
        <f>[30]MW!D627</f>
        <v>0</v>
      </c>
      <c r="E1064" s="1081">
        <f>[30]MW!E627</f>
        <v>0</v>
      </c>
      <c r="F1064" s="1081">
        <f>[30]MW!F627</f>
        <v>0</v>
      </c>
      <c r="G1064" s="1081">
        <f>[30]MW!G627</f>
        <v>0</v>
      </c>
      <c r="H1064" s="1081">
        <f>[30]MW!H627</f>
        <v>0</v>
      </c>
      <c r="I1064" s="1081">
        <f>[30]MW!I627</f>
        <v>0</v>
      </c>
      <c r="J1064" s="1081">
        <f>[30]MW!J627</f>
        <v>0</v>
      </c>
      <c r="K1064" s="1081">
        <f>[30]MW!K627</f>
        <v>0</v>
      </c>
      <c r="L1064" s="1081">
        <f>[30]MW!L627</f>
        <v>0</v>
      </c>
      <c r="M1064" s="1081">
        <f>[30]MW!M627</f>
        <v>0</v>
      </c>
      <c r="N1064" s="25">
        <f t="shared" ref="N1064:N1073" si="641">SUM(B1064:M1064)</f>
        <v>0</v>
      </c>
      <c r="P1064" s="192"/>
    </row>
    <row r="1065" spans="1:16">
      <c r="A1065" s="2">
        <f t="shared" si="639"/>
        <v>2032</v>
      </c>
      <c r="B1065" s="1081">
        <f>[30]MW!B628</f>
        <v>0</v>
      </c>
      <c r="C1065" s="1081">
        <f>[30]MW!C628</f>
        <v>0</v>
      </c>
      <c r="D1065" s="1081">
        <f>[30]MW!D628</f>
        <v>0</v>
      </c>
      <c r="E1065" s="1081">
        <f>[30]MW!E628</f>
        <v>0</v>
      </c>
      <c r="F1065" s="1081">
        <f>[30]MW!F628</f>
        <v>0</v>
      </c>
      <c r="G1065" s="1081">
        <f>[30]MW!G628</f>
        <v>0</v>
      </c>
      <c r="H1065" s="1081">
        <f>[30]MW!H628</f>
        <v>0</v>
      </c>
      <c r="I1065" s="1081">
        <f>[30]MW!I628</f>
        <v>0</v>
      </c>
      <c r="J1065" s="1081">
        <f>[30]MW!J628</f>
        <v>0</v>
      </c>
      <c r="K1065" s="1081">
        <f>[30]MW!K628</f>
        <v>0</v>
      </c>
      <c r="L1065" s="1081">
        <f>[30]MW!L628</f>
        <v>0</v>
      </c>
      <c r="M1065" s="1081">
        <f>[30]MW!M628</f>
        <v>0</v>
      </c>
      <c r="N1065" s="25">
        <f t="shared" si="641"/>
        <v>0</v>
      </c>
      <c r="P1065" s="192"/>
    </row>
    <row r="1066" spans="1:16">
      <c r="A1066" s="2">
        <f t="shared" si="639"/>
        <v>2033</v>
      </c>
      <c r="B1066" s="1081">
        <f>[30]MW!B629</f>
        <v>0</v>
      </c>
      <c r="C1066" s="1081">
        <f>[30]MW!C629</f>
        <v>0</v>
      </c>
      <c r="D1066" s="1081">
        <f>[30]MW!D629</f>
        <v>0</v>
      </c>
      <c r="E1066" s="1081">
        <f>[30]MW!E629</f>
        <v>0</v>
      </c>
      <c r="F1066" s="1081">
        <f>[30]MW!F629</f>
        <v>0</v>
      </c>
      <c r="G1066" s="1081">
        <f>[30]MW!G629</f>
        <v>0</v>
      </c>
      <c r="H1066" s="1081">
        <f>[30]MW!H629</f>
        <v>0</v>
      </c>
      <c r="I1066" s="1081">
        <f>[30]MW!I629</f>
        <v>0</v>
      </c>
      <c r="J1066" s="1081">
        <f>[30]MW!J629</f>
        <v>0</v>
      </c>
      <c r="K1066" s="1081">
        <f>[30]MW!K629</f>
        <v>0</v>
      </c>
      <c r="L1066" s="1081">
        <f>[30]MW!L629</f>
        <v>0</v>
      </c>
      <c r="M1066" s="1081">
        <f>[30]MW!M629</f>
        <v>0</v>
      </c>
      <c r="N1066" s="25">
        <f t="shared" si="641"/>
        <v>0</v>
      </c>
      <c r="P1066" s="192"/>
    </row>
    <row r="1067" spans="1:16">
      <c r="A1067" s="2">
        <f t="shared" si="639"/>
        <v>2034</v>
      </c>
      <c r="B1067" s="1081">
        <f>[30]MW!B630</f>
        <v>0</v>
      </c>
      <c r="C1067" s="1081">
        <f>[30]MW!C630</f>
        <v>0</v>
      </c>
      <c r="D1067" s="1081">
        <f>[30]MW!D630</f>
        <v>0</v>
      </c>
      <c r="E1067" s="1081">
        <f>[30]MW!E630</f>
        <v>0</v>
      </c>
      <c r="F1067" s="1081">
        <f>[30]MW!F630</f>
        <v>0</v>
      </c>
      <c r="G1067" s="1081">
        <f>[30]MW!G630</f>
        <v>0</v>
      </c>
      <c r="H1067" s="1081">
        <f>[30]MW!H630</f>
        <v>0</v>
      </c>
      <c r="I1067" s="1081">
        <f>[30]MW!I630</f>
        <v>0</v>
      </c>
      <c r="J1067" s="1081">
        <f>[30]MW!J630</f>
        <v>0</v>
      </c>
      <c r="K1067" s="1081">
        <f>[30]MW!K630</f>
        <v>0</v>
      </c>
      <c r="L1067" s="1081">
        <f>[30]MW!L630</f>
        <v>0</v>
      </c>
      <c r="M1067" s="1081">
        <f>[30]MW!M630</f>
        <v>0</v>
      </c>
      <c r="N1067" s="25">
        <f t="shared" si="641"/>
        <v>0</v>
      </c>
      <c r="P1067" s="192"/>
    </row>
    <row r="1068" spans="1:16">
      <c r="A1068" s="2">
        <f t="shared" si="639"/>
        <v>2035</v>
      </c>
      <c r="B1068" s="1081">
        <f>[30]MW!B631</f>
        <v>0</v>
      </c>
      <c r="C1068" s="1081">
        <f>[30]MW!C631</f>
        <v>0</v>
      </c>
      <c r="D1068" s="1081">
        <f>[30]MW!D631</f>
        <v>0</v>
      </c>
      <c r="E1068" s="1081">
        <f>[30]MW!E631</f>
        <v>0</v>
      </c>
      <c r="F1068" s="1081">
        <f>[30]MW!F631</f>
        <v>0</v>
      </c>
      <c r="G1068" s="1081">
        <f>[30]MW!G631</f>
        <v>0</v>
      </c>
      <c r="H1068" s="1081">
        <f>[30]MW!H631</f>
        <v>0</v>
      </c>
      <c r="I1068" s="1081">
        <f>[30]MW!I631</f>
        <v>0</v>
      </c>
      <c r="J1068" s="1081">
        <f>[30]MW!J631</f>
        <v>0</v>
      </c>
      <c r="K1068" s="1081">
        <f>[30]MW!K631</f>
        <v>0</v>
      </c>
      <c r="L1068" s="1081">
        <f>[30]MW!L631</f>
        <v>0</v>
      </c>
      <c r="M1068" s="1081">
        <f>[30]MW!M631</f>
        <v>0</v>
      </c>
      <c r="N1068" s="25">
        <f t="shared" si="641"/>
        <v>0</v>
      </c>
      <c r="P1068" s="192"/>
    </row>
    <row r="1069" spans="1:16">
      <c r="A1069" s="2">
        <f t="shared" si="639"/>
        <v>2036</v>
      </c>
      <c r="B1069" s="1081">
        <f>[30]MW!B632</f>
        <v>0</v>
      </c>
      <c r="C1069" s="1081">
        <f>[30]MW!C632</f>
        <v>0</v>
      </c>
      <c r="D1069" s="1081">
        <f>[30]MW!D632</f>
        <v>0</v>
      </c>
      <c r="E1069" s="1081">
        <f>[30]MW!E632</f>
        <v>0</v>
      </c>
      <c r="F1069" s="1081">
        <f>[30]MW!F632</f>
        <v>0</v>
      </c>
      <c r="G1069" s="1081">
        <f>[30]MW!G632</f>
        <v>0</v>
      </c>
      <c r="H1069" s="1081">
        <f>[30]MW!H632</f>
        <v>0</v>
      </c>
      <c r="I1069" s="1081">
        <f>[30]MW!I632</f>
        <v>0</v>
      </c>
      <c r="J1069" s="1081">
        <f>[30]MW!J632</f>
        <v>0</v>
      </c>
      <c r="K1069" s="1081">
        <f>[30]MW!K632</f>
        <v>0</v>
      </c>
      <c r="L1069" s="1081">
        <f>[30]MW!L632</f>
        <v>0</v>
      </c>
      <c r="M1069" s="1081">
        <f>[30]MW!M632</f>
        <v>0</v>
      </c>
      <c r="N1069" s="25">
        <f t="shared" si="641"/>
        <v>0</v>
      </c>
      <c r="P1069" s="192"/>
    </row>
    <row r="1070" spans="1:16">
      <c r="A1070" s="2">
        <f t="shared" si="639"/>
        <v>2037</v>
      </c>
      <c r="B1070" s="1081">
        <f>[30]MW!B633</f>
        <v>0</v>
      </c>
      <c r="C1070" s="1081">
        <f>[30]MW!C633</f>
        <v>0</v>
      </c>
      <c r="D1070" s="1081">
        <f>[30]MW!D633</f>
        <v>0</v>
      </c>
      <c r="E1070" s="1081">
        <f>[30]MW!E633</f>
        <v>0</v>
      </c>
      <c r="F1070" s="1081">
        <f>[30]MW!F633</f>
        <v>0</v>
      </c>
      <c r="G1070" s="1081">
        <f>[30]MW!G633</f>
        <v>0</v>
      </c>
      <c r="H1070" s="1081">
        <f>[30]MW!H633</f>
        <v>0</v>
      </c>
      <c r="I1070" s="1081">
        <f>[30]MW!I633</f>
        <v>0</v>
      </c>
      <c r="J1070" s="1081">
        <f>[30]MW!J633</f>
        <v>0</v>
      </c>
      <c r="K1070" s="1081">
        <f>[30]MW!K633</f>
        <v>0</v>
      </c>
      <c r="L1070" s="1081">
        <f>[30]MW!L633</f>
        <v>0</v>
      </c>
      <c r="M1070" s="1081">
        <f>[30]MW!M633</f>
        <v>0</v>
      </c>
      <c r="N1070" s="25">
        <f t="shared" si="641"/>
        <v>0</v>
      </c>
      <c r="P1070" s="192"/>
    </row>
    <row r="1071" spans="1:16">
      <c r="A1071" s="2">
        <f t="shared" si="639"/>
        <v>2038</v>
      </c>
      <c r="B1071" s="1081">
        <f>[30]MW!B634</f>
        <v>0</v>
      </c>
      <c r="C1071" s="1081">
        <f>[30]MW!C634</f>
        <v>0</v>
      </c>
      <c r="D1071" s="1081">
        <f>[30]MW!D634</f>
        <v>0</v>
      </c>
      <c r="E1071" s="1081">
        <f>[30]MW!E634</f>
        <v>0</v>
      </c>
      <c r="F1071" s="1081">
        <f>[30]MW!F634</f>
        <v>0</v>
      </c>
      <c r="G1071" s="1081">
        <f>[30]MW!G634</f>
        <v>0</v>
      </c>
      <c r="H1071" s="1081">
        <f>[30]MW!H634</f>
        <v>0</v>
      </c>
      <c r="I1071" s="1081">
        <f>[30]MW!I634</f>
        <v>0</v>
      </c>
      <c r="J1071" s="1081">
        <f>[30]MW!J634</f>
        <v>0</v>
      </c>
      <c r="K1071" s="1081">
        <f>[30]MW!K634</f>
        <v>0</v>
      </c>
      <c r="L1071" s="1081">
        <f>[30]MW!L634</f>
        <v>0</v>
      </c>
      <c r="M1071" s="1081">
        <f>[30]MW!M634</f>
        <v>0</v>
      </c>
      <c r="N1071" s="25">
        <f t="shared" si="641"/>
        <v>0</v>
      </c>
      <c r="P1071" s="192"/>
    </row>
    <row r="1072" spans="1:16">
      <c r="A1072" s="2">
        <f t="shared" si="639"/>
        <v>2039</v>
      </c>
      <c r="B1072" s="1081">
        <f>[30]MW!B635</f>
        <v>0</v>
      </c>
      <c r="C1072" s="1081">
        <f>[30]MW!C635</f>
        <v>0</v>
      </c>
      <c r="D1072" s="1081">
        <f>[30]MW!D635</f>
        <v>0</v>
      </c>
      <c r="E1072" s="1081">
        <f>[30]MW!E635</f>
        <v>0</v>
      </c>
      <c r="F1072" s="1081">
        <f>[30]MW!F635</f>
        <v>0</v>
      </c>
      <c r="G1072" s="1081">
        <f>[30]MW!G635</f>
        <v>0</v>
      </c>
      <c r="H1072" s="1081">
        <f>[30]MW!H635</f>
        <v>0</v>
      </c>
      <c r="I1072" s="1081">
        <f>[30]MW!I635</f>
        <v>0</v>
      </c>
      <c r="J1072" s="1081">
        <f>[30]MW!J635</f>
        <v>0</v>
      </c>
      <c r="K1072" s="1081">
        <f>[30]MW!K635</f>
        <v>0</v>
      </c>
      <c r="L1072" s="1081">
        <f>[30]MW!L635</f>
        <v>0</v>
      </c>
      <c r="M1072" s="1081">
        <f>[30]MW!M635</f>
        <v>0</v>
      </c>
      <c r="N1072" s="25">
        <f t="shared" si="641"/>
        <v>0</v>
      </c>
      <c r="P1072" s="192"/>
    </row>
    <row r="1073" spans="1:29">
      <c r="A1073" s="2">
        <f t="shared" si="639"/>
        <v>2040</v>
      </c>
      <c r="B1073" s="1081">
        <f>[30]MW!B636</f>
        <v>0</v>
      </c>
      <c r="C1073" s="1081">
        <f>[30]MW!C636</f>
        <v>0</v>
      </c>
      <c r="D1073" s="1081">
        <f>[30]MW!D636</f>
        <v>0</v>
      </c>
      <c r="E1073" s="1081">
        <f>[30]MW!E636</f>
        <v>0</v>
      </c>
      <c r="F1073" s="1081">
        <f>[30]MW!F636</f>
        <v>0</v>
      </c>
      <c r="G1073" s="1081">
        <f>[30]MW!G636</f>
        <v>0</v>
      </c>
      <c r="H1073" s="1081">
        <f>[30]MW!H636</f>
        <v>0</v>
      </c>
      <c r="I1073" s="1081">
        <f>[30]MW!I636</f>
        <v>0</v>
      </c>
      <c r="J1073" s="1081">
        <f>[30]MW!J636</f>
        <v>0</v>
      </c>
      <c r="K1073" s="1081">
        <f>[30]MW!K636</f>
        <v>0</v>
      </c>
      <c r="L1073" s="1081">
        <f>[30]MW!L636</f>
        <v>0</v>
      </c>
      <c r="M1073" s="1081">
        <f>[30]MW!M636</f>
        <v>0</v>
      </c>
      <c r="N1073" s="25">
        <f t="shared" si="641"/>
        <v>0</v>
      </c>
      <c r="P1073" s="192"/>
    </row>
    <row r="1074" spans="1:29">
      <c r="A1074" s="2">
        <f t="shared" si="639"/>
        <v>2041</v>
      </c>
      <c r="P1074" s="192"/>
    </row>
    <row r="1075" spans="1:29">
      <c r="A1075" s="2">
        <f t="shared" si="639"/>
        <v>2042</v>
      </c>
      <c r="P1075" s="192"/>
    </row>
    <row r="1076" spans="1:29">
      <c r="A1076" s="2">
        <f t="shared" si="639"/>
        <v>2043</v>
      </c>
      <c r="P1076" s="192"/>
    </row>
    <row r="1077" spans="1:29">
      <c r="A1077" s="2">
        <f t="shared" si="639"/>
        <v>2044</v>
      </c>
      <c r="P1077" s="192"/>
    </row>
    <row r="1078" spans="1:29">
      <c r="A1078" s="2">
        <f t="shared" si="639"/>
        <v>2045</v>
      </c>
      <c r="P1078" s="192"/>
    </row>
    <row r="1079" spans="1:29">
      <c r="P1079" s="192"/>
    </row>
    <row r="1080" spans="1:29">
      <c r="P1080" s="192"/>
    </row>
    <row r="1081" spans="1:29">
      <c r="A1081" s="1079" t="s">
        <v>508</v>
      </c>
      <c r="K1081" s="2" t="s">
        <v>311</v>
      </c>
      <c r="P1081" s="192"/>
    </row>
    <row r="1082" spans="1:29">
      <c r="A1082" s="27" t="s">
        <v>9</v>
      </c>
      <c r="B1082" s="27" t="s">
        <v>28</v>
      </c>
      <c r="C1082" s="27" t="s">
        <v>29</v>
      </c>
      <c r="D1082" s="27" t="s">
        <v>30</v>
      </c>
      <c r="E1082" s="27" t="s">
        <v>31</v>
      </c>
      <c r="F1082" s="27" t="s">
        <v>32</v>
      </c>
      <c r="G1082" s="27" t="s">
        <v>33</v>
      </c>
      <c r="H1082" s="27" t="s">
        <v>34</v>
      </c>
      <c r="I1082" s="27" t="s">
        <v>35</v>
      </c>
      <c r="J1082" s="27" t="s">
        <v>36</v>
      </c>
      <c r="K1082" s="27" t="s">
        <v>37</v>
      </c>
      <c r="L1082" s="27" t="s">
        <v>38</v>
      </c>
      <c r="M1082" s="27" t="s">
        <v>39</v>
      </c>
      <c r="N1082" s="33" t="s">
        <v>56</v>
      </c>
      <c r="P1082" s="192"/>
    </row>
    <row r="1083" spans="1:29">
      <c r="A1083" s="2">
        <f>A1043</f>
        <v>2010</v>
      </c>
      <c r="P1083" s="192"/>
    </row>
    <row r="1084" spans="1:29">
      <c r="A1084" s="2">
        <f t="shared" ref="A1084:A1118" si="642">A1044</f>
        <v>2011</v>
      </c>
      <c r="P1084" s="192"/>
    </row>
    <row r="1085" spans="1:29">
      <c r="A1085" s="2">
        <f t="shared" si="642"/>
        <v>2012</v>
      </c>
      <c r="P1085" s="192"/>
    </row>
    <row r="1086" spans="1:29">
      <c r="A1086" s="2">
        <f t="shared" si="642"/>
        <v>2013</v>
      </c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25"/>
    </row>
    <row r="1087" spans="1:29">
      <c r="A1087" s="2">
        <f t="shared" si="642"/>
        <v>2014</v>
      </c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25"/>
    </row>
    <row r="1088" spans="1:29">
      <c r="A1088" s="2">
        <f t="shared" si="642"/>
        <v>2015</v>
      </c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25"/>
    </row>
    <row r="1089" spans="1:29">
      <c r="A1089" s="2">
        <f t="shared" si="642"/>
        <v>2016</v>
      </c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25"/>
    </row>
    <row r="1090" spans="1:29">
      <c r="A1090" s="2">
        <f t="shared" si="642"/>
        <v>2017</v>
      </c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25"/>
    </row>
    <row r="1091" spans="1:29">
      <c r="A1091" s="2">
        <f t="shared" si="642"/>
        <v>2018</v>
      </c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25"/>
    </row>
    <row r="1092" spans="1:29">
      <c r="A1092" s="2">
        <f t="shared" si="642"/>
        <v>2019</v>
      </c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25"/>
    </row>
    <row r="1093" spans="1:29">
      <c r="A1093" s="2">
        <f t="shared" si="642"/>
        <v>2020</v>
      </c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25"/>
    </row>
    <row r="1094" spans="1:29">
      <c r="A1094" s="2">
        <f t="shared" si="642"/>
        <v>2021</v>
      </c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25"/>
    </row>
    <row r="1095" spans="1:29">
      <c r="A1095" s="2">
        <f t="shared" si="642"/>
        <v>2022</v>
      </c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25"/>
    </row>
    <row r="1096" spans="1:29">
      <c r="A1096" s="2">
        <f t="shared" si="642"/>
        <v>2023</v>
      </c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25"/>
    </row>
    <row r="1097" spans="1:29">
      <c r="A1097" s="2">
        <f t="shared" si="642"/>
        <v>2024</v>
      </c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25"/>
    </row>
    <row r="1098" spans="1:29">
      <c r="A1098" s="2">
        <f t="shared" si="642"/>
        <v>2025</v>
      </c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25"/>
    </row>
    <row r="1099" spans="1:29">
      <c r="A1099" s="2">
        <f t="shared" si="642"/>
        <v>2026</v>
      </c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25"/>
    </row>
    <row r="1100" spans="1:29">
      <c r="A1100" s="2">
        <f t="shared" si="642"/>
        <v>2027</v>
      </c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25"/>
    </row>
    <row r="1101" spans="1:29">
      <c r="A1101" s="2">
        <f t="shared" si="642"/>
        <v>2028</v>
      </c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25"/>
    </row>
    <row r="1102" spans="1:29">
      <c r="A1102" s="2">
        <f t="shared" si="642"/>
        <v>2029</v>
      </c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25"/>
    </row>
    <row r="1103" spans="1:29">
      <c r="A1103" s="2">
        <f t="shared" si="642"/>
        <v>2030</v>
      </c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25"/>
    </row>
    <row r="1104" spans="1:29">
      <c r="A1104" s="2">
        <f t="shared" si="642"/>
        <v>2031</v>
      </c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25"/>
    </row>
    <row r="1105" spans="1:29">
      <c r="A1105" s="2">
        <f t="shared" si="642"/>
        <v>2032</v>
      </c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25"/>
    </row>
    <row r="1106" spans="1:29">
      <c r="A1106" s="2">
        <f t="shared" si="642"/>
        <v>2033</v>
      </c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25"/>
    </row>
    <row r="1107" spans="1:29">
      <c r="A1107" s="2">
        <f t="shared" si="642"/>
        <v>2034</v>
      </c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25"/>
    </row>
    <row r="1108" spans="1:29">
      <c r="A1108" s="2">
        <f t="shared" si="642"/>
        <v>2035</v>
      </c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25"/>
    </row>
    <row r="1109" spans="1:29">
      <c r="A1109" s="2">
        <f t="shared" si="642"/>
        <v>2036</v>
      </c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25"/>
    </row>
    <row r="1110" spans="1:29">
      <c r="A1110" s="2">
        <f t="shared" si="642"/>
        <v>2037</v>
      </c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25"/>
    </row>
    <row r="1111" spans="1:29">
      <c r="A1111" s="2">
        <f t="shared" si="642"/>
        <v>2038</v>
      </c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25"/>
    </row>
    <row r="1112" spans="1:29">
      <c r="A1112" s="2">
        <f>A1072</f>
        <v>2039</v>
      </c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25"/>
    </row>
    <row r="1113" spans="1:29">
      <c r="A1113" s="2">
        <f t="shared" si="642"/>
        <v>2040</v>
      </c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25"/>
    </row>
    <row r="1114" spans="1:29">
      <c r="A1114" s="2">
        <f t="shared" si="642"/>
        <v>2041</v>
      </c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25"/>
    </row>
    <row r="1115" spans="1:29">
      <c r="A1115" s="2">
        <f t="shared" si="642"/>
        <v>2042</v>
      </c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25"/>
    </row>
    <row r="1116" spans="1:29">
      <c r="A1116" s="2">
        <f t="shared" si="642"/>
        <v>2043</v>
      </c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25"/>
    </row>
    <row r="1117" spans="1:29">
      <c r="A1117" s="2">
        <f>A1077</f>
        <v>2044</v>
      </c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25"/>
    </row>
    <row r="1118" spans="1:29">
      <c r="A1118" s="2">
        <f t="shared" si="642"/>
        <v>2045</v>
      </c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25"/>
    </row>
    <row r="1119" spans="1:29"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25"/>
    </row>
    <row r="1120" spans="1:29"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25"/>
    </row>
    <row r="1121" spans="1:29">
      <c r="A1121" s="1079" t="s">
        <v>508</v>
      </c>
      <c r="K1121" s="2" t="s">
        <v>311</v>
      </c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25"/>
    </row>
    <row r="1122" spans="1:29">
      <c r="A1122" s="27" t="s">
        <v>9</v>
      </c>
      <c r="B1122" s="27" t="s">
        <v>28</v>
      </c>
      <c r="C1122" s="27" t="s">
        <v>29</v>
      </c>
      <c r="D1122" s="27" t="s">
        <v>30</v>
      </c>
      <c r="E1122" s="27" t="s">
        <v>31</v>
      </c>
      <c r="F1122" s="27" t="s">
        <v>32</v>
      </c>
      <c r="G1122" s="27" t="s">
        <v>33</v>
      </c>
      <c r="H1122" s="27" t="s">
        <v>34</v>
      </c>
      <c r="I1122" s="27" t="s">
        <v>35</v>
      </c>
      <c r="J1122" s="27" t="s">
        <v>36</v>
      </c>
      <c r="K1122" s="27" t="s">
        <v>37</v>
      </c>
      <c r="L1122" s="27" t="s">
        <v>38</v>
      </c>
      <c r="M1122" s="27" t="s">
        <v>39</v>
      </c>
      <c r="N1122" s="33" t="s">
        <v>56</v>
      </c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25"/>
    </row>
    <row r="1123" spans="1:29">
      <c r="A1123" s="2">
        <f>A1083</f>
        <v>2010</v>
      </c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25"/>
    </row>
    <row r="1124" spans="1:29">
      <c r="A1124" s="2">
        <f t="shared" ref="A1124:A1158" si="643">A1084</f>
        <v>2011</v>
      </c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25"/>
    </row>
    <row r="1125" spans="1:29">
      <c r="A1125" s="2">
        <f t="shared" si="643"/>
        <v>2012</v>
      </c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25"/>
    </row>
    <row r="1126" spans="1:29">
      <c r="A1126" s="2">
        <f t="shared" si="643"/>
        <v>2013</v>
      </c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25"/>
    </row>
    <row r="1127" spans="1:29">
      <c r="A1127" s="2">
        <f t="shared" si="643"/>
        <v>2014</v>
      </c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25"/>
    </row>
    <row r="1128" spans="1:29">
      <c r="A1128" s="2">
        <f t="shared" si="643"/>
        <v>2015</v>
      </c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25"/>
    </row>
    <row r="1129" spans="1:29">
      <c r="A1129" s="2">
        <f t="shared" si="643"/>
        <v>2016</v>
      </c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25"/>
    </row>
    <row r="1130" spans="1:29">
      <c r="A1130" s="2">
        <f t="shared" si="643"/>
        <v>2017</v>
      </c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25"/>
    </row>
    <row r="1131" spans="1:29">
      <c r="A1131" s="2">
        <f t="shared" si="643"/>
        <v>2018</v>
      </c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25"/>
    </row>
    <row r="1132" spans="1:29">
      <c r="A1132" s="2">
        <f t="shared" si="643"/>
        <v>2019</v>
      </c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25"/>
    </row>
    <row r="1133" spans="1:29">
      <c r="A1133" s="2">
        <f t="shared" si="643"/>
        <v>2020</v>
      </c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25"/>
    </row>
    <row r="1134" spans="1:29">
      <c r="A1134" s="2">
        <f t="shared" si="643"/>
        <v>2021</v>
      </c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25"/>
    </row>
    <row r="1135" spans="1:29">
      <c r="A1135" s="2">
        <f t="shared" si="643"/>
        <v>2022</v>
      </c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25"/>
    </row>
    <row r="1136" spans="1:29">
      <c r="A1136" s="2">
        <f t="shared" si="643"/>
        <v>2023</v>
      </c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25"/>
    </row>
    <row r="1137" spans="1:29">
      <c r="A1137" s="2">
        <f t="shared" si="643"/>
        <v>2024</v>
      </c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25"/>
    </row>
    <row r="1138" spans="1:29">
      <c r="A1138" s="2">
        <f t="shared" si="643"/>
        <v>2025</v>
      </c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25"/>
    </row>
    <row r="1139" spans="1:29">
      <c r="A1139" s="2">
        <f t="shared" si="643"/>
        <v>2026</v>
      </c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25"/>
    </row>
    <row r="1140" spans="1:29">
      <c r="A1140" s="2">
        <f t="shared" si="643"/>
        <v>2027</v>
      </c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25"/>
    </row>
    <row r="1141" spans="1:29">
      <c r="A1141" s="2">
        <f t="shared" si="643"/>
        <v>2028</v>
      </c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25"/>
    </row>
    <row r="1142" spans="1:29">
      <c r="A1142" s="2">
        <f t="shared" si="643"/>
        <v>2029</v>
      </c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25"/>
    </row>
    <row r="1143" spans="1:29">
      <c r="A1143" s="2">
        <f t="shared" si="643"/>
        <v>2030</v>
      </c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25"/>
    </row>
    <row r="1144" spans="1:29">
      <c r="A1144" s="2">
        <f t="shared" si="643"/>
        <v>2031</v>
      </c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25"/>
    </row>
    <row r="1145" spans="1:29">
      <c r="A1145" s="2">
        <f t="shared" si="643"/>
        <v>2032</v>
      </c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25"/>
    </row>
    <row r="1146" spans="1:29">
      <c r="A1146" s="2">
        <f t="shared" si="643"/>
        <v>2033</v>
      </c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25"/>
    </row>
    <row r="1147" spans="1:29">
      <c r="A1147" s="2">
        <f t="shared" si="643"/>
        <v>2034</v>
      </c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25"/>
    </row>
    <row r="1148" spans="1:29">
      <c r="A1148" s="2">
        <f t="shared" si="643"/>
        <v>2035</v>
      </c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25"/>
    </row>
    <row r="1149" spans="1:29">
      <c r="A1149" s="2">
        <f t="shared" si="643"/>
        <v>2036</v>
      </c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25"/>
    </row>
    <row r="1150" spans="1:29">
      <c r="A1150" s="2">
        <f t="shared" si="643"/>
        <v>2037</v>
      </c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25"/>
    </row>
    <row r="1151" spans="1:29">
      <c r="A1151" s="2">
        <f t="shared" si="643"/>
        <v>2038</v>
      </c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25"/>
    </row>
    <row r="1152" spans="1:29">
      <c r="A1152" s="2">
        <f>A1112</f>
        <v>2039</v>
      </c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25"/>
    </row>
    <row r="1153" spans="1:29">
      <c r="A1153" s="2">
        <f t="shared" si="643"/>
        <v>2040</v>
      </c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25"/>
    </row>
    <row r="1154" spans="1:29">
      <c r="A1154" s="2">
        <f t="shared" si="643"/>
        <v>2041</v>
      </c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25"/>
    </row>
    <row r="1155" spans="1:29">
      <c r="A1155" s="2">
        <f t="shared" si="643"/>
        <v>2042</v>
      </c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25"/>
    </row>
    <row r="1156" spans="1:29">
      <c r="A1156" s="2">
        <f t="shared" si="643"/>
        <v>2043</v>
      </c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25"/>
    </row>
    <row r="1157" spans="1:29">
      <c r="A1157" s="2">
        <f>A1117</f>
        <v>2044</v>
      </c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25"/>
    </row>
    <row r="1158" spans="1:29">
      <c r="A1158" s="2">
        <f t="shared" si="643"/>
        <v>2045</v>
      </c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25"/>
    </row>
    <row r="1159" spans="1:29"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25"/>
    </row>
    <row r="1160" spans="1:29">
      <c r="A1160" s="1612" t="s">
        <v>519</v>
      </c>
      <c r="B1160" s="1613"/>
      <c r="C1160" s="1613"/>
      <c r="D1160" s="1613"/>
      <c r="E1160" s="1613"/>
      <c r="F1160" s="1613"/>
      <c r="G1160" s="1613"/>
      <c r="H1160" s="1613"/>
      <c r="I1160" s="1613"/>
      <c r="J1160" s="1613"/>
      <c r="K1160" s="1613"/>
      <c r="L1160" s="1613"/>
      <c r="M1160" s="1613"/>
      <c r="N1160" s="161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25"/>
    </row>
    <row r="1161" spans="1:29">
      <c r="A1161" s="1079" t="s">
        <v>509</v>
      </c>
      <c r="K1161" s="30" t="s">
        <v>311</v>
      </c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25"/>
    </row>
    <row r="1162" spans="1:29">
      <c r="A1162" s="27" t="s">
        <v>9</v>
      </c>
      <c r="B1162" s="27" t="s">
        <v>28</v>
      </c>
      <c r="C1162" s="27" t="s">
        <v>29</v>
      </c>
      <c r="D1162" s="27" t="s">
        <v>30</v>
      </c>
      <c r="E1162" s="27" t="s">
        <v>31</v>
      </c>
      <c r="F1162" s="27" t="s">
        <v>32</v>
      </c>
      <c r="G1162" s="27" t="s">
        <v>33</v>
      </c>
      <c r="H1162" s="27" t="s">
        <v>34</v>
      </c>
      <c r="I1162" s="27" t="s">
        <v>35</v>
      </c>
      <c r="J1162" s="27" t="s">
        <v>36</v>
      </c>
      <c r="K1162" s="27" t="s">
        <v>37</v>
      </c>
      <c r="L1162" s="27" t="s">
        <v>38</v>
      </c>
      <c r="M1162" s="27" t="s">
        <v>39</v>
      </c>
      <c r="N1162" s="33" t="s">
        <v>56</v>
      </c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25"/>
    </row>
    <row r="1163" spans="1:29">
      <c r="A1163" s="2">
        <f>A1123</f>
        <v>2010</v>
      </c>
      <c r="B1163" s="2">
        <f>ROUND([30]MW!B726,1)</f>
        <v>10.8</v>
      </c>
      <c r="C1163" s="2">
        <f>ROUND([30]MW!C726,1)</f>
        <v>17.399999999999999</v>
      </c>
      <c r="D1163" s="2">
        <f>ROUND([30]MW!D726,1)</f>
        <v>18.2</v>
      </c>
      <c r="E1163" s="2">
        <f>ROUND([30]MW!E726,1)</f>
        <v>12.1</v>
      </c>
      <c r="F1163" s="2">
        <f>ROUND([30]MW!F726,1)</f>
        <v>6.8</v>
      </c>
      <c r="G1163" s="2">
        <f>ROUND([30]MW!G726,1)</f>
        <v>17.100000000000001</v>
      </c>
      <c r="H1163" s="2">
        <f>ROUND([30]MW!H726,1)</f>
        <v>13.2</v>
      </c>
      <c r="I1163" s="2">
        <f>ROUND([30]MW!I726,1)</f>
        <v>12.2</v>
      </c>
      <c r="J1163" s="2">
        <f>ROUND([30]MW!J726,1)</f>
        <v>0</v>
      </c>
      <c r="K1163" s="2">
        <f>ROUND([30]MW!K726,1)</f>
        <v>0</v>
      </c>
      <c r="L1163" s="2">
        <f>ROUND([30]MW!L726,1)</f>
        <v>0</v>
      </c>
      <c r="M1163" s="2">
        <f>ROUND([30]MW!M726,1)</f>
        <v>0</v>
      </c>
      <c r="N1163" s="2">
        <f>SUM(B1163:M1163)</f>
        <v>107.80000000000001</v>
      </c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25"/>
    </row>
    <row r="1164" spans="1:29">
      <c r="A1164" s="2">
        <f t="shared" ref="A1164:A1198" si="644">A1124</f>
        <v>2011</v>
      </c>
      <c r="B1164" s="1104">
        <f>ROUND([30]MW!B727,1)</f>
        <v>0</v>
      </c>
      <c r="C1164" s="1104">
        <f>ROUND([30]MW!C727,1)</f>
        <v>10.199999999999999</v>
      </c>
      <c r="D1164" s="1104">
        <f>ROUND([30]MW!D727,1)</f>
        <v>3.1</v>
      </c>
      <c r="E1164" s="1104">
        <f>ROUND([30]MW!E727,1)</f>
        <v>10.199999999999999</v>
      </c>
      <c r="F1164" s="1104">
        <f>ROUND([30]MW!F727,1)</f>
        <v>10.199999999999999</v>
      </c>
      <c r="G1164" s="1104">
        <f>ROUND([30]MW!G727,1)</f>
        <v>12.2</v>
      </c>
      <c r="H1164" s="1104">
        <f>ROUND([30]MW!H727,1)</f>
        <v>10.199999999999999</v>
      </c>
      <c r="I1164" s="1104">
        <f>ROUND([30]MW!I727,1)</f>
        <v>10.199999999999999</v>
      </c>
      <c r="J1164" s="1104">
        <f>ROUND([30]MW!J727,1)</f>
        <v>10.199999999999999</v>
      </c>
      <c r="K1164" s="1104">
        <f>ROUND([30]MW!K727,1)</f>
        <v>11.2</v>
      </c>
      <c r="L1164" s="1104">
        <f>ROUND([30]MW!L727,1)</f>
        <v>7.1</v>
      </c>
      <c r="M1164" s="1104">
        <f>ROUND([30]MW!M727,1)</f>
        <v>10.199999999999999</v>
      </c>
      <c r="N1164" s="2">
        <f t="shared" ref="N1164:N1183" si="645">SUM(B1164:M1164)</f>
        <v>105.00000000000001</v>
      </c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25"/>
    </row>
    <row r="1165" spans="1:29">
      <c r="A1165" s="2">
        <f t="shared" si="644"/>
        <v>2012</v>
      </c>
      <c r="B1165" s="1085">
        <f>ROUND([30]MW!B728,1)</f>
        <v>27</v>
      </c>
      <c r="C1165" s="1085">
        <f>ROUND([30]MW!C728,1)</f>
        <v>16</v>
      </c>
      <c r="D1165" s="1085">
        <f>ROUND([30]MW!D728,1)</f>
        <v>0</v>
      </c>
      <c r="E1165" s="1085">
        <f>ROUND([30]MW!E728,1)</f>
        <v>0</v>
      </c>
      <c r="F1165" s="1085">
        <f>ROUND([30]MW!F728,1)</f>
        <v>10</v>
      </c>
      <c r="G1165" s="1085">
        <f>ROUND([30]MW!G728,1)</f>
        <v>12</v>
      </c>
      <c r="H1165" s="1085">
        <f>ROUND([30]MW!H728,1)</f>
        <v>10</v>
      </c>
      <c r="I1165" s="1085">
        <f>ROUND([30]MW!I728,1)</f>
        <v>10</v>
      </c>
      <c r="J1165" s="1085">
        <f>ROUND([30]MW!J728,1)</f>
        <v>10</v>
      </c>
      <c r="K1165" s="1085">
        <f>ROUND([30]MW!K728,1)</f>
        <v>11</v>
      </c>
      <c r="L1165" s="1085">
        <f>ROUND([30]MW!L728,1)</f>
        <v>7</v>
      </c>
      <c r="M1165" s="1085">
        <f>ROUND([30]MW!M728,1)</f>
        <v>10</v>
      </c>
      <c r="N1165" s="2">
        <f t="shared" si="645"/>
        <v>123</v>
      </c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25"/>
    </row>
    <row r="1166" spans="1:29">
      <c r="A1166" s="2">
        <f t="shared" si="644"/>
        <v>2013</v>
      </c>
      <c r="B1166" s="1085">
        <f>ROUND([30]MW!B729,1)</f>
        <v>11</v>
      </c>
      <c r="C1166" s="1085">
        <f>ROUND([30]MW!C729,1)</f>
        <v>11</v>
      </c>
      <c r="D1166" s="1085">
        <f>ROUND([30]MW!D729,1)</f>
        <v>10</v>
      </c>
      <c r="E1166" s="1085">
        <f>ROUND([30]MW!E729,1)</f>
        <v>10</v>
      </c>
      <c r="F1166" s="1085">
        <f>ROUND([30]MW!F729,1)</f>
        <v>10</v>
      </c>
      <c r="G1166" s="1085">
        <f>ROUND([30]MW!G729,1)</f>
        <v>12</v>
      </c>
      <c r="H1166" s="1085">
        <f>ROUND([30]MW!H729,1)</f>
        <v>10</v>
      </c>
      <c r="I1166" s="1085">
        <f>ROUND([30]MW!I729,1)</f>
        <v>10</v>
      </c>
      <c r="J1166" s="1085">
        <f>ROUND([30]MW!J729,1)</f>
        <v>10</v>
      </c>
      <c r="K1166" s="1085">
        <f>ROUND([30]MW!K729,1)</f>
        <v>11</v>
      </c>
      <c r="L1166" s="1085">
        <f>ROUND([30]MW!L729,1)</f>
        <v>7</v>
      </c>
      <c r="M1166" s="1085">
        <f>ROUND([30]MW!M729,1)</f>
        <v>10</v>
      </c>
      <c r="N1166" s="26">
        <f t="shared" si="645"/>
        <v>122</v>
      </c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25"/>
    </row>
    <row r="1167" spans="1:29">
      <c r="A1167" s="2">
        <f t="shared" si="644"/>
        <v>2014</v>
      </c>
      <c r="B1167" s="1085">
        <f>ROUND([30]MW!B730,1)</f>
        <v>11</v>
      </c>
      <c r="C1167" s="1085">
        <f>ROUND([30]MW!C730,1)</f>
        <v>11</v>
      </c>
      <c r="D1167" s="1085">
        <f>ROUND([30]MW!D730,1)</f>
        <v>10</v>
      </c>
      <c r="E1167" s="1085">
        <f>ROUND([30]MW!E730,1)</f>
        <v>10</v>
      </c>
      <c r="F1167" s="1085">
        <f>ROUND([30]MW!F730,1)</f>
        <v>10</v>
      </c>
      <c r="G1167" s="1085">
        <f>ROUND([30]MW!G730,1)</f>
        <v>12</v>
      </c>
      <c r="H1167" s="1085">
        <f>ROUND([30]MW!H730,1)</f>
        <v>10</v>
      </c>
      <c r="I1167" s="1085">
        <f>ROUND([30]MW!I730,1)</f>
        <v>10</v>
      </c>
      <c r="J1167" s="1085">
        <f>ROUND([30]MW!J730,1)</f>
        <v>10</v>
      </c>
      <c r="K1167" s="1085">
        <f>ROUND([30]MW!K730,1)</f>
        <v>11</v>
      </c>
      <c r="L1167" s="1085">
        <f>ROUND([30]MW!L730,1)</f>
        <v>7</v>
      </c>
      <c r="M1167" s="1085">
        <f>ROUND([30]MW!M730,1)</f>
        <v>10</v>
      </c>
      <c r="N1167" s="26">
        <f t="shared" si="645"/>
        <v>122</v>
      </c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25"/>
    </row>
    <row r="1168" spans="1:29">
      <c r="A1168" s="2">
        <f t="shared" si="644"/>
        <v>2015</v>
      </c>
      <c r="B1168" s="1085">
        <f>ROUND([30]MW!B731,1)</f>
        <v>11</v>
      </c>
      <c r="C1168" s="1085">
        <f>ROUND([30]MW!C731,1)</f>
        <v>11</v>
      </c>
      <c r="D1168" s="1085">
        <f>ROUND([30]MW!D731,1)</f>
        <v>10</v>
      </c>
      <c r="E1168" s="1085">
        <f>ROUND([30]MW!E731,1)</f>
        <v>10</v>
      </c>
      <c r="F1168" s="1085">
        <f>ROUND([30]MW!F731,1)</f>
        <v>10</v>
      </c>
      <c r="G1168" s="1085">
        <f>ROUND([30]MW!G731,1)</f>
        <v>12</v>
      </c>
      <c r="H1168" s="1085">
        <f>ROUND([30]MW!H731,1)</f>
        <v>10</v>
      </c>
      <c r="I1168" s="1085">
        <f>ROUND([30]MW!I731,1)</f>
        <v>10</v>
      </c>
      <c r="J1168" s="1085">
        <f>ROUND([30]MW!J731,1)</f>
        <v>10</v>
      </c>
      <c r="K1168" s="1085">
        <f>ROUND([30]MW!K731,1)</f>
        <v>11</v>
      </c>
      <c r="L1168" s="1085">
        <f>ROUND([30]MW!L731,1)</f>
        <v>7</v>
      </c>
      <c r="M1168" s="1085">
        <f>ROUND([30]MW!M731,1)</f>
        <v>10</v>
      </c>
      <c r="N1168" s="26">
        <f t="shared" si="645"/>
        <v>122</v>
      </c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25"/>
    </row>
    <row r="1169" spans="1:29">
      <c r="A1169" s="2">
        <f t="shared" si="644"/>
        <v>2016</v>
      </c>
      <c r="B1169" s="1085">
        <f>ROUND([30]MW!B732,1)</f>
        <v>11</v>
      </c>
      <c r="C1169" s="1085">
        <f>ROUND([30]MW!C732,1)</f>
        <v>11</v>
      </c>
      <c r="D1169" s="1085">
        <f>ROUND([30]MW!D732,1)</f>
        <v>10</v>
      </c>
      <c r="E1169" s="1085">
        <f>ROUND([30]MW!E732,1)</f>
        <v>10</v>
      </c>
      <c r="F1169" s="1085">
        <f>ROUND([30]MW!F732,1)</f>
        <v>10</v>
      </c>
      <c r="G1169" s="1085">
        <f>ROUND([30]MW!G732,1)</f>
        <v>12</v>
      </c>
      <c r="H1169" s="1085">
        <f>ROUND([30]MW!H732,1)</f>
        <v>10</v>
      </c>
      <c r="I1169" s="1085">
        <f>ROUND([30]MW!I732,1)</f>
        <v>10</v>
      </c>
      <c r="J1169" s="1085">
        <f>ROUND([30]MW!J732,1)</f>
        <v>10</v>
      </c>
      <c r="K1169" s="1085">
        <f>ROUND([30]MW!K732,1)</f>
        <v>11</v>
      </c>
      <c r="L1169" s="1085">
        <f>ROUND([30]MW!L732,1)</f>
        <v>7</v>
      </c>
      <c r="M1169" s="1085">
        <f>ROUND([30]MW!M732,1)</f>
        <v>10</v>
      </c>
      <c r="N1169" s="26">
        <f t="shared" si="645"/>
        <v>122</v>
      </c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25"/>
    </row>
    <row r="1170" spans="1:29">
      <c r="A1170" s="2">
        <f t="shared" si="644"/>
        <v>2017</v>
      </c>
      <c r="B1170" s="1085">
        <f>ROUND([30]MW!B733,1)</f>
        <v>11</v>
      </c>
      <c r="C1170" s="1085">
        <f>ROUND([30]MW!C733,1)</f>
        <v>11</v>
      </c>
      <c r="D1170" s="1085">
        <f>ROUND([30]MW!D733,1)</f>
        <v>10</v>
      </c>
      <c r="E1170" s="1085">
        <f>ROUND([30]MW!E733,1)</f>
        <v>10</v>
      </c>
      <c r="F1170" s="1085">
        <f>ROUND([30]MW!F733,1)</f>
        <v>10</v>
      </c>
      <c r="G1170" s="1085">
        <f>ROUND([30]MW!G733,1)</f>
        <v>12</v>
      </c>
      <c r="H1170" s="1085">
        <f>ROUND([30]MW!H733,1)</f>
        <v>10</v>
      </c>
      <c r="I1170" s="1085">
        <f>ROUND([30]MW!I733,1)</f>
        <v>10</v>
      </c>
      <c r="J1170" s="1085">
        <f>ROUND([30]MW!J733,1)</f>
        <v>10</v>
      </c>
      <c r="K1170" s="1085">
        <f>ROUND([30]MW!K733,1)</f>
        <v>11</v>
      </c>
      <c r="L1170" s="1085">
        <f>ROUND([30]MW!L733,1)</f>
        <v>7</v>
      </c>
      <c r="M1170" s="1085">
        <f>ROUND([30]MW!M733,1)</f>
        <v>10</v>
      </c>
      <c r="N1170" s="26">
        <f t="shared" si="645"/>
        <v>122</v>
      </c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25"/>
    </row>
    <row r="1171" spans="1:29">
      <c r="A1171" s="2">
        <f t="shared" si="644"/>
        <v>2018</v>
      </c>
      <c r="B1171" s="1085">
        <f>ROUND([30]MW!B734,1)</f>
        <v>11</v>
      </c>
      <c r="C1171" s="1085">
        <f>ROUND([30]MW!C734,1)</f>
        <v>11</v>
      </c>
      <c r="D1171" s="1085">
        <f>ROUND([30]MW!D734,1)</f>
        <v>10</v>
      </c>
      <c r="E1171" s="1085">
        <f>ROUND([30]MW!E734,1)</f>
        <v>10</v>
      </c>
      <c r="F1171" s="1085">
        <f>ROUND([30]MW!F734,1)</f>
        <v>10</v>
      </c>
      <c r="G1171" s="1085">
        <f>ROUND([30]MW!G734,1)</f>
        <v>12</v>
      </c>
      <c r="H1171" s="1085">
        <f>ROUND([30]MW!H734,1)</f>
        <v>10</v>
      </c>
      <c r="I1171" s="1085">
        <f>ROUND([30]MW!I734,1)</f>
        <v>10</v>
      </c>
      <c r="J1171" s="1085">
        <f>ROUND([30]MW!J734,1)</f>
        <v>10</v>
      </c>
      <c r="K1171" s="1085">
        <f>ROUND([30]MW!K734,1)</f>
        <v>11</v>
      </c>
      <c r="L1171" s="1085">
        <f>ROUND([30]MW!L734,1)</f>
        <v>7</v>
      </c>
      <c r="M1171" s="1085">
        <f>ROUND([30]MW!M734,1)</f>
        <v>10</v>
      </c>
      <c r="N1171" s="26">
        <f t="shared" si="645"/>
        <v>122</v>
      </c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25"/>
    </row>
    <row r="1172" spans="1:29">
      <c r="A1172" s="2">
        <f t="shared" si="644"/>
        <v>2019</v>
      </c>
      <c r="B1172" s="1085">
        <f>ROUND([30]MW!B735,1)</f>
        <v>11</v>
      </c>
      <c r="C1172" s="1085">
        <f>ROUND([30]MW!C735,1)</f>
        <v>11</v>
      </c>
      <c r="D1172" s="1085">
        <f>ROUND([30]MW!D735,1)</f>
        <v>10</v>
      </c>
      <c r="E1172" s="1085">
        <f>ROUND([30]MW!E735,1)</f>
        <v>10</v>
      </c>
      <c r="F1172" s="1085">
        <f>ROUND([30]MW!F735,1)</f>
        <v>10</v>
      </c>
      <c r="G1172" s="1085">
        <f>ROUND([30]MW!G735,1)</f>
        <v>12</v>
      </c>
      <c r="H1172" s="1085">
        <f>ROUND([30]MW!H735,1)</f>
        <v>10</v>
      </c>
      <c r="I1172" s="1085">
        <f>ROUND([30]MW!I735,1)</f>
        <v>10</v>
      </c>
      <c r="J1172" s="1085">
        <f>ROUND([30]MW!J735,1)</f>
        <v>10</v>
      </c>
      <c r="K1172" s="1085">
        <f>ROUND([30]MW!K735,1)</f>
        <v>11</v>
      </c>
      <c r="L1172" s="1085">
        <f>ROUND([30]MW!L735,1)</f>
        <v>7</v>
      </c>
      <c r="M1172" s="1085">
        <f>ROUND([30]MW!M735,1)</f>
        <v>10</v>
      </c>
      <c r="N1172" s="26">
        <f t="shared" si="645"/>
        <v>122</v>
      </c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25"/>
    </row>
    <row r="1173" spans="1:29">
      <c r="A1173" s="2">
        <f t="shared" si="644"/>
        <v>2020</v>
      </c>
      <c r="B1173" s="1085">
        <f>ROUND([30]MW!B736,1)</f>
        <v>11</v>
      </c>
      <c r="C1173" s="1085">
        <f>ROUND([30]MW!C736,1)</f>
        <v>11</v>
      </c>
      <c r="D1173" s="1085">
        <f>ROUND([30]MW!D736,1)</f>
        <v>10</v>
      </c>
      <c r="E1173" s="1085">
        <f>ROUND([30]MW!E736,1)</f>
        <v>10</v>
      </c>
      <c r="F1173" s="1085">
        <f>ROUND([30]MW!F736,1)</f>
        <v>10</v>
      </c>
      <c r="G1173" s="1085">
        <f>ROUND([30]MW!G736,1)</f>
        <v>12</v>
      </c>
      <c r="H1173" s="1085">
        <f>ROUND([30]MW!H736,1)</f>
        <v>10</v>
      </c>
      <c r="I1173" s="1085">
        <f>ROUND([30]MW!I736,1)</f>
        <v>10</v>
      </c>
      <c r="J1173" s="1085">
        <f>ROUND([30]MW!J736,1)</f>
        <v>10</v>
      </c>
      <c r="K1173" s="1085">
        <f>ROUND([30]MW!K736,1)</f>
        <v>11</v>
      </c>
      <c r="L1173" s="1085">
        <f>ROUND([30]MW!L736,1)</f>
        <v>7</v>
      </c>
      <c r="M1173" s="1085">
        <f>ROUND([30]MW!M736,1)</f>
        <v>10</v>
      </c>
      <c r="N1173" s="26">
        <f t="shared" si="645"/>
        <v>122</v>
      </c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25"/>
    </row>
    <row r="1174" spans="1:29">
      <c r="A1174" s="2">
        <f t="shared" si="644"/>
        <v>2021</v>
      </c>
      <c r="B1174" s="1085">
        <f>ROUND([30]MW!B737,1)</f>
        <v>11</v>
      </c>
      <c r="C1174" s="1085">
        <f>ROUND([30]MW!C737,1)</f>
        <v>11</v>
      </c>
      <c r="D1174" s="1085">
        <f>ROUND([30]MW!D737,1)</f>
        <v>10</v>
      </c>
      <c r="E1174" s="1085">
        <f>ROUND([30]MW!E737,1)</f>
        <v>10</v>
      </c>
      <c r="F1174" s="1085">
        <f>ROUND([30]MW!F737,1)</f>
        <v>10</v>
      </c>
      <c r="G1174" s="1085">
        <f>ROUND([30]MW!G737,1)</f>
        <v>12</v>
      </c>
      <c r="H1174" s="1085">
        <f>ROUND([30]MW!H737,1)</f>
        <v>10</v>
      </c>
      <c r="I1174" s="1085">
        <f>ROUND([30]MW!I737,1)</f>
        <v>10</v>
      </c>
      <c r="J1174" s="1085">
        <f>ROUND([30]MW!J737,1)</f>
        <v>10</v>
      </c>
      <c r="K1174" s="1085">
        <f>ROUND([30]MW!K737,1)</f>
        <v>11</v>
      </c>
      <c r="L1174" s="1085">
        <f>ROUND([30]MW!L737,1)</f>
        <v>7</v>
      </c>
      <c r="M1174" s="1085">
        <f>ROUND([30]MW!M737,1)</f>
        <v>10</v>
      </c>
      <c r="N1174" s="26">
        <f t="shared" si="645"/>
        <v>122</v>
      </c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25"/>
    </row>
    <row r="1175" spans="1:29">
      <c r="A1175" s="2">
        <f t="shared" si="644"/>
        <v>2022</v>
      </c>
      <c r="B1175" s="1085">
        <f>ROUND([30]MW!B738,1)</f>
        <v>11</v>
      </c>
      <c r="C1175" s="1085">
        <f>ROUND([30]MW!C738,1)</f>
        <v>11</v>
      </c>
      <c r="D1175" s="1085">
        <f>ROUND([30]MW!D738,1)</f>
        <v>10</v>
      </c>
      <c r="E1175" s="1085">
        <f>ROUND([30]MW!E738,1)</f>
        <v>10</v>
      </c>
      <c r="F1175" s="1085">
        <f>ROUND([30]MW!F738,1)</f>
        <v>10</v>
      </c>
      <c r="G1175" s="1085">
        <f>ROUND([30]MW!G738,1)</f>
        <v>12</v>
      </c>
      <c r="H1175" s="1085">
        <f>ROUND([30]MW!H738,1)</f>
        <v>10</v>
      </c>
      <c r="I1175" s="1085">
        <f>ROUND([30]MW!I738,1)</f>
        <v>10</v>
      </c>
      <c r="J1175" s="1085">
        <f>ROUND([30]MW!J738,1)</f>
        <v>10</v>
      </c>
      <c r="K1175" s="1085">
        <f>ROUND([30]MW!K738,1)</f>
        <v>11</v>
      </c>
      <c r="L1175" s="1085">
        <f>ROUND([30]MW!L738,1)</f>
        <v>7</v>
      </c>
      <c r="M1175" s="1085">
        <f>ROUND([30]MW!M738,1)</f>
        <v>10</v>
      </c>
      <c r="N1175" s="26">
        <f t="shared" si="645"/>
        <v>122</v>
      </c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25"/>
    </row>
    <row r="1176" spans="1:29">
      <c r="A1176" s="2">
        <f t="shared" si="644"/>
        <v>2023</v>
      </c>
      <c r="B1176" s="1085">
        <f>ROUND([30]MW!B739,1)</f>
        <v>11</v>
      </c>
      <c r="C1176" s="1085">
        <f>ROUND([30]MW!C739,1)</f>
        <v>11</v>
      </c>
      <c r="D1176" s="1085">
        <f>ROUND([30]MW!D739,1)</f>
        <v>10</v>
      </c>
      <c r="E1176" s="1085">
        <f>ROUND([30]MW!E739,1)</f>
        <v>10</v>
      </c>
      <c r="F1176" s="1085">
        <f>ROUND([30]MW!F739,1)</f>
        <v>10</v>
      </c>
      <c r="G1176" s="1085">
        <f>ROUND([30]MW!G739,1)</f>
        <v>12</v>
      </c>
      <c r="H1176" s="1085">
        <f>ROUND([30]MW!H739,1)</f>
        <v>10</v>
      </c>
      <c r="I1176" s="1085">
        <f>ROUND([30]MW!I739,1)</f>
        <v>10</v>
      </c>
      <c r="J1176" s="1085">
        <f>ROUND([30]MW!J739,1)</f>
        <v>10</v>
      </c>
      <c r="K1176" s="1085">
        <f>ROUND([30]MW!K739,1)</f>
        <v>11</v>
      </c>
      <c r="L1176" s="1085">
        <f>ROUND([30]MW!L739,1)</f>
        <v>7</v>
      </c>
      <c r="M1176" s="1085">
        <f>ROUND([30]MW!M739,1)</f>
        <v>10</v>
      </c>
      <c r="N1176" s="26">
        <f t="shared" si="645"/>
        <v>122</v>
      </c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25"/>
    </row>
    <row r="1177" spans="1:29">
      <c r="A1177" s="2">
        <f t="shared" si="644"/>
        <v>2024</v>
      </c>
      <c r="B1177" s="1085">
        <f>ROUND([30]MW!B740,1)</f>
        <v>11</v>
      </c>
      <c r="C1177" s="1085">
        <f>ROUND([30]MW!C740,1)</f>
        <v>11</v>
      </c>
      <c r="D1177" s="1085">
        <f>ROUND([30]MW!D740,1)</f>
        <v>10</v>
      </c>
      <c r="E1177" s="1085">
        <f>ROUND([30]MW!E740,1)</f>
        <v>10</v>
      </c>
      <c r="F1177" s="1085">
        <f>ROUND([30]MW!F740,1)</f>
        <v>10</v>
      </c>
      <c r="G1177" s="1085">
        <f>ROUND([30]MW!G740,1)</f>
        <v>12</v>
      </c>
      <c r="H1177" s="1085">
        <f>ROUND([30]MW!H740,1)</f>
        <v>10</v>
      </c>
      <c r="I1177" s="1085">
        <f>ROUND([30]MW!I740,1)</f>
        <v>10</v>
      </c>
      <c r="J1177" s="1085">
        <f>ROUND([30]MW!J740,1)</f>
        <v>10</v>
      </c>
      <c r="K1177" s="1085">
        <f>ROUND([30]MW!K740,1)</f>
        <v>11</v>
      </c>
      <c r="L1177" s="1085">
        <f>ROUND([30]MW!L740,1)</f>
        <v>7</v>
      </c>
      <c r="M1177" s="1085">
        <f>ROUND([30]MW!M740,1)</f>
        <v>10</v>
      </c>
      <c r="N1177" s="26">
        <f t="shared" si="645"/>
        <v>122</v>
      </c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25"/>
    </row>
    <row r="1178" spans="1:29">
      <c r="A1178" s="2">
        <f t="shared" si="644"/>
        <v>2025</v>
      </c>
      <c r="B1178" s="1085">
        <f>ROUND([30]MW!B741,1)</f>
        <v>11</v>
      </c>
      <c r="C1178" s="1085">
        <f>ROUND([30]MW!C741,1)</f>
        <v>11</v>
      </c>
      <c r="D1178" s="1085">
        <f>ROUND([30]MW!D741,1)</f>
        <v>10</v>
      </c>
      <c r="E1178" s="1085">
        <f>ROUND([30]MW!E741,1)</f>
        <v>10</v>
      </c>
      <c r="F1178" s="1085">
        <f>ROUND([30]MW!F741,1)</f>
        <v>10</v>
      </c>
      <c r="G1178" s="1085">
        <f>ROUND([30]MW!G741,1)</f>
        <v>12</v>
      </c>
      <c r="H1178" s="1085">
        <f>ROUND([30]MW!H741,1)</f>
        <v>10</v>
      </c>
      <c r="I1178" s="1085">
        <f>ROUND([30]MW!I741,1)</f>
        <v>10</v>
      </c>
      <c r="J1178" s="1085">
        <f>ROUND([30]MW!J741,1)</f>
        <v>10</v>
      </c>
      <c r="K1178" s="1085">
        <f>ROUND([30]MW!K741,1)</f>
        <v>11</v>
      </c>
      <c r="L1178" s="1085">
        <f>ROUND([30]MW!L741,1)</f>
        <v>7</v>
      </c>
      <c r="M1178" s="1085">
        <f>ROUND([30]MW!M741,1)</f>
        <v>10</v>
      </c>
      <c r="N1178" s="26">
        <f t="shared" si="645"/>
        <v>122</v>
      </c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25"/>
    </row>
    <row r="1179" spans="1:29">
      <c r="A1179" s="2">
        <f t="shared" si="644"/>
        <v>2026</v>
      </c>
      <c r="B1179" s="1085">
        <f>ROUND([30]MW!B742,1)</f>
        <v>11</v>
      </c>
      <c r="C1179" s="1085">
        <f>ROUND([30]MW!C742,1)</f>
        <v>11</v>
      </c>
      <c r="D1179" s="1085">
        <f>ROUND([30]MW!D742,1)</f>
        <v>10</v>
      </c>
      <c r="E1179" s="1085">
        <f>ROUND([30]MW!E742,1)</f>
        <v>10</v>
      </c>
      <c r="F1179" s="1085">
        <f>ROUND([30]MW!F742,1)</f>
        <v>10</v>
      </c>
      <c r="G1179" s="1085">
        <f>ROUND([30]MW!G742,1)</f>
        <v>12</v>
      </c>
      <c r="H1179" s="1085">
        <f>ROUND([30]MW!H742,1)</f>
        <v>10</v>
      </c>
      <c r="I1179" s="1085">
        <f>ROUND([30]MW!I742,1)</f>
        <v>10</v>
      </c>
      <c r="J1179" s="1085">
        <f>ROUND([30]MW!J742,1)</f>
        <v>10</v>
      </c>
      <c r="K1179" s="1085">
        <f>ROUND([30]MW!K742,1)</f>
        <v>11</v>
      </c>
      <c r="L1179" s="1085">
        <f>ROUND([30]MW!L742,1)</f>
        <v>7</v>
      </c>
      <c r="M1179" s="1085">
        <f>ROUND([30]MW!M742,1)</f>
        <v>10</v>
      </c>
      <c r="N1179" s="26">
        <f t="shared" si="645"/>
        <v>122</v>
      </c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25"/>
    </row>
    <row r="1180" spans="1:29">
      <c r="A1180" s="2">
        <f t="shared" si="644"/>
        <v>2027</v>
      </c>
      <c r="B1180" s="1085">
        <f>ROUND([30]MW!B743,1)</f>
        <v>11</v>
      </c>
      <c r="C1180" s="1085">
        <f>ROUND([30]MW!C743,1)</f>
        <v>11</v>
      </c>
      <c r="D1180" s="1085">
        <f>ROUND([30]MW!D743,1)</f>
        <v>10</v>
      </c>
      <c r="E1180" s="1085">
        <f>ROUND([30]MW!E743,1)</f>
        <v>10</v>
      </c>
      <c r="F1180" s="1085">
        <f>ROUND([30]MW!F743,1)</f>
        <v>10</v>
      </c>
      <c r="G1180" s="1085">
        <f>ROUND([30]MW!G743,1)</f>
        <v>12</v>
      </c>
      <c r="H1180" s="1085">
        <f>ROUND([30]MW!H743,1)</f>
        <v>10</v>
      </c>
      <c r="I1180" s="1085">
        <f>ROUND([30]MW!I743,1)</f>
        <v>10</v>
      </c>
      <c r="J1180" s="1085">
        <f>ROUND([30]MW!J743,1)</f>
        <v>10</v>
      </c>
      <c r="K1180" s="1085">
        <f>ROUND([30]MW!K743,1)</f>
        <v>11</v>
      </c>
      <c r="L1180" s="1085">
        <f>ROUND([30]MW!L743,1)</f>
        <v>7</v>
      </c>
      <c r="M1180" s="1085">
        <f>ROUND([30]MW!M743,1)</f>
        <v>10</v>
      </c>
      <c r="N1180" s="26">
        <f t="shared" si="645"/>
        <v>122</v>
      </c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25"/>
    </row>
    <row r="1181" spans="1:29">
      <c r="A1181" s="2">
        <f t="shared" si="644"/>
        <v>2028</v>
      </c>
      <c r="B1181" s="1085">
        <f>ROUND([30]MW!B744,1)</f>
        <v>11</v>
      </c>
      <c r="C1181" s="1085">
        <f>ROUND([30]MW!C744,1)</f>
        <v>11</v>
      </c>
      <c r="D1181" s="1085">
        <f>ROUND([30]MW!D744,1)</f>
        <v>10</v>
      </c>
      <c r="E1181" s="1085">
        <f>ROUND([30]MW!E744,1)</f>
        <v>10</v>
      </c>
      <c r="F1181" s="1085">
        <f>ROUND([30]MW!F744,1)</f>
        <v>10</v>
      </c>
      <c r="G1181" s="1085">
        <f>ROUND([30]MW!G744,1)</f>
        <v>12</v>
      </c>
      <c r="H1181" s="1085">
        <f>ROUND([30]MW!H744,1)</f>
        <v>10</v>
      </c>
      <c r="I1181" s="1085">
        <f>ROUND([30]MW!I744,1)</f>
        <v>10</v>
      </c>
      <c r="J1181" s="1085">
        <f>ROUND([30]MW!J744,1)</f>
        <v>10</v>
      </c>
      <c r="K1181" s="1085">
        <f>ROUND([30]MW!K744,1)</f>
        <v>11</v>
      </c>
      <c r="L1181" s="1085">
        <f>ROUND([30]MW!L744,1)</f>
        <v>7</v>
      </c>
      <c r="M1181" s="1085">
        <f>ROUND([30]MW!M744,1)</f>
        <v>10</v>
      </c>
      <c r="N1181" s="26">
        <f t="shared" si="645"/>
        <v>122</v>
      </c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25"/>
    </row>
    <row r="1182" spans="1:29">
      <c r="A1182" s="2">
        <f t="shared" si="644"/>
        <v>2029</v>
      </c>
      <c r="B1182" s="1085">
        <f>ROUND([30]MW!B745,1)</f>
        <v>11</v>
      </c>
      <c r="C1182" s="1085">
        <f>ROUND([30]MW!C745,1)</f>
        <v>11</v>
      </c>
      <c r="D1182" s="1085">
        <f>ROUND([30]MW!D745,1)</f>
        <v>10</v>
      </c>
      <c r="E1182" s="1085">
        <f>ROUND([30]MW!E745,1)</f>
        <v>10</v>
      </c>
      <c r="F1182" s="1085">
        <f>ROUND([30]MW!F745,1)</f>
        <v>10</v>
      </c>
      <c r="G1182" s="1085">
        <f>ROUND([30]MW!G745,1)</f>
        <v>12</v>
      </c>
      <c r="H1182" s="1085">
        <f>ROUND([30]MW!H745,1)</f>
        <v>10</v>
      </c>
      <c r="I1182" s="1085">
        <f>ROUND([30]MW!I745,1)</f>
        <v>10</v>
      </c>
      <c r="J1182" s="1085">
        <f>ROUND([30]MW!J745,1)</f>
        <v>10</v>
      </c>
      <c r="K1182" s="1085">
        <f>ROUND([30]MW!K745,1)</f>
        <v>11</v>
      </c>
      <c r="L1182" s="1085">
        <f>ROUND([30]MW!L745,1)</f>
        <v>7</v>
      </c>
      <c r="M1182" s="1085">
        <f>ROUND([30]MW!M745,1)</f>
        <v>10</v>
      </c>
      <c r="N1182" s="26">
        <f t="shared" si="645"/>
        <v>122</v>
      </c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25"/>
    </row>
    <row r="1183" spans="1:29">
      <c r="A1183" s="2">
        <f t="shared" si="644"/>
        <v>2030</v>
      </c>
      <c r="B1183" s="1085">
        <f>ROUND([30]MW!B746,1)</f>
        <v>11</v>
      </c>
      <c r="C1183" s="1085">
        <f>ROUND([30]MW!C746,1)</f>
        <v>11</v>
      </c>
      <c r="D1183" s="1085">
        <f>ROUND([30]MW!D746,1)</f>
        <v>10</v>
      </c>
      <c r="E1183" s="1085">
        <f>ROUND([30]MW!E746,1)</f>
        <v>10</v>
      </c>
      <c r="F1183" s="1085">
        <f>ROUND([30]MW!F746,1)</f>
        <v>10</v>
      </c>
      <c r="G1183" s="1085">
        <f>ROUND([30]MW!G746,1)</f>
        <v>12</v>
      </c>
      <c r="H1183" s="1085">
        <f>ROUND([30]MW!H746,1)</f>
        <v>10</v>
      </c>
      <c r="I1183" s="1085">
        <f>ROUND([30]MW!I746,1)</f>
        <v>10</v>
      </c>
      <c r="J1183" s="1085">
        <f>ROUND([30]MW!J746,1)</f>
        <v>10</v>
      </c>
      <c r="K1183" s="1085">
        <f>ROUND([30]MW!K746,1)</f>
        <v>11</v>
      </c>
      <c r="L1183" s="1085">
        <f>ROUND([30]MW!L746,1)</f>
        <v>7</v>
      </c>
      <c r="M1183" s="1085">
        <f>ROUND([30]MW!M746,1)</f>
        <v>10</v>
      </c>
      <c r="N1183" s="26">
        <f t="shared" si="645"/>
        <v>122</v>
      </c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25"/>
    </row>
    <row r="1184" spans="1:29">
      <c r="A1184" s="2">
        <f t="shared" si="644"/>
        <v>2031</v>
      </c>
      <c r="B1184" s="1085">
        <f>ROUND([30]MW!B747,1)</f>
        <v>11</v>
      </c>
      <c r="C1184" s="1085">
        <f>ROUND([30]MW!C747,1)</f>
        <v>11</v>
      </c>
      <c r="D1184" s="1085">
        <f>ROUND([30]MW!D747,1)</f>
        <v>10</v>
      </c>
      <c r="E1184" s="1085">
        <f>ROUND([30]MW!E747,1)</f>
        <v>10</v>
      </c>
      <c r="F1184" s="1085">
        <f>ROUND([30]MW!F747,1)</f>
        <v>10</v>
      </c>
      <c r="G1184" s="1085">
        <f>ROUND([30]MW!G747,1)</f>
        <v>12</v>
      </c>
      <c r="H1184" s="1085">
        <f>ROUND([30]MW!H747,1)</f>
        <v>10</v>
      </c>
      <c r="I1184" s="1085">
        <f>ROUND([30]MW!I747,1)</f>
        <v>10</v>
      </c>
      <c r="J1184" s="1085">
        <f>ROUND([30]MW!J747,1)</f>
        <v>10</v>
      </c>
      <c r="K1184" s="1085">
        <f>ROUND([30]MW!K747,1)</f>
        <v>11</v>
      </c>
      <c r="L1184" s="1085">
        <f>ROUND([30]MW!L747,1)</f>
        <v>7</v>
      </c>
      <c r="M1184" s="1085">
        <f>ROUND([30]MW!M747,1)</f>
        <v>10</v>
      </c>
      <c r="N1184" s="26">
        <f t="shared" ref="N1184:N1193" si="646">SUM(B1184:M1184)</f>
        <v>122</v>
      </c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25"/>
    </row>
    <row r="1185" spans="1:29">
      <c r="A1185" s="2">
        <f t="shared" si="644"/>
        <v>2032</v>
      </c>
      <c r="B1185" s="1085">
        <f>ROUND([30]MW!B748,1)</f>
        <v>11</v>
      </c>
      <c r="C1185" s="1085">
        <f>ROUND([30]MW!C748,1)</f>
        <v>11</v>
      </c>
      <c r="D1185" s="1085">
        <f>ROUND([30]MW!D748,1)</f>
        <v>10</v>
      </c>
      <c r="E1185" s="1085">
        <f>ROUND([30]MW!E748,1)</f>
        <v>10</v>
      </c>
      <c r="F1185" s="1085">
        <f>ROUND([30]MW!F748,1)</f>
        <v>10</v>
      </c>
      <c r="G1185" s="1085">
        <f>ROUND([30]MW!G748,1)</f>
        <v>12</v>
      </c>
      <c r="H1185" s="1085">
        <f>ROUND([30]MW!H748,1)</f>
        <v>10</v>
      </c>
      <c r="I1185" s="1085">
        <f>ROUND([30]MW!I748,1)</f>
        <v>10</v>
      </c>
      <c r="J1185" s="1085">
        <f>ROUND([30]MW!J748,1)</f>
        <v>10</v>
      </c>
      <c r="K1185" s="1085">
        <f>ROUND([30]MW!K748,1)</f>
        <v>11</v>
      </c>
      <c r="L1185" s="1085">
        <f>ROUND([30]MW!L748,1)</f>
        <v>7</v>
      </c>
      <c r="M1185" s="1085">
        <f>ROUND([30]MW!M748,1)</f>
        <v>10</v>
      </c>
      <c r="N1185" s="26">
        <f t="shared" si="646"/>
        <v>122</v>
      </c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25"/>
    </row>
    <row r="1186" spans="1:29">
      <c r="A1186" s="2">
        <f t="shared" si="644"/>
        <v>2033</v>
      </c>
      <c r="B1186" s="1085">
        <f>ROUND([30]MW!B749,1)</f>
        <v>11</v>
      </c>
      <c r="C1186" s="1085">
        <f>ROUND([30]MW!C749,1)</f>
        <v>11</v>
      </c>
      <c r="D1186" s="1085">
        <f>ROUND([30]MW!D749,1)</f>
        <v>10</v>
      </c>
      <c r="E1186" s="1085">
        <f>ROUND([30]MW!E749,1)</f>
        <v>10</v>
      </c>
      <c r="F1186" s="1085">
        <f>ROUND([30]MW!F749,1)</f>
        <v>10</v>
      </c>
      <c r="G1186" s="1085">
        <f>ROUND([30]MW!G749,1)</f>
        <v>12</v>
      </c>
      <c r="H1186" s="1085">
        <f>ROUND([30]MW!H749,1)</f>
        <v>10</v>
      </c>
      <c r="I1186" s="1085">
        <f>ROUND([30]MW!I749,1)</f>
        <v>10</v>
      </c>
      <c r="J1186" s="1085">
        <f>ROUND([30]MW!J749,1)</f>
        <v>10</v>
      </c>
      <c r="K1186" s="1085">
        <f>ROUND([30]MW!K749,1)</f>
        <v>11</v>
      </c>
      <c r="L1186" s="1085">
        <f>ROUND([30]MW!L749,1)</f>
        <v>7</v>
      </c>
      <c r="M1186" s="1085">
        <f>ROUND([30]MW!M749,1)</f>
        <v>10</v>
      </c>
      <c r="N1186" s="26">
        <f t="shared" si="646"/>
        <v>122</v>
      </c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25"/>
    </row>
    <row r="1187" spans="1:29">
      <c r="A1187" s="2">
        <f t="shared" si="644"/>
        <v>2034</v>
      </c>
      <c r="B1187" s="1085">
        <f>ROUND([30]MW!B750,1)</f>
        <v>11</v>
      </c>
      <c r="C1187" s="1085">
        <f>ROUND([30]MW!C750,1)</f>
        <v>11</v>
      </c>
      <c r="D1187" s="1085">
        <f>ROUND([30]MW!D750,1)</f>
        <v>10</v>
      </c>
      <c r="E1187" s="1085">
        <f>ROUND([30]MW!E750,1)</f>
        <v>10</v>
      </c>
      <c r="F1187" s="1085">
        <f>ROUND([30]MW!F750,1)</f>
        <v>10</v>
      </c>
      <c r="G1187" s="1085">
        <f>ROUND([30]MW!G750,1)</f>
        <v>12</v>
      </c>
      <c r="H1187" s="1085">
        <f>ROUND([30]MW!H750,1)</f>
        <v>10</v>
      </c>
      <c r="I1187" s="1085">
        <f>ROUND([30]MW!I750,1)</f>
        <v>10</v>
      </c>
      <c r="J1187" s="1085">
        <f>ROUND([30]MW!J750,1)</f>
        <v>10</v>
      </c>
      <c r="K1187" s="1085">
        <f>ROUND([30]MW!K750,1)</f>
        <v>11</v>
      </c>
      <c r="L1187" s="1085">
        <f>ROUND([30]MW!L750,1)</f>
        <v>7</v>
      </c>
      <c r="M1187" s="1085">
        <f>ROUND([30]MW!M750,1)</f>
        <v>10</v>
      </c>
      <c r="N1187" s="26">
        <f t="shared" si="646"/>
        <v>122</v>
      </c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25"/>
    </row>
    <row r="1188" spans="1:29">
      <c r="A1188" s="2">
        <f t="shared" si="644"/>
        <v>2035</v>
      </c>
      <c r="B1188" s="1085">
        <f>ROUND([30]MW!B751,1)</f>
        <v>11</v>
      </c>
      <c r="C1188" s="1085">
        <f>ROUND([30]MW!C751,1)</f>
        <v>11</v>
      </c>
      <c r="D1188" s="1085">
        <f>ROUND([30]MW!D751,1)</f>
        <v>10</v>
      </c>
      <c r="E1188" s="1085">
        <f>ROUND([30]MW!E751,1)</f>
        <v>10</v>
      </c>
      <c r="F1188" s="1085">
        <f>ROUND([30]MW!F751,1)</f>
        <v>10</v>
      </c>
      <c r="G1188" s="1085">
        <f>ROUND([30]MW!G751,1)</f>
        <v>12</v>
      </c>
      <c r="H1188" s="1085">
        <f>ROUND([30]MW!H751,1)</f>
        <v>10</v>
      </c>
      <c r="I1188" s="1085">
        <f>ROUND([30]MW!I751,1)</f>
        <v>10</v>
      </c>
      <c r="J1188" s="1085">
        <f>ROUND([30]MW!J751,1)</f>
        <v>10</v>
      </c>
      <c r="K1188" s="1085">
        <f>ROUND([30]MW!K751,1)</f>
        <v>11</v>
      </c>
      <c r="L1188" s="1085">
        <f>ROUND([30]MW!L751,1)</f>
        <v>7</v>
      </c>
      <c r="M1188" s="1085">
        <f>ROUND([30]MW!M751,1)</f>
        <v>10</v>
      </c>
      <c r="N1188" s="26">
        <f t="shared" si="646"/>
        <v>122</v>
      </c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25"/>
    </row>
    <row r="1189" spans="1:29">
      <c r="A1189" s="2">
        <f t="shared" si="644"/>
        <v>2036</v>
      </c>
      <c r="B1189" s="1085">
        <f>ROUND([30]MW!B752,1)</f>
        <v>11</v>
      </c>
      <c r="C1189" s="1085">
        <f>ROUND([30]MW!C752,1)</f>
        <v>11</v>
      </c>
      <c r="D1189" s="1085">
        <f>ROUND([30]MW!D752,1)</f>
        <v>10</v>
      </c>
      <c r="E1189" s="1085">
        <f>ROUND([30]MW!E752,1)</f>
        <v>10</v>
      </c>
      <c r="F1189" s="1085">
        <f>ROUND([30]MW!F752,1)</f>
        <v>10</v>
      </c>
      <c r="G1189" s="1085">
        <f>ROUND([30]MW!G752,1)</f>
        <v>12</v>
      </c>
      <c r="H1189" s="1085">
        <f>ROUND([30]MW!H752,1)</f>
        <v>10</v>
      </c>
      <c r="I1189" s="1085">
        <f>ROUND([30]MW!I752,1)</f>
        <v>10</v>
      </c>
      <c r="J1189" s="1085">
        <f>ROUND([30]MW!J752,1)</f>
        <v>10</v>
      </c>
      <c r="K1189" s="1085">
        <f>ROUND([30]MW!K752,1)</f>
        <v>11</v>
      </c>
      <c r="L1189" s="1085">
        <f>ROUND([30]MW!L752,1)</f>
        <v>7</v>
      </c>
      <c r="M1189" s="1085">
        <f>ROUND([30]MW!M752,1)</f>
        <v>10</v>
      </c>
      <c r="N1189" s="26">
        <f t="shared" si="646"/>
        <v>122</v>
      </c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25"/>
    </row>
    <row r="1190" spans="1:29">
      <c r="A1190" s="2">
        <f t="shared" si="644"/>
        <v>2037</v>
      </c>
      <c r="B1190" s="1085">
        <f>ROUND([30]MW!B753,1)</f>
        <v>11</v>
      </c>
      <c r="C1190" s="1085">
        <f>ROUND([30]MW!C753,1)</f>
        <v>11</v>
      </c>
      <c r="D1190" s="1085">
        <f>ROUND([30]MW!D753,1)</f>
        <v>10</v>
      </c>
      <c r="E1190" s="1085">
        <f>ROUND([30]MW!E753,1)</f>
        <v>10</v>
      </c>
      <c r="F1190" s="1085">
        <f>ROUND([30]MW!F753,1)</f>
        <v>10</v>
      </c>
      <c r="G1190" s="1085">
        <f>ROUND([30]MW!G753,1)</f>
        <v>12</v>
      </c>
      <c r="H1190" s="1085">
        <f>ROUND([30]MW!H753,1)</f>
        <v>10</v>
      </c>
      <c r="I1190" s="1085">
        <f>ROUND([30]MW!I753,1)</f>
        <v>10</v>
      </c>
      <c r="J1190" s="1085">
        <f>ROUND([30]MW!J753,1)</f>
        <v>10</v>
      </c>
      <c r="K1190" s="1085">
        <f>ROUND([30]MW!K753,1)</f>
        <v>11</v>
      </c>
      <c r="L1190" s="1085">
        <f>ROUND([30]MW!L753,1)</f>
        <v>7</v>
      </c>
      <c r="M1190" s="1085">
        <f>ROUND([30]MW!M753,1)</f>
        <v>10</v>
      </c>
      <c r="N1190" s="26">
        <f t="shared" si="646"/>
        <v>122</v>
      </c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25"/>
    </row>
    <row r="1191" spans="1:29">
      <c r="A1191" s="2">
        <f t="shared" si="644"/>
        <v>2038</v>
      </c>
      <c r="B1191" s="1085">
        <f>ROUND([30]MW!B754,1)</f>
        <v>11</v>
      </c>
      <c r="C1191" s="1085">
        <f>ROUND([30]MW!C754,1)</f>
        <v>11</v>
      </c>
      <c r="D1191" s="1085">
        <f>ROUND([30]MW!D754,1)</f>
        <v>10</v>
      </c>
      <c r="E1191" s="1085">
        <f>ROUND([30]MW!E754,1)</f>
        <v>10</v>
      </c>
      <c r="F1191" s="1085">
        <f>ROUND([30]MW!F754,1)</f>
        <v>10</v>
      </c>
      <c r="G1191" s="1085">
        <f>ROUND([30]MW!G754,1)</f>
        <v>12</v>
      </c>
      <c r="H1191" s="1085">
        <f>ROUND([30]MW!H754,1)</f>
        <v>10</v>
      </c>
      <c r="I1191" s="1085">
        <f>ROUND([30]MW!I754,1)</f>
        <v>10</v>
      </c>
      <c r="J1191" s="1085">
        <f>ROUND([30]MW!J754,1)</f>
        <v>10</v>
      </c>
      <c r="K1191" s="1085">
        <f>ROUND([30]MW!K754,1)</f>
        <v>11</v>
      </c>
      <c r="L1191" s="1085">
        <f>ROUND([30]MW!L754,1)</f>
        <v>7</v>
      </c>
      <c r="M1191" s="1085">
        <f>ROUND([30]MW!M754,1)</f>
        <v>10</v>
      </c>
      <c r="N1191" s="26">
        <f t="shared" si="646"/>
        <v>122</v>
      </c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25"/>
    </row>
    <row r="1192" spans="1:29">
      <c r="A1192" s="2">
        <f>A1152</f>
        <v>2039</v>
      </c>
      <c r="B1192" s="1085">
        <f>ROUND([30]MW!B755,1)</f>
        <v>11</v>
      </c>
      <c r="C1192" s="1085">
        <f>ROUND([30]MW!C755,1)</f>
        <v>11</v>
      </c>
      <c r="D1192" s="1085">
        <f>ROUND([30]MW!D755,1)</f>
        <v>10</v>
      </c>
      <c r="E1192" s="1085">
        <f>ROUND([30]MW!E755,1)</f>
        <v>10</v>
      </c>
      <c r="F1192" s="1085">
        <f>ROUND([30]MW!F755,1)</f>
        <v>10</v>
      </c>
      <c r="G1192" s="1085">
        <f>ROUND([30]MW!G755,1)</f>
        <v>12</v>
      </c>
      <c r="H1192" s="1085">
        <f>ROUND([30]MW!H755,1)</f>
        <v>10</v>
      </c>
      <c r="I1192" s="1085">
        <f>ROUND([30]MW!I755,1)</f>
        <v>10</v>
      </c>
      <c r="J1192" s="1085">
        <f>ROUND([30]MW!J755,1)</f>
        <v>10</v>
      </c>
      <c r="K1192" s="1085">
        <f>ROUND([30]MW!K755,1)</f>
        <v>11</v>
      </c>
      <c r="L1192" s="1085">
        <f>ROUND([30]MW!L755,1)</f>
        <v>7</v>
      </c>
      <c r="M1192" s="1085">
        <f>ROUND([30]MW!M755,1)</f>
        <v>10</v>
      </c>
      <c r="N1192" s="26">
        <f t="shared" si="646"/>
        <v>122</v>
      </c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25"/>
    </row>
    <row r="1193" spans="1:29">
      <c r="A1193" s="2">
        <f t="shared" si="644"/>
        <v>2040</v>
      </c>
      <c r="B1193" s="1085">
        <f>ROUND([30]MW!B756,1)</f>
        <v>11</v>
      </c>
      <c r="C1193" s="1085">
        <f>ROUND([30]MW!C756,1)</f>
        <v>11</v>
      </c>
      <c r="D1193" s="1085">
        <f>ROUND([30]MW!D756,1)</f>
        <v>10</v>
      </c>
      <c r="E1193" s="1085">
        <f>ROUND([30]MW!E756,1)</f>
        <v>10</v>
      </c>
      <c r="F1193" s="1085">
        <f>ROUND([30]MW!F756,1)</f>
        <v>10</v>
      </c>
      <c r="G1193" s="1085">
        <f>ROUND([30]MW!G756,1)</f>
        <v>12</v>
      </c>
      <c r="H1193" s="1085">
        <f>ROUND([30]MW!H756,1)</f>
        <v>10</v>
      </c>
      <c r="I1193" s="1085">
        <f>ROUND([30]MW!I756,1)</f>
        <v>10</v>
      </c>
      <c r="J1193" s="1085">
        <f>ROUND([30]MW!J756,1)</f>
        <v>10</v>
      </c>
      <c r="K1193" s="1085">
        <f>ROUND([30]MW!K756,1)</f>
        <v>11</v>
      </c>
      <c r="L1193" s="1085">
        <f>ROUND([30]MW!L756,1)</f>
        <v>7</v>
      </c>
      <c r="M1193" s="1085">
        <f>ROUND([30]MW!M756,1)</f>
        <v>10</v>
      </c>
      <c r="N1193" s="26">
        <f t="shared" si="646"/>
        <v>122</v>
      </c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25"/>
    </row>
    <row r="1194" spans="1:29">
      <c r="A1194" s="2">
        <f t="shared" si="644"/>
        <v>2041</v>
      </c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25"/>
    </row>
    <row r="1195" spans="1:29">
      <c r="A1195" s="2">
        <f t="shared" si="644"/>
        <v>2042</v>
      </c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25"/>
    </row>
    <row r="1196" spans="1:29">
      <c r="A1196" s="2">
        <f t="shared" si="644"/>
        <v>2043</v>
      </c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25"/>
    </row>
    <row r="1197" spans="1:29">
      <c r="A1197" s="2">
        <f>A1157</f>
        <v>2044</v>
      </c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25"/>
    </row>
    <row r="1198" spans="1:29">
      <c r="A1198" s="2">
        <f t="shared" si="644"/>
        <v>2045</v>
      </c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25"/>
    </row>
    <row r="1201" spans="1:14">
      <c r="A1201" s="31" t="s">
        <v>425</v>
      </c>
      <c r="K1201" s="30" t="s">
        <v>311</v>
      </c>
    </row>
    <row r="1202" spans="1:14" s="27" customFormat="1">
      <c r="A1202" s="27" t="s">
        <v>9</v>
      </c>
      <c r="B1202" s="27" t="s">
        <v>28</v>
      </c>
      <c r="C1202" s="27" t="s">
        <v>29</v>
      </c>
      <c r="D1202" s="27" t="s">
        <v>30</v>
      </c>
      <c r="E1202" s="27" t="s">
        <v>31</v>
      </c>
      <c r="F1202" s="27" t="s">
        <v>32</v>
      </c>
      <c r="G1202" s="27" t="s">
        <v>33</v>
      </c>
      <c r="H1202" s="27" t="s">
        <v>34</v>
      </c>
      <c r="I1202" s="27" t="s">
        <v>35</v>
      </c>
      <c r="J1202" s="27" t="s">
        <v>36</v>
      </c>
      <c r="K1202" s="27" t="s">
        <v>37</v>
      </c>
      <c r="L1202" s="27" t="s">
        <v>38</v>
      </c>
      <c r="M1202" s="27" t="s">
        <v>39</v>
      </c>
      <c r="N1202" s="33" t="s">
        <v>56</v>
      </c>
    </row>
    <row r="1203" spans="1:14">
      <c r="A1203" s="2">
        <f>A1043</f>
        <v>2010</v>
      </c>
      <c r="B1203" s="34">
        <f>[30]MW!B766</f>
        <v>25</v>
      </c>
      <c r="C1203" s="34">
        <f>[30]MW!C766</f>
        <v>25</v>
      </c>
      <c r="D1203" s="34">
        <f>[30]MW!D766</f>
        <v>25</v>
      </c>
      <c r="E1203" s="34">
        <f>[30]MW!E766</f>
        <v>25</v>
      </c>
      <c r="F1203" s="34">
        <f>[30]MW!F766</f>
        <v>25</v>
      </c>
      <c r="G1203" s="34">
        <f>[30]MW!G766</f>
        <v>25</v>
      </c>
      <c r="H1203" s="34">
        <f>[30]MW!H766</f>
        <v>25</v>
      </c>
      <c r="I1203" s="34">
        <f>[30]MW!I766</f>
        <v>25</v>
      </c>
      <c r="J1203" s="34">
        <f>[30]MW!J766</f>
        <v>25</v>
      </c>
      <c r="K1203" s="34">
        <f>[30]MW!K766</f>
        <v>25</v>
      </c>
      <c r="L1203" s="34">
        <f>[30]MW!L766</f>
        <v>10</v>
      </c>
      <c r="M1203" s="34">
        <f>[30]MW!M766</f>
        <v>25</v>
      </c>
      <c r="N1203" s="25">
        <f t="shared" ref="N1203:N1213" si="647">SUM(B1203:M1203)</f>
        <v>285</v>
      </c>
    </row>
    <row r="1204" spans="1:14">
      <c r="A1204" s="2">
        <f t="shared" ref="A1204:A1238" si="648">A1044</f>
        <v>2011</v>
      </c>
      <c r="B1204" s="880">
        <f>[30]MW!B767</f>
        <v>25</v>
      </c>
      <c r="C1204" s="880">
        <f>[30]MW!C767</f>
        <v>25</v>
      </c>
      <c r="D1204" s="880">
        <f>[30]MW!D767</f>
        <v>25</v>
      </c>
      <c r="E1204" s="880">
        <f>[30]MW!E767</f>
        <v>25</v>
      </c>
      <c r="F1204" s="880">
        <f>[30]MW!F767</f>
        <v>25</v>
      </c>
      <c r="G1204" s="880">
        <f>[30]MW!G767</f>
        <v>25</v>
      </c>
      <c r="H1204" s="880">
        <f>[30]MW!H767</f>
        <v>25</v>
      </c>
      <c r="I1204" s="880">
        <f>[30]MW!I767</f>
        <v>25</v>
      </c>
      <c r="J1204" s="880">
        <f>[30]MW!J767</f>
        <v>25</v>
      </c>
      <c r="K1204" s="880">
        <f>[30]MW!K767</f>
        <v>25</v>
      </c>
      <c r="L1204" s="880">
        <f>[30]MW!L767</f>
        <v>25</v>
      </c>
      <c r="M1204" s="880">
        <f>[30]MW!M767</f>
        <v>25</v>
      </c>
      <c r="N1204" s="25">
        <f t="shared" si="647"/>
        <v>300</v>
      </c>
    </row>
    <row r="1205" spans="1:14">
      <c r="A1205" s="2">
        <f t="shared" si="648"/>
        <v>2012</v>
      </c>
      <c r="B1205" s="880">
        <f>[30]MW!B768</f>
        <v>25</v>
      </c>
      <c r="C1205" s="880">
        <f>[30]MW!C768</f>
        <v>25</v>
      </c>
      <c r="D1205" s="880">
        <f>[30]MW!D768</f>
        <v>25</v>
      </c>
      <c r="E1205" s="880">
        <f>[30]MW!E768</f>
        <v>25</v>
      </c>
      <c r="F1205" s="880">
        <f>[30]MW!F768</f>
        <v>25</v>
      </c>
      <c r="G1205" s="880">
        <f>[30]MW!G768</f>
        <v>25</v>
      </c>
      <c r="H1205" s="880">
        <f>[30]MW!H768</f>
        <v>25</v>
      </c>
      <c r="I1205" s="880">
        <f>[30]MW!I768</f>
        <v>25</v>
      </c>
      <c r="J1205" s="880">
        <f>[30]MW!J768</f>
        <v>25</v>
      </c>
      <c r="K1205" s="880">
        <f>[30]MW!K768</f>
        <v>25</v>
      </c>
      <c r="L1205" s="880">
        <f>[30]MW!L768</f>
        <v>25</v>
      </c>
      <c r="M1205" s="880">
        <f>[30]MW!M768</f>
        <v>25</v>
      </c>
      <c r="N1205" s="25">
        <f t="shared" si="647"/>
        <v>300</v>
      </c>
    </row>
    <row r="1206" spans="1:14">
      <c r="A1206" s="2">
        <f t="shared" si="648"/>
        <v>2013</v>
      </c>
      <c r="B1206" s="880">
        <f>[30]MW!B769</f>
        <v>25.02</v>
      </c>
      <c r="C1206" s="880">
        <f>[30]MW!C769</f>
        <v>25.02</v>
      </c>
      <c r="D1206" s="880">
        <f>[30]MW!D769</f>
        <v>25.02</v>
      </c>
      <c r="E1206" s="880">
        <f>[30]MW!E769</f>
        <v>25.02</v>
      </c>
      <c r="F1206" s="880">
        <f>[30]MW!F769</f>
        <v>25.02</v>
      </c>
      <c r="G1206" s="880">
        <f>[30]MW!G769</f>
        <v>25.02</v>
      </c>
      <c r="H1206" s="880">
        <f>[30]MW!H769</f>
        <v>25.02</v>
      </c>
      <c r="I1206" s="880">
        <f>[30]MW!I769</f>
        <v>25.02</v>
      </c>
      <c r="J1206" s="880">
        <f>[30]MW!J769</f>
        <v>25.02</v>
      </c>
      <c r="K1206" s="880">
        <f>[30]MW!K769</f>
        <v>25.02</v>
      </c>
      <c r="L1206" s="880">
        <f>[30]MW!L769</f>
        <v>25.02</v>
      </c>
      <c r="M1206" s="880">
        <f>[30]MW!M769</f>
        <v>25.02</v>
      </c>
      <c r="N1206" s="25">
        <f t="shared" si="647"/>
        <v>300.24</v>
      </c>
    </row>
    <row r="1207" spans="1:14">
      <c r="A1207" s="2">
        <f t="shared" si="648"/>
        <v>2014</v>
      </c>
      <c r="B1207" s="880">
        <f>[30]MW!B770</f>
        <v>25.02</v>
      </c>
      <c r="C1207" s="880">
        <f>[30]MW!C770</f>
        <v>25.02</v>
      </c>
      <c r="D1207" s="880">
        <f>[30]MW!D770</f>
        <v>25.02</v>
      </c>
      <c r="E1207" s="880">
        <f>[30]MW!E770</f>
        <v>25.02</v>
      </c>
      <c r="F1207" s="880">
        <f>[30]MW!F770</f>
        <v>25.02</v>
      </c>
      <c r="G1207" s="880">
        <f>[30]MW!G770</f>
        <v>25.02</v>
      </c>
      <c r="H1207" s="880">
        <f>[30]MW!H770</f>
        <v>25.02</v>
      </c>
      <c r="I1207" s="880">
        <f>[30]MW!I770</f>
        <v>25.02</v>
      </c>
      <c r="J1207" s="880">
        <f>[30]MW!J770</f>
        <v>25.02</v>
      </c>
      <c r="K1207" s="880">
        <f>[30]MW!K770</f>
        <v>25.02</v>
      </c>
      <c r="L1207" s="880">
        <f>[30]MW!L770</f>
        <v>25.02</v>
      </c>
      <c r="M1207" s="880">
        <f>[30]MW!M770</f>
        <v>25.02</v>
      </c>
      <c r="N1207" s="25">
        <f t="shared" si="647"/>
        <v>300.24</v>
      </c>
    </row>
    <row r="1208" spans="1:14">
      <c r="A1208" s="2">
        <f t="shared" si="648"/>
        <v>2015</v>
      </c>
      <c r="B1208" s="880">
        <f>[30]MW!B771</f>
        <v>25.02</v>
      </c>
      <c r="C1208" s="880">
        <f>[30]MW!C771</f>
        <v>25.02</v>
      </c>
      <c r="D1208" s="880">
        <f>[30]MW!D771</f>
        <v>25.02</v>
      </c>
      <c r="E1208" s="880">
        <f>[30]MW!E771</f>
        <v>25.02</v>
      </c>
      <c r="F1208" s="880">
        <f>[30]MW!F771</f>
        <v>25.02</v>
      </c>
      <c r="G1208" s="880">
        <f>[30]MW!G771</f>
        <v>25.02</v>
      </c>
      <c r="H1208" s="880">
        <f>[30]MW!H771</f>
        <v>25.02</v>
      </c>
      <c r="I1208" s="880">
        <f>[30]MW!I771</f>
        <v>25.02</v>
      </c>
      <c r="J1208" s="880">
        <f>[30]MW!J771</f>
        <v>25.02</v>
      </c>
      <c r="K1208" s="880">
        <f>[30]MW!K771</f>
        <v>25.02</v>
      </c>
      <c r="L1208" s="880">
        <f>[30]MW!L771</f>
        <v>25.02</v>
      </c>
      <c r="M1208" s="880">
        <f>[30]MW!M771</f>
        <v>25.02</v>
      </c>
      <c r="N1208" s="25">
        <f t="shared" si="647"/>
        <v>300.24</v>
      </c>
    </row>
    <row r="1209" spans="1:14">
      <c r="A1209" s="2">
        <f t="shared" si="648"/>
        <v>2016</v>
      </c>
      <c r="B1209" s="880">
        <f>[30]MW!B772</f>
        <v>25.02</v>
      </c>
      <c r="C1209" s="880">
        <f>[30]MW!C772</f>
        <v>25.02</v>
      </c>
      <c r="D1209" s="880">
        <f>[30]MW!D772</f>
        <v>25.02</v>
      </c>
      <c r="E1209" s="880">
        <f>[30]MW!E772</f>
        <v>25.02</v>
      </c>
      <c r="F1209" s="880">
        <f>[30]MW!F772</f>
        <v>25.02</v>
      </c>
      <c r="G1209" s="880">
        <f>[30]MW!G772</f>
        <v>25.02</v>
      </c>
      <c r="H1209" s="880">
        <f>[30]MW!H772</f>
        <v>25.02</v>
      </c>
      <c r="I1209" s="880">
        <f>[30]MW!I772</f>
        <v>25.02</v>
      </c>
      <c r="J1209" s="880">
        <f>[30]MW!J772</f>
        <v>25.02</v>
      </c>
      <c r="K1209" s="880">
        <f>[30]MW!K772</f>
        <v>25.02</v>
      </c>
      <c r="L1209" s="880">
        <f>[30]MW!L772</f>
        <v>25.02</v>
      </c>
      <c r="M1209" s="880">
        <f>[30]MW!M772</f>
        <v>25.02</v>
      </c>
      <c r="N1209" s="25">
        <f t="shared" si="647"/>
        <v>300.24</v>
      </c>
    </row>
    <row r="1210" spans="1:14">
      <c r="A1210" s="2">
        <f t="shared" si="648"/>
        <v>2017</v>
      </c>
      <c r="B1210" s="880">
        <f>[30]MW!B773</f>
        <v>25.02</v>
      </c>
      <c r="C1210" s="880">
        <f>[30]MW!C773</f>
        <v>25.02</v>
      </c>
      <c r="D1210" s="880">
        <f>[30]MW!D773</f>
        <v>25.02</v>
      </c>
      <c r="E1210" s="880">
        <f>[30]MW!E773</f>
        <v>25.02</v>
      </c>
      <c r="F1210" s="880">
        <f>[30]MW!F773</f>
        <v>25.02</v>
      </c>
      <c r="G1210" s="880">
        <f>[30]MW!G773</f>
        <v>25.02</v>
      </c>
      <c r="H1210" s="880">
        <f>[30]MW!H773</f>
        <v>25.02</v>
      </c>
      <c r="I1210" s="880">
        <f>[30]MW!I773</f>
        <v>25.02</v>
      </c>
      <c r="J1210" s="880">
        <f>[30]MW!J773</f>
        <v>25.02</v>
      </c>
      <c r="K1210" s="880">
        <f>[30]MW!K773</f>
        <v>25.02</v>
      </c>
      <c r="L1210" s="880">
        <f>[30]MW!L773</f>
        <v>25.02</v>
      </c>
      <c r="M1210" s="880">
        <f>[30]MW!M773</f>
        <v>25.02</v>
      </c>
      <c r="N1210" s="25">
        <f t="shared" si="647"/>
        <v>300.24</v>
      </c>
    </row>
    <row r="1211" spans="1:14">
      <c r="A1211" s="2">
        <f t="shared" si="648"/>
        <v>2018</v>
      </c>
      <c r="B1211" s="880">
        <f>[30]MW!B774</f>
        <v>25.02</v>
      </c>
      <c r="C1211" s="880">
        <f>[30]MW!C774</f>
        <v>25.02</v>
      </c>
      <c r="D1211" s="880">
        <f>[30]MW!D774</f>
        <v>25.02</v>
      </c>
      <c r="E1211" s="880">
        <f>[30]MW!E774</f>
        <v>25.02</v>
      </c>
      <c r="F1211" s="880">
        <f>[30]MW!F774</f>
        <v>25.02</v>
      </c>
      <c r="G1211" s="880">
        <f>[30]MW!G774</f>
        <v>25.02</v>
      </c>
      <c r="H1211" s="880">
        <f>[30]MW!H774</f>
        <v>25.02</v>
      </c>
      <c r="I1211" s="880">
        <f>[30]MW!I774</f>
        <v>25.02</v>
      </c>
      <c r="J1211" s="880">
        <f>[30]MW!J774</f>
        <v>25.02</v>
      </c>
      <c r="K1211" s="880">
        <f>[30]MW!K774</f>
        <v>25.02</v>
      </c>
      <c r="L1211" s="880">
        <f>[30]MW!L774</f>
        <v>25.02</v>
      </c>
      <c r="M1211" s="880">
        <f>[30]MW!M774</f>
        <v>25.02</v>
      </c>
      <c r="N1211" s="25">
        <f t="shared" si="647"/>
        <v>300.24</v>
      </c>
    </row>
    <row r="1212" spans="1:14">
      <c r="A1212" s="2">
        <f t="shared" si="648"/>
        <v>2019</v>
      </c>
      <c r="B1212" s="880">
        <f>[30]MW!B775</f>
        <v>25.02</v>
      </c>
      <c r="C1212" s="880">
        <f>[30]MW!C775</f>
        <v>25.02</v>
      </c>
      <c r="D1212" s="880">
        <f>[30]MW!D775</f>
        <v>25.02</v>
      </c>
      <c r="E1212" s="880">
        <f>[30]MW!E775</f>
        <v>25.02</v>
      </c>
      <c r="F1212" s="880">
        <f>[30]MW!F775</f>
        <v>25.02</v>
      </c>
      <c r="G1212" s="880">
        <f>[30]MW!G775</f>
        <v>25.02</v>
      </c>
      <c r="H1212" s="880">
        <f>[30]MW!H775</f>
        <v>25.02</v>
      </c>
      <c r="I1212" s="880">
        <f>[30]MW!I775</f>
        <v>25.02</v>
      </c>
      <c r="J1212" s="880">
        <f>[30]MW!J775</f>
        <v>25.02</v>
      </c>
      <c r="K1212" s="880">
        <f>[30]MW!K775</f>
        <v>25.02</v>
      </c>
      <c r="L1212" s="880">
        <f>[30]MW!L775</f>
        <v>25.02</v>
      </c>
      <c r="M1212" s="880">
        <f>[30]MW!M775</f>
        <v>25.02</v>
      </c>
      <c r="N1212" s="25">
        <f t="shared" si="647"/>
        <v>300.24</v>
      </c>
    </row>
    <row r="1213" spans="1:14">
      <c r="A1213" s="2">
        <f t="shared" si="648"/>
        <v>2020</v>
      </c>
      <c r="B1213" s="880">
        <f>[30]MW!B776</f>
        <v>25.02</v>
      </c>
      <c r="C1213" s="880">
        <f>[30]MW!C776</f>
        <v>25.02</v>
      </c>
      <c r="D1213" s="880">
        <f>[30]MW!D776</f>
        <v>25.02</v>
      </c>
      <c r="E1213" s="880">
        <f>[30]MW!E776</f>
        <v>25.02</v>
      </c>
      <c r="F1213" s="880">
        <f>[30]MW!F776</f>
        <v>25.02</v>
      </c>
      <c r="G1213" s="880">
        <f>[30]MW!G776</f>
        <v>25.02</v>
      </c>
      <c r="H1213" s="880">
        <f>[30]MW!H776</f>
        <v>25.02</v>
      </c>
      <c r="I1213" s="880">
        <f>[30]MW!I776</f>
        <v>25.02</v>
      </c>
      <c r="J1213" s="880">
        <f>[30]MW!J776</f>
        <v>25.02</v>
      </c>
      <c r="K1213" s="880">
        <f>[30]MW!K776</f>
        <v>25.02</v>
      </c>
      <c r="L1213" s="880">
        <f>[30]MW!L776</f>
        <v>25.02</v>
      </c>
      <c r="M1213" s="880">
        <f>[30]MW!M776</f>
        <v>25.02</v>
      </c>
      <c r="N1213" s="25">
        <f t="shared" si="647"/>
        <v>300.24</v>
      </c>
    </row>
    <row r="1214" spans="1:14">
      <c r="A1214" s="2">
        <f t="shared" si="648"/>
        <v>2021</v>
      </c>
      <c r="B1214" s="880">
        <f>[30]MW!B777</f>
        <v>25.02</v>
      </c>
      <c r="C1214" s="880">
        <f>[30]MW!C777</f>
        <v>25.02</v>
      </c>
      <c r="D1214" s="880">
        <f>[30]MW!D777</f>
        <v>25.02</v>
      </c>
      <c r="E1214" s="880">
        <f>[30]MW!E777</f>
        <v>25.02</v>
      </c>
      <c r="F1214" s="880">
        <f>[30]MW!F777</f>
        <v>25.02</v>
      </c>
      <c r="G1214" s="880">
        <f>[30]MW!G777</f>
        <v>25.02</v>
      </c>
      <c r="H1214" s="880">
        <f>[30]MW!H777</f>
        <v>25.02</v>
      </c>
      <c r="I1214" s="880">
        <f>[30]MW!I777</f>
        <v>25.02</v>
      </c>
      <c r="J1214" s="880">
        <f>[30]MW!J777</f>
        <v>25.02</v>
      </c>
      <c r="K1214" s="880">
        <f>[30]MW!K777</f>
        <v>25.02</v>
      </c>
      <c r="L1214" s="880">
        <f>[30]MW!L777</f>
        <v>25.02</v>
      </c>
      <c r="M1214" s="880">
        <f>[30]MW!M777</f>
        <v>25.02</v>
      </c>
      <c r="N1214" s="25">
        <f t="shared" ref="N1214:N1219" si="649">SUM(B1214:M1214)</f>
        <v>300.24</v>
      </c>
    </row>
    <row r="1215" spans="1:14">
      <c r="A1215" s="2">
        <f t="shared" si="648"/>
        <v>2022</v>
      </c>
      <c r="B1215" s="880">
        <f>[30]MW!B778</f>
        <v>25.02</v>
      </c>
      <c r="C1215" s="880">
        <f>[30]MW!C778</f>
        <v>25.02</v>
      </c>
      <c r="D1215" s="880">
        <f>[30]MW!D778</f>
        <v>25.02</v>
      </c>
      <c r="E1215" s="880">
        <f>[30]MW!E778</f>
        <v>25.02</v>
      </c>
      <c r="F1215" s="880">
        <f>[30]MW!F778</f>
        <v>25.02</v>
      </c>
      <c r="G1215" s="880">
        <f>[30]MW!G778</f>
        <v>25.02</v>
      </c>
      <c r="H1215" s="880">
        <f>[30]MW!H778</f>
        <v>25.02</v>
      </c>
      <c r="I1215" s="880">
        <f>[30]MW!I778</f>
        <v>25.02</v>
      </c>
      <c r="J1215" s="880">
        <f>[30]MW!J778</f>
        <v>25.02</v>
      </c>
      <c r="K1215" s="880">
        <f>[30]MW!K778</f>
        <v>25.02</v>
      </c>
      <c r="L1215" s="880">
        <f>[30]MW!L778</f>
        <v>25.02</v>
      </c>
      <c r="M1215" s="880">
        <f>[30]MW!M778</f>
        <v>25.02</v>
      </c>
      <c r="N1215" s="25">
        <f t="shared" si="649"/>
        <v>300.24</v>
      </c>
    </row>
    <row r="1216" spans="1:14">
      <c r="A1216" s="2">
        <f t="shared" si="648"/>
        <v>2023</v>
      </c>
      <c r="B1216" s="880">
        <f>[30]MW!B779</f>
        <v>25.02</v>
      </c>
      <c r="C1216" s="880">
        <f>[30]MW!C779</f>
        <v>25.02</v>
      </c>
      <c r="D1216" s="880">
        <f>[30]MW!D779</f>
        <v>25.02</v>
      </c>
      <c r="E1216" s="880">
        <f>[30]MW!E779</f>
        <v>25.02</v>
      </c>
      <c r="F1216" s="880">
        <f>[30]MW!F779</f>
        <v>25.02</v>
      </c>
      <c r="G1216" s="880">
        <f>[30]MW!G779</f>
        <v>25.02</v>
      </c>
      <c r="H1216" s="880">
        <f>[30]MW!H779</f>
        <v>25.02</v>
      </c>
      <c r="I1216" s="880">
        <f>[30]MW!I779</f>
        <v>25.02</v>
      </c>
      <c r="J1216" s="880">
        <f>[30]MW!J779</f>
        <v>25.02</v>
      </c>
      <c r="K1216" s="880">
        <f>[30]MW!K779</f>
        <v>25.02</v>
      </c>
      <c r="L1216" s="880">
        <f>[30]MW!L779</f>
        <v>25.02</v>
      </c>
      <c r="M1216" s="880">
        <f>[30]MW!M779</f>
        <v>25.02</v>
      </c>
      <c r="N1216" s="25">
        <f t="shared" si="649"/>
        <v>300.24</v>
      </c>
    </row>
    <row r="1217" spans="1:14">
      <c r="A1217" s="2">
        <f t="shared" si="648"/>
        <v>2024</v>
      </c>
      <c r="B1217" s="880">
        <f>[30]MW!B780</f>
        <v>25.02</v>
      </c>
      <c r="C1217" s="880">
        <f>[30]MW!C780</f>
        <v>25.02</v>
      </c>
      <c r="D1217" s="880">
        <f>[30]MW!D780</f>
        <v>25.02</v>
      </c>
      <c r="E1217" s="880">
        <f>[30]MW!E780</f>
        <v>25.02</v>
      </c>
      <c r="F1217" s="880">
        <f>[30]MW!F780</f>
        <v>25.02</v>
      </c>
      <c r="G1217" s="880">
        <f>[30]MW!G780</f>
        <v>25.02</v>
      </c>
      <c r="H1217" s="880">
        <f>[30]MW!H780</f>
        <v>25.02</v>
      </c>
      <c r="I1217" s="880">
        <f>[30]MW!I780</f>
        <v>25.02</v>
      </c>
      <c r="J1217" s="880">
        <f>[30]MW!J780</f>
        <v>25.02</v>
      </c>
      <c r="K1217" s="880">
        <f>[30]MW!K780</f>
        <v>25.02</v>
      </c>
      <c r="L1217" s="880">
        <f>[30]MW!L780</f>
        <v>25.02</v>
      </c>
      <c r="M1217" s="880">
        <f>[30]MW!M780</f>
        <v>25.02</v>
      </c>
      <c r="N1217" s="25">
        <f t="shared" si="649"/>
        <v>300.24</v>
      </c>
    </row>
    <row r="1218" spans="1:14">
      <c r="A1218" s="2">
        <f t="shared" si="648"/>
        <v>2025</v>
      </c>
      <c r="B1218" s="880">
        <f>[30]MW!B781</f>
        <v>25.02</v>
      </c>
      <c r="C1218" s="880">
        <f>[30]MW!C781</f>
        <v>25.02</v>
      </c>
      <c r="D1218" s="880">
        <f>[30]MW!D781</f>
        <v>25.02</v>
      </c>
      <c r="E1218" s="880">
        <f>[30]MW!E781</f>
        <v>25.02</v>
      </c>
      <c r="F1218" s="880">
        <f>[30]MW!F781</f>
        <v>25.02</v>
      </c>
      <c r="G1218" s="880">
        <f>[30]MW!G781</f>
        <v>25.02</v>
      </c>
      <c r="H1218" s="880">
        <f>[30]MW!H781</f>
        <v>25.02</v>
      </c>
      <c r="I1218" s="880">
        <f>[30]MW!I781</f>
        <v>25.02</v>
      </c>
      <c r="J1218" s="880">
        <f>[30]MW!J781</f>
        <v>25.02</v>
      </c>
      <c r="K1218" s="880">
        <f>[30]MW!K781</f>
        <v>25.02</v>
      </c>
      <c r="L1218" s="880">
        <f>[30]MW!L781</f>
        <v>25.02</v>
      </c>
      <c r="M1218" s="880">
        <f>[30]MW!M781</f>
        <v>25.02</v>
      </c>
      <c r="N1218" s="25">
        <f t="shared" si="649"/>
        <v>300.24</v>
      </c>
    </row>
    <row r="1219" spans="1:14">
      <c r="A1219" s="2">
        <f t="shared" si="648"/>
        <v>2026</v>
      </c>
      <c r="B1219" s="880">
        <f>[30]MW!B782</f>
        <v>25.02</v>
      </c>
      <c r="C1219" s="880">
        <f>[30]MW!C782</f>
        <v>25.02</v>
      </c>
      <c r="D1219" s="880">
        <f>[30]MW!D782</f>
        <v>25.02</v>
      </c>
      <c r="E1219" s="880">
        <f>[30]MW!E782</f>
        <v>25.02</v>
      </c>
      <c r="F1219" s="880">
        <f>[30]MW!F782</f>
        <v>25.02</v>
      </c>
      <c r="G1219" s="880">
        <f>[30]MW!G782</f>
        <v>25.02</v>
      </c>
      <c r="H1219" s="880">
        <f>[30]MW!H782</f>
        <v>25.02</v>
      </c>
      <c r="I1219" s="880">
        <f>[30]MW!I782</f>
        <v>25.02</v>
      </c>
      <c r="J1219" s="880">
        <f>[30]MW!J782</f>
        <v>25.02</v>
      </c>
      <c r="K1219" s="880">
        <f>[30]MW!K782</f>
        <v>25.02</v>
      </c>
      <c r="L1219" s="880">
        <f>[30]MW!L782</f>
        <v>25.02</v>
      </c>
      <c r="M1219" s="880">
        <f>[30]MW!M782</f>
        <v>25.02</v>
      </c>
      <c r="N1219" s="25">
        <f t="shared" si="649"/>
        <v>300.24</v>
      </c>
    </row>
    <row r="1220" spans="1:14">
      <c r="A1220" s="2">
        <f t="shared" si="648"/>
        <v>2027</v>
      </c>
      <c r="B1220" s="880">
        <f>[30]MW!B783</f>
        <v>25.02</v>
      </c>
      <c r="C1220" s="880">
        <f>[30]MW!C783</f>
        <v>25.02</v>
      </c>
      <c r="D1220" s="880">
        <f>[30]MW!D783</f>
        <v>25.02</v>
      </c>
      <c r="E1220" s="880">
        <f>[30]MW!E783</f>
        <v>25.02</v>
      </c>
      <c r="F1220" s="880">
        <f>[30]MW!F783</f>
        <v>25.02</v>
      </c>
      <c r="G1220" s="880">
        <f>[30]MW!G783</f>
        <v>25.02</v>
      </c>
      <c r="H1220" s="880">
        <f>[30]MW!H783</f>
        <v>25.02</v>
      </c>
      <c r="I1220" s="880">
        <f>[30]MW!I783</f>
        <v>25.02</v>
      </c>
      <c r="J1220" s="880">
        <f>[30]MW!J783</f>
        <v>25.02</v>
      </c>
      <c r="K1220" s="880">
        <f>[30]MW!K783</f>
        <v>25.02</v>
      </c>
      <c r="L1220" s="880">
        <f>[30]MW!L783</f>
        <v>25.02</v>
      </c>
      <c r="M1220" s="880">
        <f>[30]MW!M783</f>
        <v>25.02</v>
      </c>
      <c r="N1220" s="25">
        <f>SUM(B1220:M1220)</f>
        <v>300.24</v>
      </c>
    </row>
    <row r="1221" spans="1:14">
      <c r="A1221" s="2">
        <f t="shared" si="648"/>
        <v>2028</v>
      </c>
      <c r="B1221" s="880">
        <f>[30]MW!B784</f>
        <v>25.02</v>
      </c>
      <c r="C1221" s="880">
        <f>[30]MW!C784</f>
        <v>25.02</v>
      </c>
      <c r="D1221" s="880">
        <f>[30]MW!D784</f>
        <v>25.02</v>
      </c>
      <c r="E1221" s="880">
        <f>[30]MW!E784</f>
        <v>25.02</v>
      </c>
      <c r="F1221" s="880">
        <f>[30]MW!F784</f>
        <v>25.02</v>
      </c>
      <c r="G1221" s="880">
        <f>[30]MW!G784</f>
        <v>25.02</v>
      </c>
      <c r="H1221" s="880">
        <f>[30]MW!H784</f>
        <v>25.02</v>
      </c>
      <c r="I1221" s="880">
        <f>[30]MW!I784</f>
        <v>25.02</v>
      </c>
      <c r="J1221" s="880">
        <f>[30]MW!J784</f>
        <v>25.02</v>
      </c>
      <c r="K1221" s="880">
        <f>[30]MW!K784</f>
        <v>25.02</v>
      </c>
      <c r="L1221" s="880">
        <f>[30]MW!L784</f>
        <v>25.02</v>
      </c>
      <c r="M1221" s="880">
        <f>[30]MW!M784</f>
        <v>25.02</v>
      </c>
      <c r="N1221" s="25">
        <f>SUM(B1221:M1221)</f>
        <v>300.24</v>
      </c>
    </row>
    <row r="1222" spans="1:14">
      <c r="A1222" s="2">
        <f t="shared" si="648"/>
        <v>2029</v>
      </c>
      <c r="B1222" s="880">
        <f>[30]MW!B785</f>
        <v>25.02</v>
      </c>
      <c r="C1222" s="880">
        <f>[30]MW!C785</f>
        <v>25.02</v>
      </c>
      <c r="D1222" s="880">
        <f>[30]MW!D785</f>
        <v>25.02</v>
      </c>
      <c r="E1222" s="880">
        <f>[30]MW!E785</f>
        <v>25.02</v>
      </c>
      <c r="F1222" s="880">
        <f>[30]MW!F785</f>
        <v>25.02</v>
      </c>
      <c r="G1222" s="880">
        <f>[30]MW!G785</f>
        <v>25.02</v>
      </c>
      <c r="H1222" s="880">
        <f>[30]MW!H785</f>
        <v>25.02</v>
      </c>
      <c r="I1222" s="880">
        <f>[30]MW!I785</f>
        <v>25.02</v>
      </c>
      <c r="J1222" s="880">
        <f>[30]MW!J785</f>
        <v>25.02</v>
      </c>
      <c r="K1222" s="880">
        <f>[30]MW!K785</f>
        <v>25.02</v>
      </c>
      <c r="L1222" s="880">
        <f>[30]MW!L785</f>
        <v>25.02</v>
      </c>
      <c r="M1222" s="880">
        <f>[30]MW!M785</f>
        <v>25.02</v>
      </c>
      <c r="N1222" s="25">
        <f>SUM(B1222:M1222)</f>
        <v>300.24</v>
      </c>
    </row>
    <row r="1223" spans="1:14">
      <c r="A1223" s="2">
        <f t="shared" si="648"/>
        <v>2030</v>
      </c>
      <c r="B1223" s="880">
        <f>[30]MW!B786</f>
        <v>25.02</v>
      </c>
      <c r="C1223" s="880">
        <f>[30]MW!C786</f>
        <v>25.02</v>
      </c>
      <c r="D1223" s="880">
        <f>[30]MW!D786</f>
        <v>25.02</v>
      </c>
      <c r="E1223" s="880">
        <f>[30]MW!E786</f>
        <v>25.02</v>
      </c>
      <c r="F1223" s="880">
        <f>[30]MW!F786</f>
        <v>25.02</v>
      </c>
      <c r="G1223" s="880">
        <f>[30]MW!G786</f>
        <v>25.02</v>
      </c>
      <c r="H1223" s="880">
        <f>[30]MW!H786</f>
        <v>25.02</v>
      </c>
      <c r="I1223" s="880">
        <f>[30]MW!I786</f>
        <v>25.02</v>
      </c>
      <c r="J1223" s="880">
        <f>[30]MW!J786</f>
        <v>25.02</v>
      </c>
      <c r="K1223" s="880">
        <f>[30]MW!K786</f>
        <v>25.02</v>
      </c>
      <c r="L1223" s="880">
        <f>[30]MW!L786</f>
        <v>25.02</v>
      </c>
      <c r="M1223" s="880">
        <f>[30]MW!M786</f>
        <v>25.02</v>
      </c>
      <c r="N1223" s="25">
        <f>SUM(B1223:M1223)</f>
        <v>300.24</v>
      </c>
    </row>
    <row r="1224" spans="1:14">
      <c r="A1224" s="2">
        <f t="shared" si="648"/>
        <v>2031</v>
      </c>
      <c r="B1224" s="880">
        <f>[30]MW!B787</f>
        <v>25.02</v>
      </c>
      <c r="C1224" s="880">
        <f>[30]MW!C787</f>
        <v>25.02</v>
      </c>
      <c r="D1224" s="880">
        <f>[30]MW!D787</f>
        <v>25.02</v>
      </c>
      <c r="E1224" s="880">
        <f>[30]MW!E787</f>
        <v>25.02</v>
      </c>
      <c r="F1224" s="880">
        <f>[30]MW!F787</f>
        <v>25.02</v>
      </c>
      <c r="G1224" s="880">
        <f>[30]MW!G787</f>
        <v>25.02</v>
      </c>
      <c r="H1224" s="880">
        <f>[30]MW!H787</f>
        <v>25.02</v>
      </c>
      <c r="I1224" s="880">
        <f>[30]MW!I787</f>
        <v>25.02</v>
      </c>
      <c r="J1224" s="880">
        <f>[30]MW!J787</f>
        <v>25.02</v>
      </c>
      <c r="K1224" s="880">
        <f>[30]MW!K787</f>
        <v>25.02</v>
      </c>
      <c r="L1224" s="880">
        <f>[30]MW!L787</f>
        <v>25.02</v>
      </c>
      <c r="M1224" s="880">
        <f>[30]MW!M787</f>
        <v>25.02</v>
      </c>
      <c r="N1224" s="25">
        <f t="shared" ref="N1224:N1233" si="650">SUM(B1224:M1224)</f>
        <v>300.24</v>
      </c>
    </row>
    <row r="1225" spans="1:14">
      <c r="A1225" s="2">
        <f t="shared" si="648"/>
        <v>2032</v>
      </c>
      <c r="B1225" s="880">
        <f>[30]MW!B788</f>
        <v>25.02</v>
      </c>
      <c r="C1225" s="880">
        <f>[30]MW!C788</f>
        <v>25.02</v>
      </c>
      <c r="D1225" s="880">
        <f>[30]MW!D788</f>
        <v>25.02</v>
      </c>
      <c r="E1225" s="880">
        <f>[30]MW!E788</f>
        <v>25.02</v>
      </c>
      <c r="F1225" s="880">
        <f>[30]MW!F788</f>
        <v>25.02</v>
      </c>
      <c r="G1225" s="880">
        <f>[30]MW!G788</f>
        <v>25.02</v>
      </c>
      <c r="H1225" s="880">
        <f>[30]MW!H788</f>
        <v>25.02</v>
      </c>
      <c r="I1225" s="880">
        <f>[30]MW!I788</f>
        <v>25.02</v>
      </c>
      <c r="J1225" s="880">
        <f>[30]MW!J788</f>
        <v>25.02</v>
      </c>
      <c r="K1225" s="880">
        <f>[30]MW!K788</f>
        <v>25.02</v>
      </c>
      <c r="L1225" s="880">
        <f>[30]MW!L788</f>
        <v>25.02</v>
      </c>
      <c r="M1225" s="880">
        <f>[30]MW!M788</f>
        <v>25.02</v>
      </c>
      <c r="N1225" s="25">
        <f t="shared" si="650"/>
        <v>300.24</v>
      </c>
    </row>
    <row r="1226" spans="1:14">
      <c r="A1226" s="2">
        <f t="shared" si="648"/>
        <v>2033</v>
      </c>
      <c r="B1226" s="880">
        <f>[30]MW!B789</f>
        <v>25.02</v>
      </c>
      <c r="C1226" s="880">
        <f>[30]MW!C789</f>
        <v>25.02</v>
      </c>
      <c r="D1226" s="880">
        <f>[30]MW!D789</f>
        <v>25.02</v>
      </c>
      <c r="E1226" s="880">
        <f>[30]MW!E789</f>
        <v>25.02</v>
      </c>
      <c r="F1226" s="880">
        <f>[30]MW!F789</f>
        <v>25.02</v>
      </c>
      <c r="G1226" s="880">
        <f>[30]MW!G789</f>
        <v>25.02</v>
      </c>
      <c r="H1226" s="880">
        <f>[30]MW!H789</f>
        <v>25.02</v>
      </c>
      <c r="I1226" s="880">
        <f>[30]MW!I789</f>
        <v>25.02</v>
      </c>
      <c r="J1226" s="880">
        <f>[30]MW!J789</f>
        <v>25.02</v>
      </c>
      <c r="K1226" s="880">
        <f>[30]MW!K789</f>
        <v>25.02</v>
      </c>
      <c r="L1226" s="880">
        <f>[30]MW!L789</f>
        <v>25.02</v>
      </c>
      <c r="M1226" s="880">
        <f>[30]MW!M789</f>
        <v>25.02</v>
      </c>
      <c r="N1226" s="25">
        <f t="shared" si="650"/>
        <v>300.24</v>
      </c>
    </row>
    <row r="1227" spans="1:14">
      <c r="A1227" s="2">
        <f t="shared" si="648"/>
        <v>2034</v>
      </c>
      <c r="B1227" s="880">
        <f>[30]MW!B790</f>
        <v>25.02</v>
      </c>
      <c r="C1227" s="880">
        <f>[30]MW!C790</f>
        <v>25.02</v>
      </c>
      <c r="D1227" s="880">
        <f>[30]MW!D790</f>
        <v>25.02</v>
      </c>
      <c r="E1227" s="880">
        <f>[30]MW!E790</f>
        <v>25.02</v>
      </c>
      <c r="F1227" s="880">
        <f>[30]MW!F790</f>
        <v>25.02</v>
      </c>
      <c r="G1227" s="880">
        <f>[30]MW!G790</f>
        <v>25.02</v>
      </c>
      <c r="H1227" s="880">
        <f>[30]MW!H790</f>
        <v>25.02</v>
      </c>
      <c r="I1227" s="880">
        <f>[30]MW!I790</f>
        <v>25.02</v>
      </c>
      <c r="J1227" s="880">
        <f>[30]MW!J790</f>
        <v>25.02</v>
      </c>
      <c r="K1227" s="880">
        <f>[30]MW!K790</f>
        <v>25.02</v>
      </c>
      <c r="L1227" s="880">
        <f>[30]MW!L790</f>
        <v>25.02</v>
      </c>
      <c r="M1227" s="880">
        <f>[30]MW!M790</f>
        <v>25.02</v>
      </c>
      <c r="N1227" s="25">
        <f t="shared" si="650"/>
        <v>300.24</v>
      </c>
    </row>
    <row r="1228" spans="1:14">
      <c r="A1228" s="2">
        <f t="shared" si="648"/>
        <v>2035</v>
      </c>
      <c r="B1228" s="880">
        <f>[30]MW!B791</f>
        <v>25.02</v>
      </c>
      <c r="C1228" s="880">
        <f>[30]MW!C791</f>
        <v>25.02</v>
      </c>
      <c r="D1228" s="880">
        <f>[30]MW!D791</f>
        <v>25.02</v>
      </c>
      <c r="E1228" s="880">
        <f>[30]MW!E791</f>
        <v>25.02</v>
      </c>
      <c r="F1228" s="880">
        <f>[30]MW!F791</f>
        <v>25.02</v>
      </c>
      <c r="G1228" s="880">
        <f>[30]MW!G791</f>
        <v>25.02</v>
      </c>
      <c r="H1228" s="880">
        <f>[30]MW!H791</f>
        <v>25.02</v>
      </c>
      <c r="I1228" s="880">
        <f>[30]MW!I791</f>
        <v>25.02</v>
      </c>
      <c r="J1228" s="880">
        <f>[30]MW!J791</f>
        <v>25.02</v>
      </c>
      <c r="K1228" s="880">
        <f>[30]MW!K791</f>
        <v>25.02</v>
      </c>
      <c r="L1228" s="880">
        <f>[30]MW!L791</f>
        <v>25.02</v>
      </c>
      <c r="M1228" s="880">
        <f>[30]MW!M791</f>
        <v>25.02</v>
      </c>
      <c r="N1228" s="25">
        <f t="shared" si="650"/>
        <v>300.24</v>
      </c>
    </row>
    <row r="1229" spans="1:14">
      <c r="A1229" s="2">
        <f t="shared" si="648"/>
        <v>2036</v>
      </c>
      <c r="B1229" s="880">
        <f>[30]MW!B792</f>
        <v>25.02</v>
      </c>
      <c r="C1229" s="880">
        <f>[30]MW!C792</f>
        <v>25.02</v>
      </c>
      <c r="D1229" s="880">
        <f>[30]MW!D792</f>
        <v>25.02</v>
      </c>
      <c r="E1229" s="880">
        <f>[30]MW!E792</f>
        <v>25.02</v>
      </c>
      <c r="F1229" s="880">
        <f>[30]MW!F792</f>
        <v>25.02</v>
      </c>
      <c r="G1229" s="880">
        <f>[30]MW!G792</f>
        <v>25.02</v>
      </c>
      <c r="H1229" s="880">
        <f>[30]MW!H792</f>
        <v>25.02</v>
      </c>
      <c r="I1229" s="880">
        <f>[30]MW!I792</f>
        <v>25.02</v>
      </c>
      <c r="J1229" s="880">
        <f>[30]MW!J792</f>
        <v>25.02</v>
      </c>
      <c r="K1229" s="880">
        <f>[30]MW!K792</f>
        <v>25.02</v>
      </c>
      <c r="L1229" s="880">
        <f>[30]MW!L792</f>
        <v>25.02</v>
      </c>
      <c r="M1229" s="880">
        <f>[30]MW!M792</f>
        <v>25.02</v>
      </c>
      <c r="N1229" s="25">
        <f t="shared" si="650"/>
        <v>300.24</v>
      </c>
    </row>
    <row r="1230" spans="1:14">
      <c r="A1230" s="2">
        <f t="shared" si="648"/>
        <v>2037</v>
      </c>
      <c r="B1230" s="880">
        <f>[30]MW!B793</f>
        <v>25.02</v>
      </c>
      <c r="C1230" s="880">
        <f>[30]MW!C793</f>
        <v>25.02</v>
      </c>
      <c r="D1230" s="880">
        <f>[30]MW!D793</f>
        <v>25.02</v>
      </c>
      <c r="E1230" s="880">
        <f>[30]MW!E793</f>
        <v>25.02</v>
      </c>
      <c r="F1230" s="880">
        <f>[30]MW!F793</f>
        <v>25.02</v>
      </c>
      <c r="G1230" s="880">
        <f>[30]MW!G793</f>
        <v>25.02</v>
      </c>
      <c r="H1230" s="880">
        <f>[30]MW!H793</f>
        <v>25.02</v>
      </c>
      <c r="I1230" s="880">
        <f>[30]MW!I793</f>
        <v>25.02</v>
      </c>
      <c r="J1230" s="880">
        <f>[30]MW!J793</f>
        <v>25.02</v>
      </c>
      <c r="K1230" s="880">
        <f>[30]MW!K793</f>
        <v>25.02</v>
      </c>
      <c r="L1230" s="880">
        <f>[30]MW!L793</f>
        <v>25.02</v>
      </c>
      <c r="M1230" s="880">
        <f>[30]MW!M793</f>
        <v>25.02</v>
      </c>
      <c r="N1230" s="25">
        <f t="shared" si="650"/>
        <v>300.24</v>
      </c>
    </row>
    <row r="1231" spans="1:14">
      <c r="A1231" s="2">
        <f t="shared" si="648"/>
        <v>2038</v>
      </c>
      <c r="B1231" s="880">
        <f>[30]MW!B794</f>
        <v>25.02</v>
      </c>
      <c r="C1231" s="880">
        <f>[30]MW!C794</f>
        <v>25.02</v>
      </c>
      <c r="D1231" s="880">
        <f>[30]MW!D794</f>
        <v>25.02</v>
      </c>
      <c r="E1231" s="880">
        <f>[30]MW!E794</f>
        <v>25.02</v>
      </c>
      <c r="F1231" s="880">
        <f>[30]MW!F794</f>
        <v>25.02</v>
      </c>
      <c r="G1231" s="880">
        <f>[30]MW!G794</f>
        <v>25.02</v>
      </c>
      <c r="H1231" s="880">
        <f>[30]MW!H794</f>
        <v>25.02</v>
      </c>
      <c r="I1231" s="880">
        <f>[30]MW!I794</f>
        <v>25.02</v>
      </c>
      <c r="J1231" s="880">
        <f>[30]MW!J794</f>
        <v>25.02</v>
      </c>
      <c r="K1231" s="880">
        <f>[30]MW!K794</f>
        <v>25.02</v>
      </c>
      <c r="L1231" s="880">
        <f>[30]MW!L794</f>
        <v>25.02</v>
      </c>
      <c r="M1231" s="880">
        <f>[30]MW!M794</f>
        <v>25.02</v>
      </c>
      <c r="N1231" s="25">
        <f t="shared" si="650"/>
        <v>300.24</v>
      </c>
    </row>
    <row r="1232" spans="1:14">
      <c r="A1232" s="2">
        <f t="shared" si="648"/>
        <v>2039</v>
      </c>
      <c r="B1232" s="880">
        <f>[30]MW!B795</f>
        <v>25.02</v>
      </c>
      <c r="C1232" s="880">
        <f>[30]MW!C795</f>
        <v>25.02</v>
      </c>
      <c r="D1232" s="880">
        <f>[30]MW!D795</f>
        <v>25.02</v>
      </c>
      <c r="E1232" s="880">
        <f>[30]MW!E795</f>
        <v>25.02</v>
      </c>
      <c r="F1232" s="880">
        <f>[30]MW!F795</f>
        <v>25.02</v>
      </c>
      <c r="G1232" s="880">
        <f>[30]MW!G795</f>
        <v>25.02</v>
      </c>
      <c r="H1232" s="880">
        <f>[30]MW!H795</f>
        <v>25.02</v>
      </c>
      <c r="I1232" s="880">
        <f>[30]MW!I795</f>
        <v>25.02</v>
      </c>
      <c r="J1232" s="880">
        <f>[30]MW!J795</f>
        <v>25.02</v>
      </c>
      <c r="K1232" s="880">
        <f>[30]MW!K795</f>
        <v>25.02</v>
      </c>
      <c r="L1232" s="880">
        <f>[30]MW!L795</f>
        <v>25.02</v>
      </c>
      <c r="M1232" s="880">
        <f>[30]MW!M795</f>
        <v>25.02</v>
      </c>
      <c r="N1232" s="25">
        <f t="shared" si="650"/>
        <v>300.24</v>
      </c>
    </row>
    <row r="1233" spans="1:14">
      <c r="A1233" s="2">
        <f t="shared" si="648"/>
        <v>2040</v>
      </c>
      <c r="B1233" s="880">
        <f>[30]MW!B796</f>
        <v>25.02</v>
      </c>
      <c r="C1233" s="880">
        <f>[30]MW!C796</f>
        <v>25.02</v>
      </c>
      <c r="D1233" s="880">
        <f>[30]MW!D796</f>
        <v>25.02</v>
      </c>
      <c r="E1233" s="880">
        <f>[30]MW!E796</f>
        <v>25.02</v>
      </c>
      <c r="F1233" s="880">
        <f>[30]MW!F796</f>
        <v>25.02</v>
      </c>
      <c r="G1233" s="880">
        <f>[30]MW!G796</f>
        <v>25.02</v>
      </c>
      <c r="H1233" s="880">
        <f>[30]MW!H796</f>
        <v>25.02</v>
      </c>
      <c r="I1233" s="880">
        <f>[30]MW!I796</f>
        <v>25.02</v>
      </c>
      <c r="J1233" s="880">
        <f>[30]MW!J796</f>
        <v>25.02</v>
      </c>
      <c r="K1233" s="880">
        <f>[30]MW!K796</f>
        <v>25.02</v>
      </c>
      <c r="L1233" s="880">
        <f>[30]MW!L796</f>
        <v>25.02</v>
      </c>
      <c r="M1233" s="880">
        <f>[30]MW!M796</f>
        <v>25.02</v>
      </c>
      <c r="N1233" s="25">
        <f t="shared" si="650"/>
        <v>300.24</v>
      </c>
    </row>
    <row r="1234" spans="1:14">
      <c r="A1234" s="2">
        <f t="shared" si="648"/>
        <v>2041</v>
      </c>
    </row>
    <row r="1235" spans="1:14">
      <c r="A1235" s="2">
        <f t="shared" si="648"/>
        <v>2042</v>
      </c>
    </row>
    <row r="1236" spans="1:14">
      <c r="A1236" s="2">
        <f t="shared" si="648"/>
        <v>2043</v>
      </c>
    </row>
    <row r="1237" spans="1:14">
      <c r="A1237" s="2">
        <f t="shared" si="648"/>
        <v>2044</v>
      </c>
    </row>
    <row r="1238" spans="1:14">
      <c r="A1238" s="2">
        <f t="shared" si="648"/>
        <v>2045</v>
      </c>
    </row>
    <row r="1241" spans="1:14">
      <c r="A1241" s="31" t="s">
        <v>550</v>
      </c>
      <c r="K1241" s="30" t="s">
        <v>311</v>
      </c>
    </row>
    <row r="1242" spans="1:14">
      <c r="A1242" s="27" t="s">
        <v>9</v>
      </c>
      <c r="B1242" s="27" t="s">
        <v>28</v>
      </c>
      <c r="C1242" s="27" t="s">
        <v>29</v>
      </c>
      <c r="D1242" s="27" t="s">
        <v>30</v>
      </c>
      <c r="E1242" s="27" t="s">
        <v>31</v>
      </c>
      <c r="F1242" s="27" t="s">
        <v>32</v>
      </c>
      <c r="G1242" s="27" t="s">
        <v>33</v>
      </c>
      <c r="H1242" s="27" t="s">
        <v>34</v>
      </c>
      <c r="I1242" s="27" t="s">
        <v>35</v>
      </c>
      <c r="J1242" s="27" t="s">
        <v>36</v>
      </c>
      <c r="K1242" s="27" t="s">
        <v>37</v>
      </c>
      <c r="L1242" s="27" t="s">
        <v>38</v>
      </c>
      <c r="M1242" s="27" t="s">
        <v>39</v>
      </c>
      <c r="N1242" s="33" t="s">
        <v>56</v>
      </c>
    </row>
    <row r="1243" spans="1:14">
      <c r="A1243" s="2">
        <f>A1203</f>
        <v>2010</v>
      </c>
      <c r="B1243" s="34">
        <f>[30]MW!B806</f>
        <v>8.3780000000000001</v>
      </c>
      <c r="C1243" s="34">
        <f>[30]MW!C806</f>
        <v>7.0880000000000001</v>
      </c>
      <c r="D1243" s="34">
        <f>[30]MW!D806</f>
        <v>6.2480000000000002</v>
      </c>
      <c r="E1243" s="34">
        <f>[30]MW!E806</f>
        <v>4.9550000000000001</v>
      </c>
      <c r="F1243" s="34">
        <f>[30]MW!F806</f>
        <v>6.641</v>
      </c>
      <c r="G1243" s="34">
        <f>[30]MW!G806</f>
        <v>6.6449999999999996</v>
      </c>
      <c r="H1243" s="34">
        <f>[30]MW!H806</f>
        <v>7.2720000000000002</v>
      </c>
      <c r="I1243" s="34">
        <f>[30]MW!I806</f>
        <v>7.62</v>
      </c>
      <c r="J1243" s="34">
        <f>[30]MW!J806</f>
        <v>7.1740000000000004</v>
      </c>
      <c r="K1243" s="34">
        <f>[30]MW!K806</f>
        <v>5.9390000000000001</v>
      </c>
      <c r="L1243" s="34">
        <f>[30]MW!L806</f>
        <v>4.6539999999999999</v>
      </c>
      <c r="M1243" s="34">
        <f>[30]MW!M806</f>
        <v>7.1</v>
      </c>
      <c r="N1243" s="25">
        <f t="shared" ref="N1243:N1253" si="651">SUM(B1243:M1243)</f>
        <v>79.713999999999984</v>
      </c>
    </row>
    <row r="1244" spans="1:14">
      <c r="A1244" s="2">
        <f t="shared" ref="A1244:A1278" si="652">A1204</f>
        <v>2011</v>
      </c>
      <c r="B1244" s="1081">
        <f>[30]MW!B807</f>
        <v>8</v>
      </c>
      <c r="C1244" s="1081">
        <f>[30]MW!C807</f>
        <v>6</v>
      </c>
      <c r="D1244" s="1081">
        <f>[30]MW!D807</f>
        <v>5</v>
      </c>
      <c r="E1244" s="1081">
        <f>[30]MW!E807</f>
        <v>6</v>
      </c>
      <c r="F1244" s="1081">
        <f>[30]MW!F807</f>
        <v>6</v>
      </c>
      <c r="G1244" s="1081">
        <f>[30]MW!G807</f>
        <v>6</v>
      </c>
      <c r="H1244" s="1081">
        <f>[30]MW!H807</f>
        <v>6</v>
      </c>
      <c r="I1244" s="1081">
        <f>[30]MW!I807</f>
        <v>6</v>
      </c>
      <c r="J1244" s="1081">
        <f>[30]MW!J807</f>
        <v>6</v>
      </c>
      <c r="K1244" s="1081">
        <f>[30]MW!K807</f>
        <v>6</v>
      </c>
      <c r="L1244" s="1081">
        <f>[30]MW!L807</f>
        <v>5</v>
      </c>
      <c r="M1244" s="1081">
        <f>[30]MW!M807</f>
        <v>5</v>
      </c>
      <c r="N1244" s="25">
        <f t="shared" si="651"/>
        <v>71</v>
      </c>
    </row>
    <row r="1245" spans="1:14">
      <c r="A1245" s="2">
        <f t="shared" si="652"/>
        <v>2012</v>
      </c>
      <c r="B1245" s="1081">
        <f>[30]MW!B808</f>
        <v>7</v>
      </c>
      <c r="C1245" s="1081">
        <f>[30]MW!C808</f>
        <v>6</v>
      </c>
      <c r="D1245" s="1081">
        <f>[30]MW!D808</f>
        <v>5</v>
      </c>
      <c r="E1245" s="1081">
        <f>[30]MW!E808</f>
        <v>5</v>
      </c>
      <c r="F1245" s="1081">
        <f>[30]MW!F808</f>
        <v>6</v>
      </c>
      <c r="G1245" s="1081">
        <f>[30]MW!G808</f>
        <v>7</v>
      </c>
      <c r="H1245" s="1081">
        <f>[30]MW!H808</f>
        <v>7</v>
      </c>
      <c r="I1245" s="1081">
        <f>[30]MW!I808</f>
        <v>6</v>
      </c>
      <c r="J1245" s="1081">
        <f>[30]MW!J808</f>
        <v>6</v>
      </c>
      <c r="K1245" s="1081">
        <f>[30]MW!K808</f>
        <v>6</v>
      </c>
      <c r="L1245" s="1081">
        <f>[30]MW!L808</f>
        <v>5</v>
      </c>
      <c r="M1245" s="1081">
        <f>[30]MW!M808</f>
        <v>5</v>
      </c>
      <c r="N1245" s="25">
        <f t="shared" si="651"/>
        <v>71</v>
      </c>
    </row>
    <row r="1246" spans="1:14">
      <c r="A1246" s="2">
        <f t="shared" si="652"/>
        <v>2013</v>
      </c>
      <c r="B1246" s="1081">
        <f>[30]MW!B809</f>
        <v>6.31</v>
      </c>
      <c r="C1246" s="1081">
        <f>[30]MW!C809</f>
        <v>5.83</v>
      </c>
      <c r="D1246" s="1081">
        <f>[30]MW!D809</f>
        <v>5.1100000000000003</v>
      </c>
      <c r="E1246" s="1081">
        <f>[30]MW!E809</f>
        <v>4.54</v>
      </c>
      <c r="F1246" s="1081">
        <f>[30]MW!F809</f>
        <v>5.95</v>
      </c>
      <c r="G1246" s="1081">
        <f>[30]MW!G809</f>
        <v>6.5</v>
      </c>
      <c r="H1246" s="1081">
        <f>[30]MW!H809</f>
        <v>6.65</v>
      </c>
      <c r="I1246" s="1081">
        <f>[30]MW!I809</f>
        <v>6.37</v>
      </c>
      <c r="J1246" s="1081">
        <f>[30]MW!J809</f>
        <v>6.03</v>
      </c>
      <c r="K1246" s="1081">
        <f>[30]MW!K809</f>
        <v>5.73</v>
      </c>
      <c r="L1246" s="1081">
        <f>[30]MW!L809</f>
        <v>4.84</v>
      </c>
      <c r="M1246" s="1081">
        <f>[30]MW!M809</f>
        <v>5.54</v>
      </c>
      <c r="N1246" s="25">
        <f t="shared" si="651"/>
        <v>69.400000000000006</v>
      </c>
    </row>
    <row r="1247" spans="1:14">
      <c r="A1247" s="2">
        <f t="shared" si="652"/>
        <v>2014</v>
      </c>
      <c r="B1247" s="1081">
        <f>[30]MW!B810</f>
        <v>6.41</v>
      </c>
      <c r="C1247" s="1081">
        <f>[30]MW!C810</f>
        <v>5.7</v>
      </c>
      <c r="D1247" s="1081">
        <f>[30]MW!D810</f>
        <v>5.1100000000000003</v>
      </c>
      <c r="E1247" s="1081">
        <f>[30]MW!E810</f>
        <v>4.5999999999999996</v>
      </c>
      <c r="F1247" s="1081">
        <f>[30]MW!F810</f>
        <v>6.05</v>
      </c>
      <c r="G1247" s="1081">
        <f>[30]MW!G810</f>
        <v>6.57</v>
      </c>
      <c r="H1247" s="1081">
        <f>[30]MW!H810</f>
        <v>6.75</v>
      </c>
      <c r="I1247" s="1081">
        <f>[30]MW!I810</f>
        <v>6.43</v>
      </c>
      <c r="J1247" s="1081">
        <f>[30]MW!J810</f>
        <v>6.13</v>
      </c>
      <c r="K1247" s="1081">
        <f>[30]MW!K810</f>
        <v>5.54</v>
      </c>
      <c r="L1247" s="1081">
        <f>[30]MW!L810</f>
        <v>4.84</v>
      </c>
      <c r="M1247" s="1081">
        <f>[30]MW!M810</f>
        <v>5.64</v>
      </c>
      <c r="N1247" s="25">
        <f t="shared" si="651"/>
        <v>69.77</v>
      </c>
    </row>
    <row r="1248" spans="1:14">
      <c r="A1248" s="2">
        <f t="shared" si="652"/>
        <v>2015</v>
      </c>
      <c r="B1248" s="1081">
        <f>[30]MW!B811</f>
        <v>6.51</v>
      </c>
      <c r="C1248" s="1081">
        <f>[30]MW!C811</f>
        <v>5.7</v>
      </c>
      <c r="D1248" s="1081">
        <f>[30]MW!D811</f>
        <v>5.2</v>
      </c>
      <c r="E1248" s="1081">
        <f>[30]MW!E811</f>
        <v>4.6500000000000004</v>
      </c>
      <c r="F1248" s="1081">
        <f>[30]MW!F811</f>
        <v>6.14</v>
      </c>
      <c r="G1248" s="1081">
        <f>[30]MW!G811</f>
        <v>6.61</v>
      </c>
      <c r="H1248" s="1081">
        <f>[30]MW!H811</f>
        <v>6.84</v>
      </c>
      <c r="I1248" s="1081">
        <f>[30]MW!I811</f>
        <v>6.48</v>
      </c>
      <c r="J1248" s="1081">
        <f>[30]MW!J811</f>
        <v>6.13</v>
      </c>
      <c r="K1248" s="1081">
        <f>[30]MW!K811</f>
        <v>5.59</v>
      </c>
      <c r="L1248" s="1081">
        <f>[30]MW!L811</f>
        <v>4.84</v>
      </c>
      <c r="M1248" s="1081">
        <f>[30]MW!M811</f>
        <v>5.73</v>
      </c>
      <c r="N1248" s="25">
        <f t="shared" si="651"/>
        <v>70.420000000000016</v>
      </c>
    </row>
    <row r="1249" spans="1:14">
      <c r="A1249" s="2">
        <f t="shared" si="652"/>
        <v>2016</v>
      </c>
      <c r="B1249" s="1081">
        <f>[30]MW!B812</f>
        <v>6.61</v>
      </c>
      <c r="C1249" s="1081">
        <f>[30]MW!C812</f>
        <v>5.7</v>
      </c>
      <c r="D1249" s="1081">
        <f>[30]MW!D812</f>
        <v>5.2</v>
      </c>
      <c r="E1249" s="1081">
        <f>[30]MW!E812</f>
        <v>4.7</v>
      </c>
      <c r="F1249" s="1081">
        <f>[30]MW!F812</f>
        <v>6.24</v>
      </c>
      <c r="G1249" s="1081">
        <f>[30]MW!G812</f>
        <v>6.66</v>
      </c>
      <c r="H1249" s="1081">
        <f>[30]MW!H812</f>
        <v>6.94</v>
      </c>
      <c r="I1249" s="1081">
        <f>[30]MW!I812</f>
        <v>6.53</v>
      </c>
      <c r="J1249" s="1081">
        <f>[30]MW!J812</f>
        <v>6.13</v>
      </c>
      <c r="K1249" s="1081">
        <f>[30]MW!K812</f>
        <v>5.63</v>
      </c>
      <c r="L1249" s="1081">
        <f>[30]MW!L812</f>
        <v>4.9000000000000004</v>
      </c>
      <c r="M1249" s="1081">
        <f>[30]MW!M812</f>
        <v>5.83</v>
      </c>
      <c r="N1249" s="25">
        <f t="shared" si="651"/>
        <v>71.070000000000007</v>
      </c>
    </row>
    <row r="1250" spans="1:14">
      <c r="A1250" s="2">
        <f t="shared" si="652"/>
        <v>2017</v>
      </c>
      <c r="B1250" s="1081">
        <f>[30]MW!B813</f>
        <v>6.7</v>
      </c>
      <c r="C1250" s="1081">
        <f>[30]MW!C813</f>
        <v>5.7</v>
      </c>
      <c r="D1250" s="1081">
        <f>[30]MW!D813</f>
        <v>5.25</v>
      </c>
      <c r="E1250" s="1081">
        <f>[30]MW!E813</f>
        <v>4.75</v>
      </c>
      <c r="F1250" s="1081">
        <f>[30]MW!F813</f>
        <v>6.33</v>
      </c>
      <c r="G1250" s="1081">
        <f>[30]MW!G813</f>
        <v>6.71</v>
      </c>
      <c r="H1250" s="1081">
        <f>[30]MW!H813</f>
        <v>7.03</v>
      </c>
      <c r="I1250" s="1081">
        <f>[30]MW!I813</f>
        <v>6.58</v>
      </c>
      <c r="J1250" s="1081">
        <f>[30]MW!J813</f>
        <v>6.16</v>
      </c>
      <c r="K1250" s="1081">
        <f>[30]MW!K813</f>
        <v>5.67</v>
      </c>
      <c r="L1250" s="1081">
        <f>[30]MW!L813</f>
        <v>4.95</v>
      </c>
      <c r="M1250" s="1081">
        <f>[30]MW!M813</f>
        <v>5.93</v>
      </c>
      <c r="N1250" s="25">
        <f t="shared" si="651"/>
        <v>71.759999999999991</v>
      </c>
    </row>
    <row r="1251" spans="1:14">
      <c r="A1251" s="2">
        <f t="shared" si="652"/>
        <v>2018</v>
      </c>
      <c r="B1251" s="1081">
        <f>[30]MW!B814</f>
        <v>6.8</v>
      </c>
      <c r="C1251" s="1081">
        <f>[30]MW!C814</f>
        <v>5.7</v>
      </c>
      <c r="D1251" s="1081">
        <f>[30]MW!D814</f>
        <v>5.29</v>
      </c>
      <c r="E1251" s="1081">
        <f>[30]MW!E814</f>
        <v>4.79</v>
      </c>
      <c r="F1251" s="1081">
        <f>[30]MW!F814</f>
        <v>6.43</v>
      </c>
      <c r="G1251" s="1081">
        <f>[30]MW!G814</f>
        <v>6.75</v>
      </c>
      <c r="H1251" s="1081">
        <f>[30]MW!H814</f>
        <v>7.13</v>
      </c>
      <c r="I1251" s="1081">
        <f>[30]MW!I814</f>
        <v>6.62</v>
      </c>
      <c r="J1251" s="1081">
        <f>[30]MW!J814</f>
        <v>6.19</v>
      </c>
      <c r="K1251" s="1081">
        <f>[30]MW!K814</f>
        <v>5.7</v>
      </c>
      <c r="L1251" s="1081">
        <f>[30]MW!L814</f>
        <v>5</v>
      </c>
      <c r="M1251" s="1081">
        <f>[30]MW!M814</f>
        <v>6.02</v>
      </c>
      <c r="N1251" s="25">
        <f t="shared" si="651"/>
        <v>72.42</v>
      </c>
    </row>
    <row r="1252" spans="1:14">
      <c r="A1252" s="2">
        <f t="shared" si="652"/>
        <v>2019</v>
      </c>
      <c r="B1252" s="1081">
        <f>[30]MW!B815</f>
        <v>6.9</v>
      </c>
      <c r="C1252" s="1081">
        <f>[30]MW!C815</f>
        <v>5.83</v>
      </c>
      <c r="D1252" s="1081">
        <f>[30]MW!D815</f>
        <v>5.33</v>
      </c>
      <c r="E1252" s="1081">
        <f>[30]MW!E815</f>
        <v>4.84</v>
      </c>
      <c r="F1252" s="1081">
        <f>[30]MW!F815</f>
        <v>6.52</v>
      </c>
      <c r="G1252" s="1081">
        <f>[30]MW!G815</f>
        <v>6.8</v>
      </c>
      <c r="H1252" s="1081">
        <f>[30]MW!H815</f>
        <v>7.22</v>
      </c>
      <c r="I1252" s="1081">
        <f>[30]MW!I815</f>
        <v>6.67</v>
      </c>
      <c r="J1252" s="1081">
        <f>[30]MW!J815</f>
        <v>6.21</v>
      </c>
      <c r="K1252" s="1081">
        <f>[30]MW!K815</f>
        <v>5.74</v>
      </c>
      <c r="L1252" s="1081">
        <f>[30]MW!L815</f>
        <v>5.04</v>
      </c>
      <c r="M1252" s="1081">
        <f>[30]MW!M815</f>
        <v>6.12</v>
      </c>
      <c r="N1252" s="25">
        <f t="shared" si="651"/>
        <v>73.220000000000013</v>
      </c>
    </row>
    <row r="1253" spans="1:14">
      <c r="A1253" s="2">
        <f t="shared" si="652"/>
        <v>2020</v>
      </c>
      <c r="B1253" s="1081">
        <f>[30]MW!B816</f>
        <v>7</v>
      </c>
      <c r="C1253" s="1081">
        <f>[30]MW!C816</f>
        <v>5.83</v>
      </c>
      <c r="D1253" s="1081">
        <f>[30]MW!D816</f>
        <v>5.37</v>
      </c>
      <c r="E1253" s="1081">
        <f>[30]MW!E816</f>
        <v>4.8899999999999997</v>
      </c>
      <c r="F1253" s="1081">
        <f>[30]MW!F816</f>
        <v>6.62</v>
      </c>
      <c r="G1253" s="1081">
        <f>[30]MW!G816</f>
        <v>6.85</v>
      </c>
      <c r="H1253" s="1081">
        <f>[30]MW!H816</f>
        <v>7.32</v>
      </c>
      <c r="I1253" s="1081">
        <f>[30]MW!I816</f>
        <v>6.72</v>
      </c>
      <c r="J1253" s="1081">
        <f>[30]MW!J816</f>
        <v>6.24</v>
      </c>
      <c r="K1253" s="1081">
        <f>[30]MW!K816</f>
        <v>5.78</v>
      </c>
      <c r="L1253" s="1081">
        <f>[30]MW!L816</f>
        <v>5.09</v>
      </c>
      <c r="M1253" s="1081">
        <f>[30]MW!M816</f>
        <v>6.22</v>
      </c>
      <c r="N1253" s="25">
        <f t="shared" si="651"/>
        <v>73.930000000000007</v>
      </c>
    </row>
    <row r="1254" spans="1:14">
      <c r="A1254" s="2">
        <f t="shared" si="652"/>
        <v>2021</v>
      </c>
      <c r="B1254" s="1081">
        <f>[30]MW!B817</f>
        <v>7.1</v>
      </c>
      <c r="C1254" s="1081">
        <f>[30]MW!C817</f>
        <v>5.83</v>
      </c>
      <c r="D1254" s="1081">
        <f>[30]MW!D817</f>
        <v>5.4</v>
      </c>
      <c r="E1254" s="1081">
        <f>[30]MW!E817</f>
        <v>4.93</v>
      </c>
      <c r="F1254" s="1081">
        <f>[30]MW!F817</f>
        <v>6.72</v>
      </c>
      <c r="G1254" s="1081">
        <f>[30]MW!G817</f>
        <v>6.9</v>
      </c>
      <c r="H1254" s="1081">
        <f>[30]MW!H817</f>
        <v>7.32</v>
      </c>
      <c r="I1254" s="1081">
        <f>[30]MW!I817</f>
        <v>6.76</v>
      </c>
      <c r="J1254" s="1081">
        <f>[30]MW!J817</f>
        <v>6.26</v>
      </c>
      <c r="K1254" s="1081">
        <f>[30]MW!K817</f>
        <v>5.82</v>
      </c>
      <c r="L1254" s="1081">
        <f>[30]MW!L817</f>
        <v>5.13</v>
      </c>
      <c r="M1254" s="1081">
        <f>[30]MW!M817</f>
        <v>6.32</v>
      </c>
      <c r="N1254" s="25">
        <f t="shared" ref="N1254:N1259" si="653">SUM(B1254:M1254)</f>
        <v>74.489999999999981</v>
      </c>
    </row>
    <row r="1255" spans="1:14">
      <c r="A1255" s="2">
        <f t="shared" si="652"/>
        <v>2022</v>
      </c>
      <c r="B1255" s="1081">
        <f>[30]MW!B818</f>
        <v>7.2</v>
      </c>
      <c r="C1255" s="1081">
        <f>[30]MW!C818</f>
        <v>5.83</v>
      </c>
      <c r="D1255" s="1081">
        <f>[30]MW!D818</f>
        <v>5.44</v>
      </c>
      <c r="E1255" s="1081">
        <f>[30]MW!E818</f>
        <v>4.9800000000000004</v>
      </c>
      <c r="F1255" s="1081">
        <f>[30]MW!F818</f>
        <v>6.72</v>
      </c>
      <c r="G1255" s="1081">
        <f>[30]MW!G818</f>
        <v>6.94</v>
      </c>
      <c r="H1255" s="1081">
        <f>[30]MW!H818</f>
        <v>7.41</v>
      </c>
      <c r="I1255" s="1081">
        <f>[30]MW!I818</f>
        <v>6.81</v>
      </c>
      <c r="J1255" s="1081">
        <f>[30]MW!J818</f>
        <v>6.28</v>
      </c>
      <c r="K1255" s="1081">
        <f>[30]MW!K818</f>
        <v>5.85</v>
      </c>
      <c r="L1255" s="1081">
        <f>[30]MW!L818</f>
        <v>5.18</v>
      </c>
      <c r="M1255" s="1081">
        <f>[30]MW!M818</f>
        <v>6.41</v>
      </c>
      <c r="N1255" s="25">
        <f t="shared" si="653"/>
        <v>75.05</v>
      </c>
    </row>
    <row r="1256" spans="1:14">
      <c r="A1256" s="2">
        <f t="shared" si="652"/>
        <v>2023</v>
      </c>
      <c r="B1256" s="1081">
        <f>[30]MW!B819</f>
        <v>7.3</v>
      </c>
      <c r="C1256" s="1081">
        <f>[30]MW!C819</f>
        <v>5.83</v>
      </c>
      <c r="D1256" s="1081">
        <f>[30]MW!D819</f>
        <v>5.48</v>
      </c>
      <c r="E1256" s="1081">
        <f>[30]MW!E819</f>
        <v>5.03</v>
      </c>
      <c r="F1256" s="1081">
        <f>[30]MW!F819</f>
        <v>6.81</v>
      </c>
      <c r="G1256" s="1081">
        <f>[30]MW!G819</f>
        <v>6.99</v>
      </c>
      <c r="H1256" s="1081">
        <f>[30]MW!H819</f>
        <v>7.41</v>
      </c>
      <c r="I1256" s="1081">
        <f>[30]MW!I819</f>
        <v>6.86</v>
      </c>
      <c r="J1256" s="1081">
        <f>[30]MW!J819</f>
        <v>6.31</v>
      </c>
      <c r="K1256" s="1081">
        <f>[30]MW!K819</f>
        <v>5.89</v>
      </c>
      <c r="L1256" s="1081">
        <f>[30]MW!L819</f>
        <v>5.22</v>
      </c>
      <c r="M1256" s="1081">
        <f>[30]MW!M819</f>
        <v>6.51</v>
      </c>
      <c r="N1256" s="25">
        <f t="shared" si="653"/>
        <v>75.64</v>
      </c>
    </row>
    <row r="1257" spans="1:14">
      <c r="A1257" s="2">
        <f t="shared" si="652"/>
        <v>2024</v>
      </c>
      <c r="B1257" s="1081">
        <f>[30]MW!B820</f>
        <v>7.4</v>
      </c>
      <c r="C1257" s="1081">
        <f>[30]MW!C820</f>
        <v>5.83</v>
      </c>
      <c r="D1257" s="1081">
        <f>[30]MW!D820</f>
        <v>5.52</v>
      </c>
      <c r="E1257" s="1081">
        <f>[30]MW!E820</f>
        <v>5.08</v>
      </c>
      <c r="F1257" s="1081">
        <f>[30]MW!F820</f>
        <v>6.81</v>
      </c>
      <c r="G1257" s="1081">
        <f>[30]MW!G820</f>
        <v>7.04</v>
      </c>
      <c r="H1257" s="1081">
        <f>[30]MW!H820</f>
        <v>7.46</v>
      </c>
      <c r="I1257" s="1081">
        <f>[30]MW!I820</f>
        <v>6.9</v>
      </c>
      <c r="J1257" s="1081">
        <f>[30]MW!J820</f>
        <v>6.33</v>
      </c>
      <c r="K1257" s="1081">
        <f>[30]MW!K820</f>
        <v>5.93</v>
      </c>
      <c r="L1257" s="1081">
        <f>[30]MW!L820</f>
        <v>5.27</v>
      </c>
      <c r="M1257" s="1081">
        <f>[30]MW!M820</f>
        <v>6.61</v>
      </c>
      <c r="N1257" s="25">
        <f t="shared" si="653"/>
        <v>76.179999999999993</v>
      </c>
    </row>
    <row r="1258" spans="1:14">
      <c r="A1258" s="2">
        <f t="shared" si="652"/>
        <v>2025</v>
      </c>
      <c r="B1258" s="1081">
        <f>[30]MW!B821</f>
        <v>7.49</v>
      </c>
      <c r="C1258" s="1081">
        <f>[30]MW!C821</f>
        <v>5.83</v>
      </c>
      <c r="D1258" s="1081">
        <f>[30]MW!D821</f>
        <v>5.56</v>
      </c>
      <c r="E1258" s="1081">
        <f>[30]MW!E821</f>
        <v>5.12</v>
      </c>
      <c r="F1258" s="1081">
        <f>[30]MW!F821</f>
        <v>6.86</v>
      </c>
      <c r="G1258" s="1081">
        <f>[30]MW!G821</f>
        <v>7.08</v>
      </c>
      <c r="H1258" s="1081">
        <f>[30]MW!H821</f>
        <v>7.5</v>
      </c>
      <c r="I1258" s="1081">
        <f>[30]MW!I821</f>
        <v>6.95</v>
      </c>
      <c r="J1258" s="1081">
        <f>[30]MW!J821</f>
        <v>6.36</v>
      </c>
      <c r="K1258" s="1081">
        <f>[30]MW!K821</f>
        <v>5.97</v>
      </c>
      <c r="L1258" s="1081">
        <f>[30]MW!L821</f>
        <v>5.31</v>
      </c>
      <c r="M1258" s="1081">
        <f>[30]MW!M821</f>
        <v>6.7</v>
      </c>
      <c r="N1258" s="25">
        <f t="shared" si="653"/>
        <v>76.73</v>
      </c>
    </row>
    <row r="1259" spans="1:14">
      <c r="A1259" s="2">
        <f t="shared" si="652"/>
        <v>2026</v>
      </c>
      <c r="B1259" s="1081">
        <f>[30]MW!B822</f>
        <v>7.59</v>
      </c>
      <c r="C1259" s="1081">
        <f>[30]MW!C822</f>
        <v>5.83</v>
      </c>
      <c r="D1259" s="1081">
        <f>[30]MW!D822</f>
        <v>5.6</v>
      </c>
      <c r="E1259" s="1081">
        <f>[30]MW!E822</f>
        <v>5.17</v>
      </c>
      <c r="F1259" s="1081">
        <f>[30]MW!F822</f>
        <v>6.9</v>
      </c>
      <c r="G1259" s="1081">
        <f>[30]MW!G822</f>
        <v>7.13</v>
      </c>
      <c r="H1259" s="1081">
        <f>[30]MW!H822</f>
        <v>7.54</v>
      </c>
      <c r="I1259" s="1081">
        <f>[30]MW!I822</f>
        <v>7</v>
      </c>
      <c r="J1259" s="1081">
        <f>[30]MW!J822</f>
        <v>6.38</v>
      </c>
      <c r="K1259" s="1081">
        <f>[30]MW!K822</f>
        <v>6</v>
      </c>
      <c r="L1259" s="1081">
        <f>[30]MW!L822</f>
        <v>5.36</v>
      </c>
      <c r="M1259" s="1081">
        <f>[30]MW!M822</f>
        <v>6.8</v>
      </c>
      <c r="N1259" s="25">
        <f t="shared" si="653"/>
        <v>77.3</v>
      </c>
    </row>
    <row r="1260" spans="1:14">
      <c r="A1260" s="2">
        <f t="shared" si="652"/>
        <v>2027</v>
      </c>
      <c r="B1260" s="1081">
        <f>[30]MW!B823</f>
        <v>7.69</v>
      </c>
      <c r="C1260" s="1081">
        <f>[30]MW!C823</f>
        <v>5.83</v>
      </c>
      <c r="D1260" s="1081">
        <f>[30]MW!D823</f>
        <v>5.64</v>
      </c>
      <c r="E1260" s="1081">
        <f>[30]MW!E823</f>
        <v>5.22</v>
      </c>
      <c r="F1260" s="1081">
        <f>[30]MW!F823</f>
        <v>6.94</v>
      </c>
      <c r="G1260" s="1081">
        <f>[30]MW!G823</f>
        <v>7.18</v>
      </c>
      <c r="H1260" s="1081">
        <f>[30]MW!H823</f>
        <v>7.57</v>
      </c>
      <c r="I1260" s="1081">
        <f>[30]MW!I823</f>
        <v>7.04</v>
      </c>
      <c r="J1260" s="1081">
        <f>[30]MW!J823</f>
        <v>6.4</v>
      </c>
      <c r="K1260" s="1081">
        <f>[30]MW!K823</f>
        <v>6.04</v>
      </c>
      <c r="L1260" s="1081">
        <f>[30]MW!L823</f>
        <v>5.41</v>
      </c>
      <c r="M1260" s="1081">
        <f>[30]MW!M823</f>
        <v>6.9</v>
      </c>
      <c r="N1260" s="25">
        <f>SUM(B1260:M1260)</f>
        <v>77.86</v>
      </c>
    </row>
    <row r="1261" spans="1:14">
      <c r="A1261" s="2">
        <f t="shared" si="652"/>
        <v>2028</v>
      </c>
      <c r="B1261" s="1081">
        <f>[30]MW!B824</f>
        <v>7.79</v>
      </c>
      <c r="C1261" s="1081">
        <f>[30]MW!C824</f>
        <v>5.83</v>
      </c>
      <c r="D1261" s="1081">
        <f>[30]MW!D824</f>
        <v>5.67</v>
      </c>
      <c r="E1261" s="1081">
        <f>[30]MW!E824</f>
        <v>5.27</v>
      </c>
      <c r="F1261" s="1081">
        <f>[30]MW!F824</f>
        <v>6.98</v>
      </c>
      <c r="G1261" s="1081">
        <f>[30]MW!G824</f>
        <v>7.22</v>
      </c>
      <c r="H1261" s="1081">
        <f>[30]MW!H824</f>
        <v>7.61</v>
      </c>
      <c r="I1261" s="1081">
        <f>[30]MW!I824</f>
        <v>7.09</v>
      </c>
      <c r="J1261" s="1081">
        <f>[30]MW!J824</f>
        <v>6.43</v>
      </c>
      <c r="K1261" s="1081">
        <f>[30]MW!K824</f>
        <v>6.08</v>
      </c>
      <c r="L1261" s="1081">
        <f>[30]MW!L824</f>
        <v>5.45</v>
      </c>
      <c r="M1261" s="1081">
        <f>[30]MW!M824</f>
        <v>7</v>
      </c>
      <c r="N1261" s="25">
        <f>SUM(B1261:M1261)</f>
        <v>78.42</v>
      </c>
    </row>
    <row r="1262" spans="1:14">
      <c r="A1262" s="2">
        <f t="shared" si="652"/>
        <v>2029</v>
      </c>
      <c r="B1262" s="1081">
        <f>[30]MW!B825</f>
        <v>7.89</v>
      </c>
      <c r="C1262" s="1081">
        <f>[30]MW!C825</f>
        <v>5.83</v>
      </c>
      <c r="D1262" s="1081">
        <f>[30]MW!D825</f>
        <v>5.71</v>
      </c>
      <c r="E1262" s="1081">
        <f>[30]MW!E825</f>
        <v>5.31</v>
      </c>
      <c r="F1262" s="1081">
        <f>[30]MW!F825</f>
        <v>7.01</v>
      </c>
      <c r="G1262" s="1081">
        <f>[30]MW!G825</f>
        <v>7.27</v>
      </c>
      <c r="H1262" s="1081">
        <f>[30]MW!H825</f>
        <v>7.65</v>
      </c>
      <c r="I1262" s="1081">
        <f>[30]MW!I825</f>
        <v>7.14</v>
      </c>
      <c r="J1262" s="1081">
        <f>[30]MW!J825</f>
        <v>6.45</v>
      </c>
      <c r="K1262" s="1081">
        <f>[30]MW!K825</f>
        <v>6.12</v>
      </c>
      <c r="L1262" s="1081">
        <f>[30]MW!L825</f>
        <v>5.5</v>
      </c>
      <c r="M1262" s="1081">
        <f>[30]MW!M825</f>
        <v>7.09</v>
      </c>
      <c r="N1262" s="25">
        <f>SUM(B1262:M1262)</f>
        <v>78.97</v>
      </c>
    </row>
    <row r="1263" spans="1:14">
      <c r="A1263" s="2">
        <f t="shared" si="652"/>
        <v>2030</v>
      </c>
      <c r="B1263" s="1081">
        <f>[30]MW!B826</f>
        <v>7.99</v>
      </c>
      <c r="C1263" s="1081">
        <f>[30]MW!C826</f>
        <v>5.83</v>
      </c>
      <c r="D1263" s="1081">
        <f>[30]MW!D826</f>
        <v>5.75</v>
      </c>
      <c r="E1263" s="1081">
        <f>[30]MW!E826</f>
        <v>5.36</v>
      </c>
      <c r="F1263" s="1081">
        <f>[30]MW!F826</f>
        <v>7.05</v>
      </c>
      <c r="G1263" s="1081">
        <f>[30]MW!G826</f>
        <v>7.32</v>
      </c>
      <c r="H1263" s="1081">
        <f>[30]MW!H826</f>
        <v>7.69</v>
      </c>
      <c r="I1263" s="1081">
        <f>[30]MW!I826</f>
        <v>7.18</v>
      </c>
      <c r="J1263" s="1081">
        <f>[30]MW!J826</f>
        <v>6.47</v>
      </c>
      <c r="K1263" s="1081">
        <f>[30]MW!K826</f>
        <v>6.16</v>
      </c>
      <c r="L1263" s="1081">
        <f>[30]MW!L826</f>
        <v>5.54</v>
      </c>
      <c r="M1263" s="1081">
        <f>[30]MW!M826</f>
        <v>7.19</v>
      </c>
      <c r="N1263" s="25">
        <f>SUM(B1263:M1263)</f>
        <v>79.53</v>
      </c>
    </row>
    <row r="1264" spans="1:14">
      <c r="A1264" s="2">
        <f t="shared" si="652"/>
        <v>2031</v>
      </c>
      <c r="B1264" s="1081">
        <f>[30]MW!B827</f>
        <v>8.09</v>
      </c>
      <c r="C1264" s="1081">
        <f>[30]MW!C827</f>
        <v>5.93</v>
      </c>
      <c r="D1264" s="1081">
        <f>[30]MW!D827</f>
        <v>5.79</v>
      </c>
      <c r="E1264" s="1081">
        <f>[30]MW!E827</f>
        <v>5.41</v>
      </c>
      <c r="F1264" s="1081">
        <f>[30]MW!F827</f>
        <v>7.09</v>
      </c>
      <c r="G1264" s="1081">
        <f>[30]MW!G827</f>
        <v>7.37</v>
      </c>
      <c r="H1264" s="1081">
        <f>[30]MW!H827</f>
        <v>7.73</v>
      </c>
      <c r="I1264" s="1081">
        <f>[30]MW!I827</f>
        <v>7.23</v>
      </c>
      <c r="J1264" s="1081">
        <f>[30]MW!J827</f>
        <v>6.5</v>
      </c>
      <c r="K1264" s="1081">
        <f>[30]MW!K827</f>
        <v>6.19</v>
      </c>
      <c r="L1264" s="1081">
        <f>[30]MW!L827</f>
        <v>5.59</v>
      </c>
      <c r="M1264" s="1081">
        <f>[30]MW!M827</f>
        <v>7.29</v>
      </c>
      <c r="N1264" s="25">
        <f t="shared" ref="N1264:N1273" si="654">SUM(B1264:M1264)</f>
        <v>80.210000000000008</v>
      </c>
    </row>
    <row r="1265" spans="1:14">
      <c r="A1265" s="2">
        <f t="shared" si="652"/>
        <v>2032</v>
      </c>
      <c r="B1265" s="1081">
        <f>[30]MW!B828</f>
        <v>8.18</v>
      </c>
      <c r="C1265" s="1081">
        <f>[30]MW!C828</f>
        <v>5.93</v>
      </c>
      <c r="D1265" s="1081">
        <f>[30]MW!D828</f>
        <v>5.83</v>
      </c>
      <c r="E1265" s="1081">
        <f>[30]MW!E828</f>
        <v>5.46</v>
      </c>
      <c r="F1265" s="1081">
        <f>[30]MW!F828</f>
        <v>7.13</v>
      </c>
      <c r="G1265" s="1081">
        <f>[30]MW!G828</f>
        <v>7.41</v>
      </c>
      <c r="H1265" s="1081">
        <f>[30]MW!H828</f>
        <v>7.76</v>
      </c>
      <c r="I1265" s="1081">
        <f>[30]MW!I828</f>
        <v>7.28</v>
      </c>
      <c r="J1265" s="1081">
        <f>[30]MW!J828</f>
        <v>6.52</v>
      </c>
      <c r="K1265" s="1081">
        <f>[30]MW!K828</f>
        <v>6.23</v>
      </c>
      <c r="L1265" s="1081">
        <f>[30]MW!L828</f>
        <v>5.63</v>
      </c>
      <c r="M1265" s="1081">
        <f>[30]MW!M828</f>
        <v>7.38</v>
      </c>
      <c r="N1265" s="25">
        <f t="shared" si="654"/>
        <v>80.739999999999995</v>
      </c>
    </row>
    <row r="1266" spans="1:14">
      <c r="A1266" s="2">
        <f t="shared" si="652"/>
        <v>2033</v>
      </c>
      <c r="B1266" s="1081">
        <f>[30]MW!B829</f>
        <v>8.2799999999999994</v>
      </c>
      <c r="C1266" s="1081">
        <f>[30]MW!C829</f>
        <v>5.93</v>
      </c>
      <c r="D1266" s="1081">
        <f>[30]MW!D829</f>
        <v>5.87</v>
      </c>
      <c r="E1266" s="1081">
        <f>[30]MW!E829</f>
        <v>5.5</v>
      </c>
      <c r="F1266" s="1081">
        <f>[30]MW!F829</f>
        <v>7.17</v>
      </c>
      <c r="G1266" s="1081">
        <f>[30]MW!G829</f>
        <v>7.46</v>
      </c>
      <c r="H1266" s="1081">
        <f>[30]MW!H829</f>
        <v>7.8</v>
      </c>
      <c r="I1266" s="1081">
        <f>[30]MW!I829</f>
        <v>7.32</v>
      </c>
      <c r="J1266" s="1081">
        <f>[30]MW!J829</f>
        <v>6.55</v>
      </c>
      <c r="K1266" s="1081">
        <f>[30]MW!K829</f>
        <v>6.27</v>
      </c>
      <c r="L1266" s="1081">
        <f>[30]MW!L829</f>
        <v>5.68</v>
      </c>
      <c r="M1266" s="1081">
        <f>[30]MW!M829</f>
        <v>7.48</v>
      </c>
      <c r="N1266" s="25">
        <f t="shared" si="654"/>
        <v>81.309999999999988</v>
      </c>
    </row>
    <row r="1267" spans="1:14">
      <c r="A1267" s="2">
        <f t="shared" si="652"/>
        <v>2034</v>
      </c>
      <c r="B1267" s="1081">
        <f>[30]MW!B830</f>
        <v>8.3800000000000008</v>
      </c>
      <c r="C1267" s="1081">
        <f>[30]MW!C830</f>
        <v>5.93</v>
      </c>
      <c r="D1267" s="1081">
        <f>[30]MW!D830</f>
        <v>5.9</v>
      </c>
      <c r="E1267" s="1081">
        <f>[30]MW!E830</f>
        <v>5.55</v>
      </c>
      <c r="F1267" s="1081">
        <f>[30]MW!F830</f>
        <v>7.21</v>
      </c>
      <c r="G1267" s="1081">
        <f>[30]MW!G830</f>
        <v>7.51</v>
      </c>
      <c r="H1267" s="1081">
        <f>[30]MW!H830</f>
        <v>7.84</v>
      </c>
      <c r="I1267" s="1081">
        <f>[30]MW!I830</f>
        <v>7.37</v>
      </c>
      <c r="J1267" s="1081">
        <f>[30]MW!J830</f>
        <v>6.57</v>
      </c>
      <c r="K1267" s="1081">
        <f>[30]MW!K830</f>
        <v>6.31</v>
      </c>
      <c r="L1267" s="1081">
        <f>[30]MW!L830</f>
        <v>5.73</v>
      </c>
      <c r="M1267" s="1081">
        <f>[30]MW!M830</f>
        <v>7.58</v>
      </c>
      <c r="N1267" s="25">
        <f t="shared" si="654"/>
        <v>81.88</v>
      </c>
    </row>
    <row r="1268" spans="1:14">
      <c r="A1268" s="2">
        <f t="shared" si="652"/>
        <v>2035</v>
      </c>
      <c r="B1268" s="1081">
        <f>[30]MW!B831</f>
        <v>8.48</v>
      </c>
      <c r="C1268" s="1081">
        <f>[30]MW!C831</f>
        <v>5.93</v>
      </c>
      <c r="D1268" s="1081">
        <f>[30]MW!D831</f>
        <v>5.94</v>
      </c>
      <c r="E1268" s="1081">
        <f>[30]MW!E831</f>
        <v>5.6</v>
      </c>
      <c r="F1268" s="1081">
        <f>[30]MW!F831</f>
        <v>7.24</v>
      </c>
      <c r="G1268" s="1081">
        <f>[30]MW!G831</f>
        <v>7.55</v>
      </c>
      <c r="H1268" s="1081">
        <f>[30]MW!H831</f>
        <v>7.88</v>
      </c>
      <c r="I1268" s="1081">
        <f>[30]MW!I831</f>
        <v>7.42</v>
      </c>
      <c r="J1268" s="1081">
        <f>[30]MW!J831</f>
        <v>6.59</v>
      </c>
      <c r="K1268" s="1081">
        <f>[30]MW!K831</f>
        <v>6.34</v>
      </c>
      <c r="L1268" s="1081">
        <f>[30]MW!L831</f>
        <v>5.77</v>
      </c>
      <c r="M1268" s="1081">
        <f>[30]MW!M831</f>
        <v>7.68</v>
      </c>
      <c r="N1268" s="25">
        <f t="shared" si="654"/>
        <v>82.420000000000016</v>
      </c>
    </row>
    <row r="1269" spans="1:14">
      <c r="A1269" s="2">
        <f t="shared" si="652"/>
        <v>2036</v>
      </c>
      <c r="B1269" s="1081">
        <f>[30]MW!B832</f>
        <v>8.58</v>
      </c>
      <c r="C1269" s="1081">
        <f>[30]MW!C832</f>
        <v>5.93</v>
      </c>
      <c r="D1269" s="1081">
        <f>[30]MW!D832</f>
        <v>5.98</v>
      </c>
      <c r="E1269" s="1081">
        <f>[30]MW!E832</f>
        <v>5.64</v>
      </c>
      <c r="F1269" s="1081">
        <f>[30]MW!F832</f>
        <v>7.28</v>
      </c>
      <c r="G1269" s="1081">
        <f>[30]MW!G832</f>
        <v>7.6</v>
      </c>
      <c r="H1269" s="1081">
        <f>[30]MW!H832</f>
        <v>7.92</v>
      </c>
      <c r="I1269" s="1081">
        <f>[30]MW!I832</f>
        <v>7.47</v>
      </c>
      <c r="J1269" s="1081">
        <f>[30]MW!J832</f>
        <v>6.62</v>
      </c>
      <c r="K1269" s="1081">
        <f>[30]MW!K832</f>
        <v>6.38</v>
      </c>
      <c r="L1269" s="1081">
        <f>[30]MW!L832</f>
        <v>5.82</v>
      </c>
      <c r="M1269" s="1081">
        <f>[30]MW!M832</f>
        <v>7.77</v>
      </c>
      <c r="N1269" s="25">
        <f t="shared" si="654"/>
        <v>82.99</v>
      </c>
    </row>
    <row r="1270" spans="1:14">
      <c r="A1270" s="2">
        <f t="shared" si="652"/>
        <v>2037</v>
      </c>
      <c r="B1270" s="1081">
        <f>[30]MW!B833</f>
        <v>8.68</v>
      </c>
      <c r="C1270" s="1081">
        <f>[30]MW!C833</f>
        <v>5.93</v>
      </c>
      <c r="D1270" s="1081">
        <f>[30]MW!D833</f>
        <v>6.02</v>
      </c>
      <c r="E1270" s="1081">
        <f>[30]MW!E833</f>
        <v>5.69</v>
      </c>
      <c r="F1270" s="1081">
        <f>[30]MW!F833</f>
        <v>7.32</v>
      </c>
      <c r="G1270" s="1081">
        <f>[30]MW!G833</f>
        <v>7.65</v>
      </c>
      <c r="H1270" s="1081">
        <f>[30]MW!H833</f>
        <v>7.96</v>
      </c>
      <c r="I1270" s="1081">
        <f>[30]MW!I833</f>
        <v>7.51</v>
      </c>
      <c r="J1270" s="1081">
        <f>[30]MW!J833</f>
        <v>6.64</v>
      </c>
      <c r="K1270" s="1081">
        <f>[30]MW!K833</f>
        <v>6.42</v>
      </c>
      <c r="L1270" s="1081">
        <f>[30]MW!L833</f>
        <v>5.86</v>
      </c>
      <c r="M1270" s="1081">
        <f>[30]MW!M833</f>
        <v>7.87</v>
      </c>
      <c r="N1270" s="25">
        <f t="shared" si="654"/>
        <v>83.55</v>
      </c>
    </row>
    <row r="1271" spans="1:14">
      <c r="A1271" s="2">
        <f t="shared" si="652"/>
        <v>2038</v>
      </c>
      <c r="B1271" s="1081">
        <f>[30]MW!B834</f>
        <v>8.7799999999999994</v>
      </c>
      <c r="C1271" s="1081">
        <f>[30]MW!C834</f>
        <v>5.93</v>
      </c>
      <c r="D1271" s="1081">
        <f>[30]MW!D834</f>
        <v>6.06</v>
      </c>
      <c r="E1271" s="1081">
        <f>[30]MW!E834</f>
        <v>5.74</v>
      </c>
      <c r="F1271" s="1081">
        <f>[30]MW!F834</f>
        <v>7.36</v>
      </c>
      <c r="G1271" s="1081">
        <f>[30]MW!G834</f>
        <v>7.7</v>
      </c>
      <c r="H1271" s="1081">
        <f>[30]MW!H834</f>
        <v>7.99</v>
      </c>
      <c r="I1271" s="1081">
        <f>[30]MW!I834</f>
        <v>7.56</v>
      </c>
      <c r="J1271" s="1081">
        <f>[30]MW!J834</f>
        <v>6.67</v>
      </c>
      <c r="K1271" s="1081">
        <f>[30]MW!K834</f>
        <v>6.46</v>
      </c>
      <c r="L1271" s="1081">
        <f>[30]MW!L834</f>
        <v>5.91</v>
      </c>
      <c r="M1271" s="1081">
        <f>[30]MW!M834</f>
        <v>7.97</v>
      </c>
      <c r="N1271" s="25">
        <f t="shared" si="654"/>
        <v>84.13</v>
      </c>
    </row>
    <row r="1272" spans="1:14">
      <c r="A1272" s="2">
        <f t="shared" si="652"/>
        <v>2039</v>
      </c>
      <c r="B1272" s="1081">
        <f>[30]MW!B835</f>
        <v>8.8699999999999992</v>
      </c>
      <c r="C1272" s="1081">
        <f>[30]MW!C835</f>
        <v>5.93</v>
      </c>
      <c r="D1272" s="1081">
        <f>[30]MW!D835</f>
        <v>6.1</v>
      </c>
      <c r="E1272" s="1081">
        <f>[30]MW!E835</f>
        <v>5.79</v>
      </c>
      <c r="F1272" s="1081">
        <f>[30]MW!F835</f>
        <v>7.4</v>
      </c>
      <c r="G1272" s="1081">
        <f>[30]MW!G835</f>
        <v>7.74</v>
      </c>
      <c r="H1272" s="1081">
        <f>[30]MW!H835</f>
        <v>8.0299999999999994</v>
      </c>
      <c r="I1272" s="1081">
        <f>[30]MW!I835</f>
        <v>7.61</v>
      </c>
      <c r="J1272" s="1081">
        <f>[30]MW!J835</f>
        <v>6.69</v>
      </c>
      <c r="K1272" s="1081">
        <f>[30]MW!K835</f>
        <v>6.49</v>
      </c>
      <c r="L1272" s="1081">
        <f>[30]MW!L835</f>
        <v>5.95</v>
      </c>
      <c r="M1272" s="1081">
        <f>[30]MW!M835</f>
        <v>8.06</v>
      </c>
      <c r="N1272" s="25">
        <f t="shared" si="654"/>
        <v>84.66</v>
      </c>
    </row>
    <row r="1273" spans="1:14">
      <c r="A1273" s="2">
        <f t="shared" si="652"/>
        <v>2040</v>
      </c>
      <c r="B1273" s="1081">
        <f>[30]MW!B836</f>
        <v>8.9700000000000006</v>
      </c>
      <c r="C1273" s="1081">
        <f>[30]MW!C836</f>
        <v>5.93</v>
      </c>
      <c r="D1273" s="1081">
        <f>[30]MW!D836</f>
        <v>6.14</v>
      </c>
      <c r="E1273" s="1081">
        <f>[30]MW!E836</f>
        <v>5.83</v>
      </c>
      <c r="F1273" s="1081">
        <f>[30]MW!F836</f>
        <v>7.44</v>
      </c>
      <c r="G1273" s="1081">
        <f>[30]MW!G836</f>
        <v>7.79</v>
      </c>
      <c r="H1273" s="1081">
        <f>[30]MW!H836</f>
        <v>8.07</v>
      </c>
      <c r="I1273" s="1081">
        <f>[30]MW!I836</f>
        <v>7.65</v>
      </c>
      <c r="J1273" s="1081">
        <f>[30]MW!J836</f>
        <v>6.71</v>
      </c>
      <c r="K1273" s="1081">
        <f>[30]MW!K836</f>
        <v>6.53</v>
      </c>
      <c r="L1273" s="1081">
        <f>[30]MW!L836</f>
        <v>6</v>
      </c>
      <c r="M1273" s="1081">
        <f>[30]MW!M836</f>
        <v>8.16</v>
      </c>
      <c r="N1273" s="25">
        <f t="shared" si="654"/>
        <v>85.219999999999985</v>
      </c>
    </row>
    <row r="1274" spans="1:14">
      <c r="A1274" s="2">
        <f t="shared" si="652"/>
        <v>2041</v>
      </c>
    </row>
    <row r="1275" spans="1:14">
      <c r="A1275" s="2">
        <f t="shared" si="652"/>
        <v>2042</v>
      </c>
    </row>
    <row r="1276" spans="1:14">
      <c r="A1276" s="2">
        <f t="shared" si="652"/>
        <v>2043</v>
      </c>
    </row>
    <row r="1277" spans="1:14">
      <c r="A1277" s="2">
        <f t="shared" si="652"/>
        <v>2044</v>
      </c>
    </row>
    <row r="1278" spans="1:14">
      <c r="A1278" s="2">
        <f t="shared" si="652"/>
        <v>2045</v>
      </c>
    </row>
    <row r="1281" spans="1:14">
      <c r="A1281" s="31" t="s">
        <v>421</v>
      </c>
      <c r="E1281" s="30" t="s">
        <v>507</v>
      </c>
    </row>
    <row r="1282" spans="1:14">
      <c r="A1282" s="27" t="s">
        <v>9</v>
      </c>
      <c r="B1282" s="27" t="s">
        <v>28</v>
      </c>
      <c r="C1282" s="27" t="s">
        <v>29</v>
      </c>
      <c r="D1282" s="27" t="s">
        <v>30</v>
      </c>
      <c r="E1282" s="27" t="s">
        <v>31</v>
      </c>
      <c r="F1282" s="27" t="s">
        <v>32</v>
      </c>
      <c r="G1282" s="27" t="s">
        <v>33</v>
      </c>
      <c r="H1282" s="27" t="s">
        <v>34</v>
      </c>
      <c r="I1282" s="27" t="s">
        <v>35</v>
      </c>
      <c r="J1282" s="27" t="s">
        <v>36</v>
      </c>
      <c r="K1282" s="27" t="s">
        <v>37</v>
      </c>
      <c r="L1282" s="27" t="s">
        <v>38</v>
      </c>
      <c r="M1282" s="27" t="s">
        <v>39</v>
      </c>
      <c r="N1282" s="33" t="s">
        <v>56</v>
      </c>
    </row>
    <row r="1283" spans="1:14">
      <c r="A1283" s="2">
        <f>A1243</f>
        <v>2010</v>
      </c>
      <c r="B1283" s="34">
        <f>[30]MW!B846</f>
        <v>70</v>
      </c>
      <c r="C1283" s="34">
        <f>[30]MW!C846</f>
        <v>70</v>
      </c>
      <c r="D1283" s="34">
        <f>[30]MW!D846</f>
        <v>109</v>
      </c>
      <c r="E1283" s="34">
        <f>[30]MW!E846</f>
        <v>50</v>
      </c>
      <c r="F1283" s="34">
        <f>[30]MW!F846</f>
        <v>45</v>
      </c>
      <c r="G1283" s="34">
        <f>[30]MW!G846</f>
        <v>102</v>
      </c>
      <c r="H1283" s="34">
        <f>[30]MW!H846</f>
        <v>120</v>
      </c>
      <c r="I1283" s="34">
        <f>[30]MW!I846</f>
        <v>120</v>
      </c>
      <c r="J1283" s="34">
        <f>[30]MW!J846</f>
        <v>96</v>
      </c>
      <c r="K1283" s="34">
        <f>[30]MW!K846</f>
        <v>40</v>
      </c>
      <c r="L1283" s="34">
        <f>[30]MW!L846</f>
        <v>31</v>
      </c>
      <c r="M1283" s="34">
        <f>[30]MW!M846</f>
        <v>76</v>
      </c>
      <c r="N1283" s="25">
        <f t="shared" ref="N1283:N1303" si="655">SUM(B1283:M1283)</f>
        <v>929</v>
      </c>
    </row>
    <row r="1284" spans="1:14">
      <c r="A1284" s="2">
        <f t="shared" ref="A1284:A1318" si="656">A1244</f>
        <v>2011</v>
      </c>
      <c r="B1284" s="1081">
        <f>ROUND([30]MW!B847,0)</f>
        <v>37</v>
      </c>
      <c r="C1284" s="1081">
        <f>ROUND([30]MW!C847,0)</f>
        <v>41</v>
      </c>
      <c r="D1284" s="1081">
        <f>ROUND([30]MW!D847,0)</f>
        <v>52</v>
      </c>
      <c r="E1284" s="1081">
        <f>ROUND([30]MW!E847,0)</f>
        <v>56</v>
      </c>
      <c r="F1284" s="1081">
        <f>ROUND([30]MW!F847,0)</f>
        <v>60</v>
      </c>
      <c r="G1284" s="1081">
        <f>ROUND([30]MW!G847,0)</f>
        <v>68</v>
      </c>
      <c r="H1284" s="1081">
        <f>ROUND([30]MW!H847,0)</f>
        <v>84</v>
      </c>
      <c r="I1284" s="1081">
        <f>ROUND([30]MW!I847,0)</f>
        <v>71</v>
      </c>
      <c r="J1284" s="1081">
        <f>ROUND([30]MW!J847,0)</f>
        <v>63</v>
      </c>
      <c r="K1284" s="1081">
        <f>ROUND([30]MW!K847,0)</f>
        <v>61</v>
      </c>
      <c r="L1284" s="1081">
        <f>ROUND([30]MW!L847,0)</f>
        <v>48</v>
      </c>
      <c r="M1284" s="1081">
        <f>ROUND([30]MW!M847,0)</f>
        <v>44</v>
      </c>
      <c r="N1284" s="25">
        <f t="shared" si="655"/>
        <v>685</v>
      </c>
    </row>
    <row r="1285" spans="1:14">
      <c r="A1285" s="2">
        <f t="shared" si="656"/>
        <v>2012</v>
      </c>
      <c r="B1285" s="1081">
        <f>ROUND([30]MW!B848,0)</f>
        <v>37</v>
      </c>
      <c r="C1285" s="1081">
        <f>ROUND([30]MW!C848,0)</f>
        <v>43</v>
      </c>
      <c r="D1285" s="1081">
        <f>ROUND([30]MW!D848,0)</f>
        <v>54</v>
      </c>
      <c r="E1285" s="1081">
        <f>ROUND([30]MW!E848,0)</f>
        <v>58</v>
      </c>
      <c r="F1285" s="1081">
        <f>ROUND([30]MW!F848,0)</f>
        <v>62</v>
      </c>
      <c r="G1285" s="1081">
        <f>ROUND([30]MW!G848,0)</f>
        <v>70</v>
      </c>
      <c r="H1285" s="1081">
        <f>ROUND([30]MW!H848,0)</f>
        <v>86</v>
      </c>
      <c r="I1285" s="1081">
        <f>ROUND([30]MW!I848,0)</f>
        <v>74</v>
      </c>
      <c r="J1285" s="1081">
        <f>ROUND([30]MW!J848,0)</f>
        <v>66</v>
      </c>
      <c r="K1285" s="1081">
        <f>ROUND([30]MW!K848,0)</f>
        <v>64</v>
      </c>
      <c r="L1285" s="1081">
        <f>ROUND([30]MW!L848,0)</f>
        <v>51</v>
      </c>
      <c r="M1285" s="1081">
        <f>ROUND([30]MW!M848,0)</f>
        <v>48</v>
      </c>
      <c r="N1285" s="25">
        <f t="shared" si="655"/>
        <v>713</v>
      </c>
    </row>
    <row r="1286" spans="1:14">
      <c r="A1286" s="2">
        <f t="shared" si="656"/>
        <v>2013</v>
      </c>
      <c r="B1286" s="1081">
        <f>ROUND([30]MW!B849,0)</f>
        <v>20</v>
      </c>
      <c r="C1286" s="1081">
        <f>ROUND([30]MW!C849,0)</f>
        <v>15</v>
      </c>
      <c r="D1286" s="1081">
        <f>ROUND([30]MW!D849,0)</f>
        <v>53</v>
      </c>
      <c r="E1286" s="1081">
        <f>ROUND([30]MW!E849,0)</f>
        <v>25</v>
      </c>
      <c r="F1286" s="1081">
        <f>ROUND([30]MW!F849,0)</f>
        <v>50</v>
      </c>
      <c r="G1286" s="1081">
        <f>ROUND([30]MW!G849,0)</f>
        <v>53</v>
      </c>
      <c r="H1286" s="1081">
        <f>ROUND([30]MW!H849,0)</f>
        <v>53</v>
      </c>
      <c r="I1286" s="1081">
        <f>ROUND([30]MW!I849,0)</f>
        <v>53</v>
      </c>
      <c r="J1286" s="1081">
        <f>ROUND([30]MW!J849,0)</f>
        <v>43</v>
      </c>
      <c r="K1286" s="1081">
        <f>ROUND([30]MW!K849,0)</f>
        <v>35</v>
      </c>
      <c r="L1286" s="1081">
        <f>ROUND([30]MW!L849,0)</f>
        <v>18</v>
      </c>
      <c r="M1286" s="1081">
        <f>ROUND([30]MW!M849,0)</f>
        <v>25</v>
      </c>
      <c r="N1286" s="25">
        <f t="shared" si="655"/>
        <v>443</v>
      </c>
    </row>
    <row r="1287" spans="1:14">
      <c r="A1287" s="2">
        <f t="shared" si="656"/>
        <v>2014</v>
      </c>
      <c r="B1287" s="1081">
        <f>ROUND([30]MW!B850,0)</f>
        <v>53</v>
      </c>
      <c r="C1287" s="1081">
        <f>ROUND([30]MW!C850,0)</f>
        <v>40</v>
      </c>
      <c r="D1287" s="1081">
        <f>ROUND([30]MW!D850,0)</f>
        <v>87</v>
      </c>
      <c r="E1287" s="1081">
        <f>ROUND([30]MW!E850,0)</f>
        <v>60</v>
      </c>
      <c r="F1287" s="1081">
        <f>ROUND([30]MW!F850,0)</f>
        <v>87</v>
      </c>
      <c r="G1287" s="1081">
        <f>ROUND([30]MW!G850,0)</f>
        <v>87</v>
      </c>
      <c r="H1287" s="1081">
        <f>ROUND([30]MW!H850,0)</f>
        <v>87</v>
      </c>
      <c r="I1287" s="1081">
        <f>ROUND([30]MW!I850,0)</f>
        <v>87</v>
      </c>
      <c r="J1287" s="1081">
        <f>ROUND([30]MW!J850,0)</f>
        <v>75</v>
      </c>
      <c r="K1287" s="1081">
        <f>ROUND([30]MW!K850,0)</f>
        <v>69</v>
      </c>
      <c r="L1287" s="1081">
        <f>ROUND([30]MW!L850,0)</f>
        <v>50</v>
      </c>
      <c r="M1287" s="1081">
        <f>ROUND([30]MW!M850,0)</f>
        <v>59</v>
      </c>
      <c r="N1287" s="25">
        <f t="shared" si="655"/>
        <v>841</v>
      </c>
    </row>
    <row r="1288" spans="1:14">
      <c r="A1288" s="2">
        <f t="shared" si="656"/>
        <v>2015</v>
      </c>
      <c r="B1288" s="1081">
        <f>ROUND([30]MW!B851,0)</f>
        <v>55</v>
      </c>
      <c r="C1288" s="1081">
        <f>ROUND([30]MW!C851,0)</f>
        <v>41</v>
      </c>
      <c r="D1288" s="1081">
        <f>ROUND([30]MW!D851,0)</f>
        <v>89</v>
      </c>
      <c r="E1288" s="1081">
        <f>ROUND([30]MW!E851,0)</f>
        <v>60</v>
      </c>
      <c r="F1288" s="1081">
        <f>ROUND([30]MW!F851,0)</f>
        <v>89</v>
      </c>
      <c r="G1288" s="1081">
        <f>ROUND([30]MW!G851,0)</f>
        <v>89</v>
      </c>
      <c r="H1288" s="1081">
        <f>ROUND([30]MW!H851,0)</f>
        <v>89</v>
      </c>
      <c r="I1288" s="1081">
        <f>ROUND([30]MW!I851,0)</f>
        <v>89</v>
      </c>
      <c r="J1288" s="1081">
        <f>ROUND([30]MW!J851,0)</f>
        <v>75</v>
      </c>
      <c r="K1288" s="1081">
        <f>ROUND([30]MW!K851,0)</f>
        <v>70</v>
      </c>
      <c r="L1288" s="1081">
        <f>ROUND([30]MW!L851,0)</f>
        <v>52</v>
      </c>
      <c r="M1288" s="1081">
        <f>ROUND([30]MW!M851,0)</f>
        <v>62</v>
      </c>
      <c r="N1288" s="25">
        <f t="shared" si="655"/>
        <v>860</v>
      </c>
    </row>
    <row r="1289" spans="1:14">
      <c r="A1289" s="2">
        <f t="shared" si="656"/>
        <v>2016</v>
      </c>
      <c r="B1289" s="1081">
        <f>ROUND([30]MW!B852,0)</f>
        <v>57</v>
      </c>
      <c r="C1289" s="1081">
        <f>ROUND([30]MW!C852,0)</f>
        <v>42</v>
      </c>
      <c r="D1289" s="1081">
        <f>ROUND([30]MW!D852,0)</f>
        <v>91</v>
      </c>
      <c r="E1289" s="1081">
        <f>ROUND([30]MW!E852,0)</f>
        <v>60</v>
      </c>
      <c r="F1289" s="1081">
        <f>ROUND([30]MW!F852,0)</f>
        <v>91</v>
      </c>
      <c r="G1289" s="1081">
        <f>ROUND([30]MW!G852,0)</f>
        <v>91</v>
      </c>
      <c r="H1289" s="1081">
        <f>ROUND([30]MW!H852,0)</f>
        <v>91</v>
      </c>
      <c r="I1289" s="1081">
        <f>ROUND([30]MW!I852,0)</f>
        <v>91</v>
      </c>
      <c r="J1289" s="1081">
        <f>ROUND([30]MW!J852,0)</f>
        <v>75</v>
      </c>
      <c r="K1289" s="1081">
        <f>ROUND([30]MW!K852,0)</f>
        <v>71</v>
      </c>
      <c r="L1289" s="1081">
        <f>ROUND([30]MW!L852,0)</f>
        <v>54</v>
      </c>
      <c r="M1289" s="1081">
        <f>ROUND([30]MW!M852,0)</f>
        <v>65</v>
      </c>
      <c r="N1289" s="25">
        <f t="shared" si="655"/>
        <v>879</v>
      </c>
    </row>
    <row r="1290" spans="1:14">
      <c r="A1290" s="2">
        <f t="shared" si="656"/>
        <v>2017</v>
      </c>
      <c r="B1290" s="1081">
        <f>ROUND([30]MW!B853,0)</f>
        <v>0</v>
      </c>
      <c r="C1290" s="1081">
        <f>ROUND([30]MW!C853,0)</f>
        <v>0</v>
      </c>
      <c r="D1290" s="1081">
        <f>ROUND([30]MW!D853,0)</f>
        <v>0</v>
      </c>
      <c r="E1290" s="1081">
        <f>ROUND([30]MW!E853,0)</f>
        <v>0</v>
      </c>
      <c r="F1290" s="1081">
        <f>ROUND([30]MW!F853,0)</f>
        <v>0</v>
      </c>
      <c r="G1290" s="1081">
        <f>ROUND([30]MW!G853,0)</f>
        <v>0</v>
      </c>
      <c r="H1290" s="1081">
        <f>ROUND([30]MW!H853,0)</f>
        <v>0</v>
      </c>
      <c r="I1290" s="1081">
        <f>ROUND([30]MW!I853,0)</f>
        <v>0</v>
      </c>
      <c r="J1290" s="1081">
        <f>ROUND([30]MW!J853,0)</f>
        <v>0</v>
      </c>
      <c r="K1290" s="1081">
        <f>ROUND([30]MW!K853,0)</f>
        <v>0</v>
      </c>
      <c r="L1290" s="1081">
        <f>ROUND([30]MW!L853,0)</f>
        <v>0</v>
      </c>
      <c r="M1290" s="1081">
        <f>ROUND([30]MW!M853,0)</f>
        <v>0</v>
      </c>
      <c r="N1290" s="25">
        <f t="shared" si="655"/>
        <v>0</v>
      </c>
    </row>
    <row r="1291" spans="1:14">
      <c r="A1291" s="2">
        <f t="shared" si="656"/>
        <v>2018</v>
      </c>
      <c r="B1291" s="1081">
        <f>ROUND([30]MW!B854,0)</f>
        <v>0</v>
      </c>
      <c r="C1291" s="1081">
        <f>ROUND([30]MW!C854,0)</f>
        <v>0</v>
      </c>
      <c r="D1291" s="1081">
        <f>ROUND([30]MW!D854,0)</f>
        <v>0</v>
      </c>
      <c r="E1291" s="1081">
        <f>ROUND([30]MW!E854,0)</f>
        <v>0</v>
      </c>
      <c r="F1291" s="1081">
        <f>ROUND([30]MW!F854,0)</f>
        <v>0</v>
      </c>
      <c r="G1291" s="1081">
        <f>ROUND([30]MW!G854,0)</f>
        <v>0</v>
      </c>
      <c r="H1291" s="1081">
        <f>ROUND([30]MW!H854,0)</f>
        <v>0</v>
      </c>
      <c r="I1291" s="1081">
        <f>ROUND([30]MW!I854,0)</f>
        <v>0</v>
      </c>
      <c r="J1291" s="1081">
        <f>ROUND([30]MW!J854,0)</f>
        <v>0</v>
      </c>
      <c r="K1291" s="1081">
        <f>ROUND([30]MW!K854,0)</f>
        <v>0</v>
      </c>
      <c r="L1291" s="1081">
        <f>ROUND([30]MW!L854,0)</f>
        <v>0</v>
      </c>
      <c r="M1291" s="1081">
        <f>ROUND([30]MW!M854,0)</f>
        <v>0</v>
      </c>
      <c r="N1291" s="25">
        <f t="shared" si="655"/>
        <v>0</v>
      </c>
    </row>
    <row r="1292" spans="1:14">
      <c r="A1292" s="2">
        <f t="shared" si="656"/>
        <v>2019</v>
      </c>
      <c r="B1292" s="1081">
        <f>ROUND([30]MW!B855,0)</f>
        <v>0</v>
      </c>
      <c r="C1292" s="1081">
        <f>ROUND([30]MW!C855,0)</f>
        <v>0</v>
      </c>
      <c r="D1292" s="1081">
        <f>ROUND([30]MW!D855,0)</f>
        <v>0</v>
      </c>
      <c r="E1292" s="1081">
        <f>ROUND([30]MW!E855,0)</f>
        <v>0</v>
      </c>
      <c r="F1292" s="1081">
        <f>ROUND([30]MW!F855,0)</f>
        <v>0</v>
      </c>
      <c r="G1292" s="1081">
        <f>ROUND([30]MW!G855,0)</f>
        <v>0</v>
      </c>
      <c r="H1292" s="1081">
        <f>ROUND([30]MW!H855,0)</f>
        <v>0</v>
      </c>
      <c r="I1292" s="1081">
        <f>ROUND([30]MW!I855,0)</f>
        <v>0</v>
      </c>
      <c r="J1292" s="1081">
        <f>ROUND([30]MW!J855,0)</f>
        <v>0</v>
      </c>
      <c r="K1292" s="1081">
        <f>ROUND([30]MW!K855,0)</f>
        <v>0</v>
      </c>
      <c r="L1292" s="1081">
        <f>ROUND([30]MW!L855,0)</f>
        <v>0</v>
      </c>
      <c r="M1292" s="1081">
        <f>ROUND([30]MW!M855,0)</f>
        <v>0</v>
      </c>
      <c r="N1292" s="25">
        <f t="shared" si="655"/>
        <v>0</v>
      </c>
    </row>
    <row r="1293" spans="1:14">
      <c r="A1293" s="2">
        <f t="shared" si="656"/>
        <v>2020</v>
      </c>
      <c r="B1293" s="1081">
        <f>ROUND([30]MW!B856,0)</f>
        <v>0</v>
      </c>
      <c r="C1293" s="1081">
        <f>ROUND([30]MW!C856,0)</f>
        <v>0</v>
      </c>
      <c r="D1293" s="1081">
        <f>ROUND([30]MW!D856,0)</f>
        <v>0</v>
      </c>
      <c r="E1293" s="1081">
        <f>ROUND([30]MW!E856,0)</f>
        <v>0</v>
      </c>
      <c r="F1293" s="1081">
        <f>ROUND([30]MW!F856,0)</f>
        <v>0</v>
      </c>
      <c r="G1293" s="1081">
        <f>ROUND([30]MW!G856,0)</f>
        <v>0</v>
      </c>
      <c r="H1293" s="1081">
        <f>ROUND([30]MW!H856,0)</f>
        <v>0</v>
      </c>
      <c r="I1293" s="1081">
        <f>ROUND([30]MW!I856,0)</f>
        <v>0</v>
      </c>
      <c r="J1293" s="1081">
        <f>ROUND([30]MW!J856,0)</f>
        <v>0</v>
      </c>
      <c r="K1293" s="1081">
        <f>ROUND([30]MW!K856,0)</f>
        <v>0</v>
      </c>
      <c r="L1293" s="1081">
        <f>ROUND([30]MW!L856,0)</f>
        <v>0</v>
      </c>
      <c r="M1293" s="1081">
        <f>ROUND([30]MW!M856,0)</f>
        <v>0</v>
      </c>
      <c r="N1293" s="25">
        <f t="shared" si="655"/>
        <v>0</v>
      </c>
    </row>
    <row r="1294" spans="1:14">
      <c r="A1294" s="2">
        <f t="shared" si="656"/>
        <v>2021</v>
      </c>
      <c r="B1294" s="1081">
        <f>ROUND([30]MW!B857,0)</f>
        <v>0</v>
      </c>
      <c r="C1294" s="1081">
        <f>ROUND([30]MW!C857,0)</f>
        <v>0</v>
      </c>
      <c r="D1294" s="1081">
        <f>ROUND([30]MW!D857,0)</f>
        <v>0</v>
      </c>
      <c r="E1294" s="1081">
        <f>ROUND([30]MW!E857,0)</f>
        <v>0</v>
      </c>
      <c r="F1294" s="1081">
        <f>ROUND([30]MW!F857,0)</f>
        <v>0</v>
      </c>
      <c r="G1294" s="1081">
        <f>ROUND([30]MW!G857,0)</f>
        <v>0</v>
      </c>
      <c r="H1294" s="1081">
        <f>ROUND([30]MW!H857,0)</f>
        <v>0</v>
      </c>
      <c r="I1294" s="1081">
        <f>ROUND([30]MW!I857,0)</f>
        <v>0</v>
      </c>
      <c r="J1294" s="1081">
        <f>ROUND([30]MW!J857,0)</f>
        <v>0</v>
      </c>
      <c r="K1294" s="1081">
        <f>ROUND([30]MW!K857,0)</f>
        <v>0</v>
      </c>
      <c r="L1294" s="1081">
        <f>ROUND([30]MW!L857,0)</f>
        <v>0</v>
      </c>
      <c r="M1294" s="1081">
        <f>ROUND([30]MW!M857,0)</f>
        <v>0</v>
      </c>
      <c r="N1294" s="25">
        <f t="shared" si="655"/>
        <v>0</v>
      </c>
    </row>
    <row r="1295" spans="1:14">
      <c r="A1295" s="2">
        <f t="shared" si="656"/>
        <v>2022</v>
      </c>
      <c r="B1295" s="1081">
        <f>ROUND([30]MW!B858,0)</f>
        <v>0</v>
      </c>
      <c r="C1295" s="1081">
        <f>ROUND([30]MW!C858,0)</f>
        <v>0</v>
      </c>
      <c r="D1295" s="1081">
        <f>ROUND([30]MW!D858,0)</f>
        <v>0</v>
      </c>
      <c r="E1295" s="1081">
        <f>ROUND([30]MW!E858,0)</f>
        <v>0</v>
      </c>
      <c r="F1295" s="1081">
        <f>ROUND([30]MW!F858,0)</f>
        <v>0</v>
      </c>
      <c r="G1295" s="1081">
        <f>ROUND([30]MW!G858,0)</f>
        <v>0</v>
      </c>
      <c r="H1295" s="1081">
        <f>ROUND([30]MW!H858,0)</f>
        <v>0</v>
      </c>
      <c r="I1295" s="1081">
        <f>ROUND([30]MW!I858,0)</f>
        <v>0</v>
      </c>
      <c r="J1295" s="1081">
        <f>ROUND([30]MW!J858,0)</f>
        <v>0</v>
      </c>
      <c r="K1295" s="1081">
        <f>ROUND([30]MW!K858,0)</f>
        <v>0</v>
      </c>
      <c r="L1295" s="1081">
        <f>ROUND([30]MW!L858,0)</f>
        <v>0</v>
      </c>
      <c r="M1295" s="1081">
        <f>ROUND([30]MW!M858,0)</f>
        <v>0</v>
      </c>
      <c r="N1295" s="25">
        <f t="shared" si="655"/>
        <v>0</v>
      </c>
    </row>
    <row r="1296" spans="1:14">
      <c r="A1296" s="2">
        <f t="shared" si="656"/>
        <v>2023</v>
      </c>
      <c r="B1296" s="1081">
        <f>ROUND([30]MW!B859,0)</f>
        <v>0</v>
      </c>
      <c r="C1296" s="1081">
        <f>ROUND([30]MW!C859,0)</f>
        <v>0</v>
      </c>
      <c r="D1296" s="1081">
        <f>ROUND([30]MW!D859,0)</f>
        <v>0</v>
      </c>
      <c r="E1296" s="1081">
        <f>ROUND([30]MW!E859,0)</f>
        <v>0</v>
      </c>
      <c r="F1296" s="1081">
        <f>ROUND([30]MW!F859,0)</f>
        <v>0</v>
      </c>
      <c r="G1296" s="1081">
        <f>ROUND([30]MW!G859,0)</f>
        <v>0</v>
      </c>
      <c r="H1296" s="1081">
        <f>ROUND([30]MW!H859,0)</f>
        <v>0</v>
      </c>
      <c r="I1296" s="1081">
        <f>ROUND([30]MW!I859,0)</f>
        <v>0</v>
      </c>
      <c r="J1296" s="1081">
        <f>ROUND([30]MW!J859,0)</f>
        <v>0</v>
      </c>
      <c r="K1296" s="1081">
        <f>ROUND([30]MW!K859,0)</f>
        <v>0</v>
      </c>
      <c r="L1296" s="1081">
        <f>ROUND([30]MW!L859,0)</f>
        <v>0</v>
      </c>
      <c r="M1296" s="1081">
        <f>ROUND([30]MW!M859,0)</f>
        <v>0</v>
      </c>
      <c r="N1296" s="25">
        <f t="shared" si="655"/>
        <v>0</v>
      </c>
    </row>
    <row r="1297" spans="1:14">
      <c r="A1297" s="2">
        <f t="shared" si="656"/>
        <v>2024</v>
      </c>
      <c r="B1297" s="1081">
        <f>ROUND([30]MW!B860,0)</f>
        <v>0</v>
      </c>
      <c r="C1297" s="1081">
        <f>ROUND([30]MW!C860,0)</f>
        <v>0</v>
      </c>
      <c r="D1297" s="1081">
        <f>ROUND([30]MW!D860,0)</f>
        <v>0</v>
      </c>
      <c r="E1297" s="1081">
        <f>ROUND([30]MW!E860,0)</f>
        <v>0</v>
      </c>
      <c r="F1297" s="1081">
        <f>ROUND([30]MW!F860,0)</f>
        <v>0</v>
      </c>
      <c r="G1297" s="1081">
        <f>ROUND([30]MW!G860,0)</f>
        <v>0</v>
      </c>
      <c r="H1297" s="1081">
        <f>ROUND([30]MW!H860,0)</f>
        <v>0</v>
      </c>
      <c r="I1297" s="1081">
        <f>ROUND([30]MW!I860,0)</f>
        <v>0</v>
      </c>
      <c r="J1297" s="1081">
        <f>ROUND([30]MW!J860,0)</f>
        <v>0</v>
      </c>
      <c r="K1297" s="1081">
        <f>ROUND([30]MW!K860,0)</f>
        <v>0</v>
      </c>
      <c r="L1297" s="1081">
        <f>ROUND([30]MW!L860,0)</f>
        <v>0</v>
      </c>
      <c r="M1297" s="1081">
        <f>ROUND([30]MW!M860,0)</f>
        <v>0</v>
      </c>
      <c r="N1297" s="25">
        <f t="shared" si="655"/>
        <v>0</v>
      </c>
    </row>
    <row r="1298" spans="1:14">
      <c r="A1298" s="2">
        <f t="shared" si="656"/>
        <v>2025</v>
      </c>
      <c r="B1298" s="1081">
        <f>ROUND([30]MW!B861,0)</f>
        <v>0</v>
      </c>
      <c r="C1298" s="1081">
        <f>ROUND([30]MW!C861,0)</f>
        <v>0</v>
      </c>
      <c r="D1298" s="1081">
        <f>ROUND([30]MW!D861,0)</f>
        <v>0</v>
      </c>
      <c r="E1298" s="1081">
        <f>ROUND([30]MW!E861,0)</f>
        <v>0</v>
      </c>
      <c r="F1298" s="1081">
        <f>ROUND([30]MW!F861,0)</f>
        <v>0</v>
      </c>
      <c r="G1298" s="1081">
        <f>ROUND([30]MW!G861,0)</f>
        <v>0</v>
      </c>
      <c r="H1298" s="1081">
        <f>ROUND([30]MW!H861,0)</f>
        <v>0</v>
      </c>
      <c r="I1298" s="1081">
        <f>ROUND([30]MW!I861,0)</f>
        <v>0</v>
      </c>
      <c r="J1298" s="1081">
        <f>ROUND([30]MW!J861,0)</f>
        <v>0</v>
      </c>
      <c r="K1298" s="1081">
        <f>ROUND([30]MW!K861,0)</f>
        <v>0</v>
      </c>
      <c r="L1298" s="1081">
        <f>ROUND([30]MW!L861,0)</f>
        <v>0</v>
      </c>
      <c r="M1298" s="1081">
        <f>ROUND([30]MW!M861,0)</f>
        <v>0</v>
      </c>
      <c r="N1298" s="25">
        <f t="shared" si="655"/>
        <v>0</v>
      </c>
    </row>
    <row r="1299" spans="1:14">
      <c r="A1299" s="2">
        <f t="shared" si="656"/>
        <v>2026</v>
      </c>
      <c r="B1299" s="1081">
        <f>ROUND([30]MW!B862,0)</f>
        <v>0</v>
      </c>
      <c r="C1299" s="1081">
        <f>ROUND([30]MW!C862,0)</f>
        <v>0</v>
      </c>
      <c r="D1299" s="1081">
        <f>ROUND([30]MW!D862,0)</f>
        <v>0</v>
      </c>
      <c r="E1299" s="1081">
        <f>ROUND([30]MW!E862,0)</f>
        <v>0</v>
      </c>
      <c r="F1299" s="1081">
        <f>ROUND([30]MW!F862,0)</f>
        <v>0</v>
      </c>
      <c r="G1299" s="1081">
        <f>ROUND([30]MW!G862,0)</f>
        <v>0</v>
      </c>
      <c r="H1299" s="1081">
        <f>ROUND([30]MW!H862,0)</f>
        <v>0</v>
      </c>
      <c r="I1299" s="1081">
        <f>ROUND([30]MW!I862,0)</f>
        <v>0</v>
      </c>
      <c r="J1299" s="1081">
        <f>ROUND([30]MW!J862,0)</f>
        <v>0</v>
      </c>
      <c r="K1299" s="1081">
        <f>ROUND([30]MW!K862,0)</f>
        <v>0</v>
      </c>
      <c r="L1299" s="1081">
        <f>ROUND([30]MW!L862,0)</f>
        <v>0</v>
      </c>
      <c r="M1299" s="1081">
        <f>ROUND([30]MW!M862,0)</f>
        <v>0</v>
      </c>
      <c r="N1299" s="25">
        <f t="shared" si="655"/>
        <v>0</v>
      </c>
    </row>
    <row r="1300" spans="1:14">
      <c r="A1300" s="2">
        <f t="shared" si="656"/>
        <v>2027</v>
      </c>
      <c r="B1300" s="1081">
        <f>ROUND([30]MW!B863,0)</f>
        <v>0</v>
      </c>
      <c r="C1300" s="1081">
        <f>ROUND([30]MW!C863,0)</f>
        <v>0</v>
      </c>
      <c r="D1300" s="1081">
        <f>ROUND([30]MW!D863,0)</f>
        <v>0</v>
      </c>
      <c r="E1300" s="1081">
        <f>ROUND([30]MW!E863,0)</f>
        <v>0</v>
      </c>
      <c r="F1300" s="1081">
        <f>ROUND([30]MW!F863,0)</f>
        <v>0</v>
      </c>
      <c r="G1300" s="1081">
        <f>ROUND([30]MW!G863,0)</f>
        <v>0</v>
      </c>
      <c r="H1300" s="1081">
        <f>ROUND([30]MW!H863,0)</f>
        <v>0</v>
      </c>
      <c r="I1300" s="1081">
        <f>ROUND([30]MW!I863,0)</f>
        <v>0</v>
      </c>
      <c r="J1300" s="1081">
        <f>ROUND([30]MW!J863,0)</f>
        <v>0</v>
      </c>
      <c r="K1300" s="1081">
        <f>ROUND([30]MW!K863,0)</f>
        <v>0</v>
      </c>
      <c r="L1300" s="1081">
        <f>ROUND([30]MW!L863,0)</f>
        <v>0</v>
      </c>
      <c r="M1300" s="1081">
        <f>ROUND([30]MW!M863,0)</f>
        <v>0</v>
      </c>
      <c r="N1300" s="25">
        <f t="shared" si="655"/>
        <v>0</v>
      </c>
    </row>
    <row r="1301" spans="1:14">
      <c r="A1301" s="2">
        <f t="shared" si="656"/>
        <v>2028</v>
      </c>
      <c r="B1301" s="1081">
        <f>ROUND([30]MW!B864,0)</f>
        <v>0</v>
      </c>
      <c r="C1301" s="1081">
        <f>ROUND([30]MW!C864,0)</f>
        <v>0</v>
      </c>
      <c r="D1301" s="1081">
        <f>ROUND([30]MW!D864,0)</f>
        <v>0</v>
      </c>
      <c r="E1301" s="1081">
        <f>ROUND([30]MW!E864,0)</f>
        <v>0</v>
      </c>
      <c r="F1301" s="1081">
        <f>ROUND([30]MW!F864,0)</f>
        <v>0</v>
      </c>
      <c r="G1301" s="1081">
        <f>ROUND([30]MW!G864,0)</f>
        <v>0</v>
      </c>
      <c r="H1301" s="1081">
        <f>ROUND([30]MW!H864,0)</f>
        <v>0</v>
      </c>
      <c r="I1301" s="1081">
        <f>ROUND([30]MW!I864,0)</f>
        <v>0</v>
      </c>
      <c r="J1301" s="1081">
        <f>ROUND([30]MW!J864,0)</f>
        <v>0</v>
      </c>
      <c r="K1301" s="1081">
        <f>ROUND([30]MW!K864,0)</f>
        <v>0</v>
      </c>
      <c r="L1301" s="1081">
        <f>ROUND([30]MW!L864,0)</f>
        <v>0</v>
      </c>
      <c r="M1301" s="1081">
        <f>ROUND([30]MW!M864,0)</f>
        <v>0</v>
      </c>
      <c r="N1301" s="25">
        <f t="shared" si="655"/>
        <v>0</v>
      </c>
    </row>
    <row r="1302" spans="1:14">
      <c r="A1302" s="2">
        <f t="shared" si="656"/>
        <v>2029</v>
      </c>
      <c r="B1302" s="1081">
        <f>ROUND([30]MW!B865,0)</f>
        <v>0</v>
      </c>
      <c r="C1302" s="1081">
        <f>ROUND([30]MW!C865,0)</f>
        <v>0</v>
      </c>
      <c r="D1302" s="1081">
        <f>ROUND([30]MW!D865,0)</f>
        <v>0</v>
      </c>
      <c r="E1302" s="1081">
        <f>ROUND([30]MW!E865,0)</f>
        <v>0</v>
      </c>
      <c r="F1302" s="1081">
        <f>ROUND([30]MW!F865,0)</f>
        <v>0</v>
      </c>
      <c r="G1302" s="1081">
        <f>ROUND([30]MW!G865,0)</f>
        <v>0</v>
      </c>
      <c r="H1302" s="1081">
        <f>ROUND([30]MW!H865,0)</f>
        <v>0</v>
      </c>
      <c r="I1302" s="1081">
        <f>ROUND([30]MW!I865,0)</f>
        <v>0</v>
      </c>
      <c r="J1302" s="1081">
        <f>ROUND([30]MW!J865,0)</f>
        <v>0</v>
      </c>
      <c r="K1302" s="1081">
        <f>ROUND([30]MW!K865,0)</f>
        <v>0</v>
      </c>
      <c r="L1302" s="1081">
        <f>ROUND([30]MW!L865,0)</f>
        <v>0</v>
      </c>
      <c r="M1302" s="1081">
        <f>ROUND([30]MW!M865,0)</f>
        <v>0</v>
      </c>
      <c r="N1302" s="25">
        <f t="shared" si="655"/>
        <v>0</v>
      </c>
    </row>
    <row r="1303" spans="1:14">
      <c r="A1303" s="2">
        <f t="shared" si="656"/>
        <v>2030</v>
      </c>
      <c r="B1303" s="1081">
        <f>ROUND([30]MW!B866,0)</f>
        <v>0</v>
      </c>
      <c r="C1303" s="1081">
        <f>ROUND([30]MW!C866,0)</f>
        <v>0</v>
      </c>
      <c r="D1303" s="1081">
        <f>ROUND([30]MW!D866,0)</f>
        <v>0</v>
      </c>
      <c r="E1303" s="1081">
        <f>ROUND([30]MW!E866,0)</f>
        <v>0</v>
      </c>
      <c r="F1303" s="1081">
        <f>ROUND([30]MW!F866,0)</f>
        <v>0</v>
      </c>
      <c r="G1303" s="1081">
        <f>ROUND([30]MW!G866,0)</f>
        <v>0</v>
      </c>
      <c r="H1303" s="1081">
        <f>ROUND([30]MW!H866,0)</f>
        <v>0</v>
      </c>
      <c r="I1303" s="1081">
        <f>ROUND([30]MW!I866,0)</f>
        <v>0</v>
      </c>
      <c r="J1303" s="1081">
        <f>ROUND([30]MW!J866,0)</f>
        <v>0</v>
      </c>
      <c r="K1303" s="1081">
        <f>ROUND([30]MW!K866,0)</f>
        <v>0</v>
      </c>
      <c r="L1303" s="1081">
        <f>ROUND([30]MW!L866,0)</f>
        <v>0</v>
      </c>
      <c r="M1303" s="1081">
        <f>ROUND([30]MW!M866,0)</f>
        <v>0</v>
      </c>
      <c r="N1303" s="25">
        <f t="shared" si="655"/>
        <v>0</v>
      </c>
    </row>
    <row r="1304" spans="1:14">
      <c r="A1304" s="2">
        <f t="shared" si="656"/>
        <v>2031</v>
      </c>
      <c r="B1304" s="1081">
        <f>ROUND([30]MW!B867,0)</f>
        <v>0</v>
      </c>
      <c r="C1304" s="1081">
        <f>ROUND([30]MW!C867,0)</f>
        <v>0</v>
      </c>
      <c r="D1304" s="1081">
        <f>ROUND([30]MW!D867,0)</f>
        <v>0</v>
      </c>
      <c r="E1304" s="1081">
        <f>ROUND([30]MW!E867,0)</f>
        <v>0</v>
      </c>
      <c r="F1304" s="1081">
        <f>ROUND([30]MW!F867,0)</f>
        <v>0</v>
      </c>
      <c r="G1304" s="1081">
        <f>ROUND([30]MW!G867,0)</f>
        <v>0</v>
      </c>
      <c r="H1304" s="1081">
        <f>ROUND([30]MW!H867,0)</f>
        <v>0</v>
      </c>
      <c r="I1304" s="1081">
        <f>ROUND([30]MW!I867,0)</f>
        <v>0</v>
      </c>
      <c r="J1304" s="1081">
        <f>ROUND([30]MW!J867,0)</f>
        <v>0</v>
      </c>
      <c r="K1304" s="1081">
        <f>ROUND([30]MW!K867,0)</f>
        <v>0</v>
      </c>
      <c r="L1304" s="1081">
        <f>ROUND([30]MW!L867,0)</f>
        <v>0</v>
      </c>
      <c r="M1304" s="1081">
        <f>ROUND([30]MW!M867,0)</f>
        <v>0</v>
      </c>
      <c r="N1304" s="25">
        <f t="shared" ref="N1304:N1313" si="657">SUM(B1304:M1304)</f>
        <v>0</v>
      </c>
    </row>
    <row r="1305" spans="1:14">
      <c r="A1305" s="2">
        <f t="shared" si="656"/>
        <v>2032</v>
      </c>
      <c r="B1305" s="1081">
        <f>ROUND([30]MW!B868,0)</f>
        <v>0</v>
      </c>
      <c r="C1305" s="1081">
        <f>ROUND([30]MW!C868,0)</f>
        <v>0</v>
      </c>
      <c r="D1305" s="1081">
        <f>ROUND([30]MW!D868,0)</f>
        <v>0</v>
      </c>
      <c r="E1305" s="1081">
        <f>ROUND([30]MW!E868,0)</f>
        <v>0</v>
      </c>
      <c r="F1305" s="1081">
        <f>ROUND([30]MW!F868,0)</f>
        <v>0</v>
      </c>
      <c r="G1305" s="1081">
        <f>ROUND([30]MW!G868,0)</f>
        <v>0</v>
      </c>
      <c r="H1305" s="1081">
        <f>ROUND([30]MW!H868,0)</f>
        <v>0</v>
      </c>
      <c r="I1305" s="1081">
        <f>ROUND([30]MW!I868,0)</f>
        <v>0</v>
      </c>
      <c r="J1305" s="1081">
        <f>ROUND([30]MW!J868,0)</f>
        <v>0</v>
      </c>
      <c r="K1305" s="1081">
        <f>ROUND([30]MW!K868,0)</f>
        <v>0</v>
      </c>
      <c r="L1305" s="1081">
        <f>ROUND([30]MW!L868,0)</f>
        <v>0</v>
      </c>
      <c r="M1305" s="1081">
        <f>ROUND([30]MW!M868,0)</f>
        <v>0</v>
      </c>
      <c r="N1305" s="25">
        <f t="shared" si="657"/>
        <v>0</v>
      </c>
    </row>
    <row r="1306" spans="1:14">
      <c r="A1306" s="2">
        <f t="shared" si="656"/>
        <v>2033</v>
      </c>
      <c r="B1306" s="1081">
        <f>ROUND([30]MW!B869,0)</f>
        <v>0</v>
      </c>
      <c r="C1306" s="1081">
        <f>ROUND([30]MW!C869,0)</f>
        <v>0</v>
      </c>
      <c r="D1306" s="1081">
        <f>ROUND([30]MW!D869,0)</f>
        <v>0</v>
      </c>
      <c r="E1306" s="1081">
        <f>ROUND([30]MW!E869,0)</f>
        <v>0</v>
      </c>
      <c r="F1306" s="1081">
        <f>ROUND([30]MW!F869,0)</f>
        <v>0</v>
      </c>
      <c r="G1306" s="1081">
        <f>ROUND([30]MW!G869,0)</f>
        <v>0</v>
      </c>
      <c r="H1306" s="1081">
        <f>ROUND([30]MW!H869,0)</f>
        <v>0</v>
      </c>
      <c r="I1306" s="1081">
        <f>ROUND([30]MW!I869,0)</f>
        <v>0</v>
      </c>
      <c r="J1306" s="1081">
        <f>ROUND([30]MW!J869,0)</f>
        <v>0</v>
      </c>
      <c r="K1306" s="1081">
        <f>ROUND([30]MW!K869,0)</f>
        <v>0</v>
      </c>
      <c r="L1306" s="1081">
        <f>ROUND([30]MW!L869,0)</f>
        <v>0</v>
      </c>
      <c r="M1306" s="1081">
        <f>ROUND([30]MW!M869,0)</f>
        <v>0</v>
      </c>
      <c r="N1306" s="25">
        <f t="shared" si="657"/>
        <v>0</v>
      </c>
    </row>
    <row r="1307" spans="1:14">
      <c r="A1307" s="2">
        <f t="shared" si="656"/>
        <v>2034</v>
      </c>
      <c r="B1307" s="1081">
        <f>ROUND([30]MW!B870,0)</f>
        <v>0</v>
      </c>
      <c r="C1307" s="1081">
        <f>ROUND([30]MW!C870,0)</f>
        <v>0</v>
      </c>
      <c r="D1307" s="1081">
        <f>ROUND([30]MW!D870,0)</f>
        <v>0</v>
      </c>
      <c r="E1307" s="1081">
        <f>ROUND([30]MW!E870,0)</f>
        <v>0</v>
      </c>
      <c r="F1307" s="1081">
        <f>ROUND([30]MW!F870,0)</f>
        <v>0</v>
      </c>
      <c r="G1307" s="1081">
        <f>ROUND([30]MW!G870,0)</f>
        <v>0</v>
      </c>
      <c r="H1307" s="1081">
        <f>ROUND([30]MW!H870,0)</f>
        <v>0</v>
      </c>
      <c r="I1307" s="1081">
        <f>ROUND([30]MW!I870,0)</f>
        <v>0</v>
      </c>
      <c r="J1307" s="1081">
        <f>ROUND([30]MW!J870,0)</f>
        <v>0</v>
      </c>
      <c r="K1307" s="1081">
        <f>ROUND([30]MW!K870,0)</f>
        <v>0</v>
      </c>
      <c r="L1307" s="1081">
        <f>ROUND([30]MW!L870,0)</f>
        <v>0</v>
      </c>
      <c r="M1307" s="1081">
        <f>ROUND([30]MW!M870,0)</f>
        <v>0</v>
      </c>
      <c r="N1307" s="25">
        <f t="shared" si="657"/>
        <v>0</v>
      </c>
    </row>
    <row r="1308" spans="1:14">
      <c r="A1308" s="2">
        <f t="shared" si="656"/>
        <v>2035</v>
      </c>
      <c r="B1308" s="1081">
        <f>ROUND([30]MW!B871,0)</f>
        <v>0</v>
      </c>
      <c r="C1308" s="1081">
        <f>ROUND([30]MW!C871,0)</f>
        <v>0</v>
      </c>
      <c r="D1308" s="1081">
        <f>ROUND([30]MW!D871,0)</f>
        <v>0</v>
      </c>
      <c r="E1308" s="1081">
        <f>ROUND([30]MW!E871,0)</f>
        <v>0</v>
      </c>
      <c r="F1308" s="1081">
        <f>ROUND([30]MW!F871,0)</f>
        <v>0</v>
      </c>
      <c r="G1308" s="1081">
        <f>ROUND([30]MW!G871,0)</f>
        <v>0</v>
      </c>
      <c r="H1308" s="1081">
        <f>ROUND([30]MW!H871,0)</f>
        <v>0</v>
      </c>
      <c r="I1308" s="1081">
        <f>ROUND([30]MW!I871,0)</f>
        <v>0</v>
      </c>
      <c r="J1308" s="1081">
        <f>ROUND([30]MW!J871,0)</f>
        <v>0</v>
      </c>
      <c r="K1308" s="1081">
        <f>ROUND([30]MW!K871,0)</f>
        <v>0</v>
      </c>
      <c r="L1308" s="1081">
        <f>ROUND([30]MW!L871,0)</f>
        <v>0</v>
      </c>
      <c r="M1308" s="1081">
        <f>ROUND([30]MW!M871,0)</f>
        <v>0</v>
      </c>
      <c r="N1308" s="25">
        <f t="shared" si="657"/>
        <v>0</v>
      </c>
    </row>
    <row r="1309" spans="1:14">
      <c r="A1309" s="2">
        <f t="shared" si="656"/>
        <v>2036</v>
      </c>
      <c r="B1309" s="1081">
        <f>ROUND([30]MW!B872,0)</f>
        <v>0</v>
      </c>
      <c r="C1309" s="1081">
        <f>ROUND([30]MW!C872,0)</f>
        <v>0</v>
      </c>
      <c r="D1309" s="1081">
        <f>ROUND([30]MW!D872,0)</f>
        <v>0</v>
      </c>
      <c r="E1309" s="1081">
        <f>ROUND([30]MW!E872,0)</f>
        <v>0</v>
      </c>
      <c r="F1309" s="1081">
        <f>ROUND([30]MW!F872,0)</f>
        <v>0</v>
      </c>
      <c r="G1309" s="1081">
        <f>ROUND([30]MW!G872,0)</f>
        <v>0</v>
      </c>
      <c r="H1309" s="1081">
        <f>ROUND([30]MW!H872,0)</f>
        <v>0</v>
      </c>
      <c r="I1309" s="1081">
        <f>ROUND([30]MW!I872,0)</f>
        <v>0</v>
      </c>
      <c r="J1309" s="1081">
        <f>ROUND([30]MW!J872,0)</f>
        <v>0</v>
      </c>
      <c r="K1309" s="1081">
        <f>ROUND([30]MW!K872,0)</f>
        <v>0</v>
      </c>
      <c r="L1309" s="1081">
        <f>ROUND([30]MW!L872,0)</f>
        <v>0</v>
      </c>
      <c r="M1309" s="1081">
        <f>ROUND([30]MW!M872,0)</f>
        <v>0</v>
      </c>
      <c r="N1309" s="25">
        <f t="shared" si="657"/>
        <v>0</v>
      </c>
    </row>
    <row r="1310" spans="1:14">
      <c r="A1310" s="2">
        <f t="shared" si="656"/>
        <v>2037</v>
      </c>
      <c r="B1310" s="1081">
        <f>ROUND([30]MW!B873,0)</f>
        <v>0</v>
      </c>
      <c r="C1310" s="1081">
        <f>ROUND([30]MW!C873,0)</f>
        <v>0</v>
      </c>
      <c r="D1310" s="1081">
        <f>ROUND([30]MW!D873,0)</f>
        <v>0</v>
      </c>
      <c r="E1310" s="1081">
        <f>ROUND([30]MW!E873,0)</f>
        <v>0</v>
      </c>
      <c r="F1310" s="1081">
        <f>ROUND([30]MW!F873,0)</f>
        <v>0</v>
      </c>
      <c r="G1310" s="1081">
        <f>ROUND([30]MW!G873,0)</f>
        <v>0</v>
      </c>
      <c r="H1310" s="1081">
        <f>ROUND([30]MW!H873,0)</f>
        <v>0</v>
      </c>
      <c r="I1310" s="1081">
        <f>ROUND([30]MW!I873,0)</f>
        <v>0</v>
      </c>
      <c r="J1310" s="1081">
        <f>ROUND([30]MW!J873,0)</f>
        <v>0</v>
      </c>
      <c r="K1310" s="1081">
        <f>ROUND([30]MW!K873,0)</f>
        <v>0</v>
      </c>
      <c r="L1310" s="1081">
        <f>ROUND([30]MW!L873,0)</f>
        <v>0</v>
      </c>
      <c r="M1310" s="1081">
        <f>ROUND([30]MW!M873,0)</f>
        <v>0</v>
      </c>
      <c r="N1310" s="25">
        <f t="shared" si="657"/>
        <v>0</v>
      </c>
    </row>
    <row r="1311" spans="1:14">
      <c r="A1311" s="2">
        <f t="shared" si="656"/>
        <v>2038</v>
      </c>
      <c r="B1311" s="1081">
        <f>ROUND([30]MW!B874,0)</f>
        <v>0</v>
      </c>
      <c r="C1311" s="1081">
        <f>ROUND([30]MW!C874,0)</f>
        <v>0</v>
      </c>
      <c r="D1311" s="1081">
        <f>ROUND([30]MW!D874,0)</f>
        <v>0</v>
      </c>
      <c r="E1311" s="1081">
        <f>ROUND([30]MW!E874,0)</f>
        <v>0</v>
      </c>
      <c r="F1311" s="1081">
        <f>ROUND([30]MW!F874,0)</f>
        <v>0</v>
      </c>
      <c r="G1311" s="1081">
        <f>ROUND([30]MW!G874,0)</f>
        <v>0</v>
      </c>
      <c r="H1311" s="1081">
        <f>ROUND([30]MW!H874,0)</f>
        <v>0</v>
      </c>
      <c r="I1311" s="1081">
        <f>ROUND([30]MW!I874,0)</f>
        <v>0</v>
      </c>
      <c r="J1311" s="1081">
        <f>ROUND([30]MW!J874,0)</f>
        <v>0</v>
      </c>
      <c r="K1311" s="1081">
        <f>ROUND([30]MW!K874,0)</f>
        <v>0</v>
      </c>
      <c r="L1311" s="1081">
        <f>ROUND([30]MW!L874,0)</f>
        <v>0</v>
      </c>
      <c r="M1311" s="1081">
        <f>ROUND([30]MW!M874,0)</f>
        <v>0</v>
      </c>
      <c r="N1311" s="25">
        <f t="shared" si="657"/>
        <v>0</v>
      </c>
    </row>
    <row r="1312" spans="1:14">
      <c r="A1312" s="2">
        <f t="shared" si="656"/>
        <v>2039</v>
      </c>
      <c r="B1312" s="1081">
        <f>ROUND([30]MW!B875,0)</f>
        <v>0</v>
      </c>
      <c r="C1312" s="1081">
        <f>ROUND([30]MW!C875,0)</f>
        <v>0</v>
      </c>
      <c r="D1312" s="1081">
        <f>ROUND([30]MW!D875,0)</f>
        <v>0</v>
      </c>
      <c r="E1312" s="1081">
        <f>ROUND([30]MW!E875,0)</f>
        <v>0</v>
      </c>
      <c r="F1312" s="1081">
        <f>ROUND([30]MW!F875,0)</f>
        <v>0</v>
      </c>
      <c r="G1312" s="1081">
        <f>ROUND([30]MW!G875,0)</f>
        <v>0</v>
      </c>
      <c r="H1312" s="1081">
        <f>ROUND([30]MW!H875,0)</f>
        <v>0</v>
      </c>
      <c r="I1312" s="1081">
        <f>ROUND([30]MW!I875,0)</f>
        <v>0</v>
      </c>
      <c r="J1312" s="1081">
        <f>ROUND([30]MW!J875,0)</f>
        <v>0</v>
      </c>
      <c r="K1312" s="1081">
        <f>ROUND([30]MW!K875,0)</f>
        <v>0</v>
      </c>
      <c r="L1312" s="1081">
        <f>ROUND([30]MW!L875,0)</f>
        <v>0</v>
      </c>
      <c r="M1312" s="1081">
        <f>ROUND([30]MW!M875,0)</f>
        <v>0</v>
      </c>
      <c r="N1312" s="25">
        <f t="shared" si="657"/>
        <v>0</v>
      </c>
    </row>
    <row r="1313" spans="1:29">
      <c r="A1313" s="2">
        <f t="shared" si="656"/>
        <v>2040</v>
      </c>
      <c r="B1313" s="1081">
        <f>ROUND([30]MW!B876,0)</f>
        <v>0</v>
      </c>
      <c r="C1313" s="1081">
        <f>ROUND([30]MW!C876,0)</f>
        <v>0</v>
      </c>
      <c r="D1313" s="1081">
        <f>ROUND([30]MW!D876,0)</f>
        <v>0</v>
      </c>
      <c r="E1313" s="1081">
        <f>ROUND([30]MW!E876,0)</f>
        <v>0</v>
      </c>
      <c r="F1313" s="1081">
        <f>ROUND([30]MW!F876,0)</f>
        <v>0</v>
      </c>
      <c r="G1313" s="1081">
        <f>ROUND([30]MW!G876,0)</f>
        <v>0</v>
      </c>
      <c r="H1313" s="1081">
        <f>ROUND([30]MW!H876,0)</f>
        <v>0</v>
      </c>
      <c r="I1313" s="1081">
        <f>ROUND([30]MW!I876,0)</f>
        <v>0</v>
      </c>
      <c r="J1313" s="1081">
        <f>ROUND([30]MW!J876,0)</f>
        <v>0</v>
      </c>
      <c r="K1313" s="1081">
        <f>ROUND([30]MW!K876,0)</f>
        <v>0</v>
      </c>
      <c r="L1313" s="1081">
        <f>ROUND([30]MW!L876,0)</f>
        <v>0</v>
      </c>
      <c r="M1313" s="1081">
        <f>ROUND([30]MW!M876,0)</f>
        <v>0</v>
      </c>
      <c r="N1313" s="25">
        <f t="shared" si="657"/>
        <v>0</v>
      </c>
      <c r="Q1313" s="335"/>
      <c r="R1313" s="335"/>
      <c r="S1313" s="335"/>
      <c r="T1313" s="335"/>
      <c r="U1313" s="335"/>
      <c r="V1313" s="335"/>
      <c r="W1313" s="335"/>
      <c r="X1313" s="335"/>
      <c r="Y1313" s="335"/>
      <c r="Z1313" s="335"/>
      <c r="AA1313" s="335"/>
      <c r="AB1313" s="335"/>
      <c r="AC1313" s="37"/>
    </row>
    <row r="1314" spans="1:29">
      <c r="A1314" s="2">
        <f t="shared" si="656"/>
        <v>2041</v>
      </c>
    </row>
    <row r="1315" spans="1:29">
      <c r="A1315" s="2">
        <f t="shared" si="656"/>
        <v>2042</v>
      </c>
    </row>
    <row r="1316" spans="1:29">
      <c r="A1316" s="2">
        <f t="shared" si="656"/>
        <v>2043</v>
      </c>
    </row>
    <row r="1317" spans="1:29">
      <c r="A1317" s="2">
        <f t="shared" si="656"/>
        <v>2044</v>
      </c>
    </row>
    <row r="1318" spans="1:29">
      <c r="A1318" s="2">
        <f t="shared" si="656"/>
        <v>2045</v>
      </c>
      <c r="B1318" s="34"/>
      <c r="C1318" s="34"/>
      <c r="D1318" s="34"/>
      <c r="E1318" s="34"/>
      <c r="F1318" s="34"/>
      <c r="G1318" s="34"/>
      <c r="H1318" s="34"/>
      <c r="I1318" s="34"/>
      <c r="J1318" s="34"/>
      <c r="K1318" s="34"/>
      <c r="L1318" s="34"/>
      <c r="M1318" s="34"/>
      <c r="N1318" s="25"/>
    </row>
    <row r="1321" spans="1:29">
      <c r="A1321" s="31" t="s">
        <v>551</v>
      </c>
      <c r="K1321" s="30" t="s">
        <v>311</v>
      </c>
    </row>
    <row r="1322" spans="1:29">
      <c r="A1322" s="27" t="s">
        <v>9</v>
      </c>
      <c r="B1322" s="27" t="s">
        <v>28</v>
      </c>
      <c r="C1322" s="27" t="s">
        <v>29</v>
      </c>
      <c r="D1322" s="27" t="s">
        <v>30</v>
      </c>
      <c r="E1322" s="27" t="s">
        <v>31</v>
      </c>
      <c r="F1322" s="27" t="s">
        <v>32</v>
      </c>
      <c r="G1322" s="27" t="s">
        <v>33</v>
      </c>
      <c r="H1322" s="27" t="s">
        <v>34</v>
      </c>
      <c r="I1322" s="27" t="s">
        <v>35</v>
      </c>
      <c r="J1322" s="27" t="s">
        <v>36</v>
      </c>
      <c r="K1322" s="27" t="s">
        <v>37</v>
      </c>
      <c r="L1322" s="27" t="s">
        <v>38</v>
      </c>
      <c r="M1322" s="27" t="s">
        <v>39</v>
      </c>
      <c r="N1322" s="33" t="s">
        <v>56</v>
      </c>
    </row>
    <row r="1323" spans="1:29">
      <c r="A1323" s="2">
        <f>A1283</f>
        <v>2010</v>
      </c>
      <c r="B1323" s="34">
        <f>[30]MW!B886</f>
        <v>6.7</v>
      </c>
      <c r="C1323" s="34">
        <f>[30]MW!C886</f>
        <v>3.5</v>
      </c>
      <c r="D1323" s="34">
        <f>[30]MW!D886</f>
        <v>5.0999999999999996</v>
      </c>
      <c r="E1323" s="34">
        <f>[30]MW!E886</f>
        <v>4.4000000000000004</v>
      </c>
      <c r="F1323" s="34">
        <f>[30]MW!F886</f>
        <v>3.2</v>
      </c>
      <c r="G1323" s="34">
        <f>[30]MW!G886</f>
        <v>7.9</v>
      </c>
      <c r="H1323" s="34">
        <f>[30]MW!H886</f>
        <v>10.8</v>
      </c>
      <c r="I1323" s="34">
        <f>[30]MW!I886</f>
        <v>6.2489999999999997</v>
      </c>
      <c r="J1323" s="34">
        <f>[30]MW!J886</f>
        <v>6.1219999999999999</v>
      </c>
      <c r="K1323" s="34">
        <f>[30]MW!K886</f>
        <v>5.1239999999999997</v>
      </c>
      <c r="L1323" s="34">
        <f>[30]MW!L886</f>
        <v>3</v>
      </c>
      <c r="M1323" s="34">
        <f>[30]MW!M886</f>
        <v>5.2</v>
      </c>
      <c r="N1323" s="25">
        <f t="shared" ref="N1323:N1343" si="658">SUM(B1323:M1323)</f>
        <v>67.295000000000002</v>
      </c>
    </row>
    <row r="1324" spans="1:29">
      <c r="A1324" s="2">
        <f t="shared" ref="A1324:A1358" si="659">A1284</f>
        <v>2011</v>
      </c>
      <c r="B1324" s="1081">
        <f>[30]MW!B887</f>
        <v>5</v>
      </c>
      <c r="C1324" s="1081">
        <f>[30]MW!C887</f>
        <v>5</v>
      </c>
      <c r="D1324" s="1081">
        <f>[30]MW!D887</f>
        <v>5</v>
      </c>
      <c r="E1324" s="1081">
        <f>[30]MW!E887</f>
        <v>3</v>
      </c>
      <c r="F1324" s="1081">
        <f>[30]MW!F887</f>
        <v>5</v>
      </c>
      <c r="G1324" s="1081">
        <f>[30]MW!G887</f>
        <v>5</v>
      </c>
      <c r="H1324" s="1081">
        <f>[30]MW!H887</f>
        <v>5</v>
      </c>
      <c r="I1324" s="1081">
        <f>[30]MW!I887</f>
        <v>5</v>
      </c>
      <c r="J1324" s="1081">
        <f>[30]MW!J887</f>
        <v>4</v>
      </c>
      <c r="K1324" s="1081">
        <f>[30]MW!K887</f>
        <v>4</v>
      </c>
      <c r="L1324" s="1081">
        <f>[30]MW!L887</f>
        <v>4</v>
      </c>
      <c r="M1324" s="1081">
        <f>[30]MW!M887</f>
        <v>4</v>
      </c>
      <c r="N1324" s="26">
        <f t="shared" si="658"/>
        <v>54</v>
      </c>
    </row>
    <row r="1325" spans="1:29">
      <c r="A1325" s="2">
        <f t="shared" si="659"/>
        <v>2012</v>
      </c>
      <c r="B1325" s="1081">
        <f>[30]MW!B888</f>
        <v>5</v>
      </c>
      <c r="C1325" s="1081">
        <f>[30]MW!C888</f>
        <v>4</v>
      </c>
      <c r="D1325" s="1081">
        <f>[30]MW!D888</f>
        <v>3</v>
      </c>
      <c r="E1325" s="1081">
        <f>[30]MW!E888</f>
        <v>3</v>
      </c>
      <c r="F1325" s="1081">
        <f>[30]MW!F888</f>
        <v>5</v>
      </c>
      <c r="G1325" s="1081">
        <f>[30]MW!G888</f>
        <v>5</v>
      </c>
      <c r="H1325" s="1081">
        <f>[30]MW!H888</f>
        <v>5</v>
      </c>
      <c r="I1325" s="1081">
        <f>[30]MW!I888</f>
        <v>5</v>
      </c>
      <c r="J1325" s="1081">
        <f>[30]MW!J888</f>
        <v>5</v>
      </c>
      <c r="K1325" s="1081">
        <f>[30]MW!K888</f>
        <v>4</v>
      </c>
      <c r="L1325" s="1081">
        <f>[30]MW!L888</f>
        <v>4</v>
      </c>
      <c r="M1325" s="1081">
        <f>[30]MW!M888</f>
        <v>4</v>
      </c>
      <c r="N1325" s="26">
        <f t="shared" si="658"/>
        <v>52</v>
      </c>
    </row>
    <row r="1326" spans="1:29">
      <c r="A1326" s="2">
        <f t="shared" si="659"/>
        <v>2013</v>
      </c>
      <c r="B1326" s="1081">
        <f>[30]MW!B889</f>
        <v>4.7300000000000004</v>
      </c>
      <c r="C1326" s="1081">
        <f>[30]MW!C889</f>
        <v>4.09</v>
      </c>
      <c r="D1326" s="1081">
        <f>[30]MW!D889</f>
        <v>4</v>
      </c>
      <c r="E1326" s="1081">
        <f>[30]MW!E889</f>
        <v>3.91</v>
      </c>
      <c r="F1326" s="1081">
        <f>[30]MW!F889</f>
        <v>4.91</v>
      </c>
      <c r="G1326" s="1081">
        <f>[30]MW!G889</f>
        <v>5.0999999999999996</v>
      </c>
      <c r="H1326" s="1081">
        <f>[30]MW!H889</f>
        <v>5.28</v>
      </c>
      <c r="I1326" s="1081">
        <f>[30]MW!I889</f>
        <v>5.37</v>
      </c>
      <c r="J1326" s="1081">
        <f>[30]MW!J889</f>
        <v>5</v>
      </c>
      <c r="K1326" s="1081">
        <f>[30]MW!K889</f>
        <v>3.73</v>
      </c>
      <c r="L1326" s="1081">
        <f>[30]MW!L889</f>
        <v>4</v>
      </c>
      <c r="M1326" s="1081">
        <f>[30]MW!M889</f>
        <v>4.55</v>
      </c>
      <c r="N1326" s="26">
        <f t="shared" si="658"/>
        <v>54.669999999999995</v>
      </c>
    </row>
    <row r="1327" spans="1:29">
      <c r="A1327" s="2">
        <f t="shared" si="659"/>
        <v>2014</v>
      </c>
      <c r="B1327" s="1081">
        <f>[30]MW!B890</f>
        <v>4.82</v>
      </c>
      <c r="C1327" s="1081">
        <f>[30]MW!C890</f>
        <v>4.09</v>
      </c>
      <c r="D1327" s="1081">
        <f>[30]MW!D890</f>
        <v>4.09</v>
      </c>
      <c r="E1327" s="1081">
        <f>[30]MW!E890</f>
        <v>3.91</v>
      </c>
      <c r="F1327" s="1081">
        <f>[30]MW!F890</f>
        <v>4.91</v>
      </c>
      <c r="G1327" s="1081">
        <f>[30]MW!G890</f>
        <v>5.0999999999999996</v>
      </c>
      <c r="H1327" s="1081">
        <f>[30]MW!H890</f>
        <v>5.37</v>
      </c>
      <c r="I1327" s="1081">
        <f>[30]MW!I890</f>
        <v>5.46</v>
      </c>
      <c r="J1327" s="1081">
        <f>[30]MW!J890</f>
        <v>5.0999999999999996</v>
      </c>
      <c r="K1327" s="1081">
        <f>[30]MW!K890</f>
        <v>3.73</v>
      </c>
      <c r="L1327" s="1081">
        <f>[30]MW!L890</f>
        <v>3.91</v>
      </c>
      <c r="M1327" s="1081">
        <f>[30]MW!M890</f>
        <v>4.55</v>
      </c>
      <c r="N1327" s="26">
        <f t="shared" si="658"/>
        <v>55.039999999999992</v>
      </c>
    </row>
    <row r="1328" spans="1:29">
      <c r="A1328" s="2">
        <f t="shared" si="659"/>
        <v>2015</v>
      </c>
      <c r="B1328" s="1081">
        <f>[30]MW!B891</f>
        <v>4.82</v>
      </c>
      <c r="C1328" s="1081">
        <f>[30]MW!C891</f>
        <v>4.09</v>
      </c>
      <c r="D1328" s="1081">
        <f>[30]MW!D891</f>
        <v>4</v>
      </c>
      <c r="E1328" s="1081">
        <f>[30]MW!E891</f>
        <v>3.82</v>
      </c>
      <c r="F1328" s="1081">
        <f>[30]MW!F891</f>
        <v>4.91</v>
      </c>
      <c r="G1328" s="1081">
        <f>[30]MW!G891</f>
        <v>5.19</v>
      </c>
      <c r="H1328" s="1081">
        <f>[30]MW!H891</f>
        <v>5.37</v>
      </c>
      <c r="I1328" s="1081">
        <f>[30]MW!I891</f>
        <v>5.46</v>
      </c>
      <c r="J1328" s="1081">
        <f>[30]MW!J891</f>
        <v>5.28</v>
      </c>
      <c r="K1328" s="1081">
        <f>[30]MW!K891</f>
        <v>3.73</v>
      </c>
      <c r="L1328" s="1081">
        <f>[30]MW!L891</f>
        <v>3.91</v>
      </c>
      <c r="M1328" s="1081">
        <f>[30]MW!M891</f>
        <v>4.55</v>
      </c>
      <c r="N1328" s="26">
        <f t="shared" si="658"/>
        <v>55.129999999999995</v>
      </c>
    </row>
    <row r="1329" spans="1:14">
      <c r="A1329" s="2">
        <f t="shared" si="659"/>
        <v>2016</v>
      </c>
      <c r="B1329" s="1081">
        <f>[30]MW!B892</f>
        <v>4.91</v>
      </c>
      <c r="C1329" s="1081">
        <f>[30]MW!C892</f>
        <v>4.09</v>
      </c>
      <c r="D1329" s="1081">
        <f>[30]MW!D892</f>
        <v>4.09</v>
      </c>
      <c r="E1329" s="1081">
        <f>[30]MW!E892</f>
        <v>3.82</v>
      </c>
      <c r="F1329" s="1081">
        <f>[30]MW!F892</f>
        <v>4.91</v>
      </c>
      <c r="G1329" s="1081">
        <f>[30]MW!G892</f>
        <v>5.28</v>
      </c>
      <c r="H1329" s="1081">
        <f>[30]MW!H892</f>
        <v>5.46</v>
      </c>
      <c r="I1329" s="1081">
        <f>[30]MW!I892</f>
        <v>5.55</v>
      </c>
      <c r="J1329" s="1081">
        <f>[30]MW!J892</f>
        <v>5.37</v>
      </c>
      <c r="K1329" s="1081">
        <f>[30]MW!K892</f>
        <v>3.73</v>
      </c>
      <c r="L1329" s="1081">
        <f>[30]MW!L892</f>
        <v>3.91</v>
      </c>
      <c r="M1329" s="1081">
        <f>[30]MW!M892</f>
        <v>4.55</v>
      </c>
      <c r="N1329" s="26">
        <f t="shared" si="658"/>
        <v>55.669999999999987</v>
      </c>
    </row>
    <row r="1330" spans="1:14">
      <c r="A1330" s="2">
        <f t="shared" si="659"/>
        <v>2017</v>
      </c>
      <c r="B1330" s="1081">
        <f>[30]MW!B893</f>
        <v>4.91</v>
      </c>
      <c r="C1330" s="1081">
        <f>[30]MW!C893</f>
        <v>4.1900000000000004</v>
      </c>
      <c r="D1330" s="1081">
        <f>[30]MW!D893</f>
        <v>4.09</v>
      </c>
      <c r="E1330" s="1081">
        <f>[30]MW!E893</f>
        <v>3.82</v>
      </c>
      <c r="F1330" s="1081">
        <f>[30]MW!F893</f>
        <v>5</v>
      </c>
      <c r="G1330" s="1081">
        <f>[30]MW!G893</f>
        <v>5.28</v>
      </c>
      <c r="H1330" s="1081">
        <f>[30]MW!H893</f>
        <v>5.46</v>
      </c>
      <c r="I1330" s="1081">
        <f>[30]MW!I893</f>
        <v>5.55</v>
      </c>
      <c r="J1330" s="1081">
        <f>[30]MW!J893</f>
        <v>5.37</v>
      </c>
      <c r="K1330" s="1081">
        <f>[30]MW!K893</f>
        <v>3.73</v>
      </c>
      <c r="L1330" s="1081">
        <f>[30]MW!L893</f>
        <v>4</v>
      </c>
      <c r="M1330" s="1081">
        <f>[30]MW!M893</f>
        <v>4.55</v>
      </c>
      <c r="N1330" s="26">
        <f t="shared" si="658"/>
        <v>55.949999999999989</v>
      </c>
    </row>
    <row r="1331" spans="1:14">
      <c r="A1331" s="2">
        <f t="shared" si="659"/>
        <v>2018</v>
      </c>
      <c r="B1331" s="1081">
        <f>[30]MW!B894</f>
        <v>5</v>
      </c>
      <c r="C1331" s="1081">
        <f>[30]MW!C894</f>
        <v>4.1900000000000004</v>
      </c>
      <c r="D1331" s="1081">
        <f>[30]MW!D894</f>
        <v>4.1900000000000004</v>
      </c>
      <c r="E1331" s="1081">
        <f>[30]MW!E894</f>
        <v>3.91</v>
      </c>
      <c r="F1331" s="1081">
        <f>[30]MW!F894</f>
        <v>5</v>
      </c>
      <c r="G1331" s="1081">
        <f>[30]MW!G894</f>
        <v>5.37</v>
      </c>
      <c r="H1331" s="1081">
        <f>[30]MW!H894</f>
        <v>5.46</v>
      </c>
      <c r="I1331" s="1081">
        <f>[30]MW!I894</f>
        <v>5.55</v>
      </c>
      <c r="J1331" s="1081">
        <f>[30]MW!J894</f>
        <v>5.37</v>
      </c>
      <c r="K1331" s="1081">
        <f>[30]MW!K894</f>
        <v>3.73</v>
      </c>
      <c r="L1331" s="1081">
        <f>[30]MW!L894</f>
        <v>4</v>
      </c>
      <c r="M1331" s="1081">
        <f>[30]MW!M894</f>
        <v>4.7300000000000004</v>
      </c>
      <c r="N1331" s="26">
        <f t="shared" si="658"/>
        <v>56.5</v>
      </c>
    </row>
    <row r="1332" spans="1:14">
      <c r="A1332" s="2">
        <f t="shared" si="659"/>
        <v>2019</v>
      </c>
      <c r="B1332" s="1081">
        <f>[30]MW!B895</f>
        <v>5.0999999999999996</v>
      </c>
      <c r="C1332" s="1081">
        <f>[30]MW!C895</f>
        <v>4.1900000000000004</v>
      </c>
      <c r="D1332" s="1081">
        <f>[30]MW!D895</f>
        <v>4.28</v>
      </c>
      <c r="E1332" s="1081">
        <f>[30]MW!E895</f>
        <v>3.91</v>
      </c>
      <c r="F1332" s="1081">
        <f>[30]MW!F895</f>
        <v>5</v>
      </c>
      <c r="G1332" s="1081">
        <f>[30]MW!G895</f>
        <v>5.37</v>
      </c>
      <c r="H1332" s="1081">
        <f>[30]MW!H895</f>
        <v>5.46</v>
      </c>
      <c r="I1332" s="1081">
        <f>[30]MW!I895</f>
        <v>5.55</v>
      </c>
      <c r="J1332" s="1081">
        <f>[30]MW!J895</f>
        <v>5.46</v>
      </c>
      <c r="K1332" s="1081">
        <f>[30]MW!K895</f>
        <v>3.82</v>
      </c>
      <c r="L1332" s="1081">
        <f>[30]MW!L895</f>
        <v>4.09</v>
      </c>
      <c r="M1332" s="1081">
        <f>[30]MW!M895</f>
        <v>4.7300000000000004</v>
      </c>
      <c r="N1332" s="26">
        <f t="shared" si="658"/>
        <v>56.960000000000008</v>
      </c>
    </row>
    <row r="1333" spans="1:14">
      <c r="A1333" s="2">
        <f t="shared" si="659"/>
        <v>2020</v>
      </c>
      <c r="B1333" s="1081">
        <f>[30]MW!B896</f>
        <v>5.19</v>
      </c>
      <c r="C1333" s="1081">
        <f>[30]MW!C896</f>
        <v>4.1900000000000004</v>
      </c>
      <c r="D1333" s="1081">
        <f>[30]MW!D896</f>
        <v>4.28</v>
      </c>
      <c r="E1333" s="1081">
        <f>[30]MW!E896</f>
        <v>3.91</v>
      </c>
      <c r="F1333" s="1081">
        <f>[30]MW!F896</f>
        <v>5</v>
      </c>
      <c r="G1333" s="1081">
        <f>[30]MW!G896</f>
        <v>5.46</v>
      </c>
      <c r="H1333" s="1081">
        <f>[30]MW!H896</f>
        <v>5.55</v>
      </c>
      <c r="I1333" s="1081">
        <f>[30]MW!I896</f>
        <v>5.64</v>
      </c>
      <c r="J1333" s="1081">
        <f>[30]MW!J896</f>
        <v>5.46</v>
      </c>
      <c r="K1333" s="1081">
        <f>[30]MW!K896</f>
        <v>3.91</v>
      </c>
      <c r="L1333" s="1081">
        <f>[30]MW!L896</f>
        <v>4.09</v>
      </c>
      <c r="M1333" s="1081">
        <f>[30]MW!M896</f>
        <v>4.82</v>
      </c>
      <c r="N1333" s="26">
        <f t="shared" si="658"/>
        <v>57.500000000000007</v>
      </c>
    </row>
    <row r="1334" spans="1:14">
      <c r="A1334" s="2">
        <f t="shared" si="659"/>
        <v>2021</v>
      </c>
      <c r="B1334" s="1081">
        <f>[30]MW!B897</f>
        <v>5.19</v>
      </c>
      <c r="C1334" s="1081">
        <f>[30]MW!C897</f>
        <v>4.28</v>
      </c>
      <c r="D1334" s="1081">
        <f>[30]MW!D897</f>
        <v>4.37</v>
      </c>
      <c r="E1334" s="1081">
        <f>[30]MW!E897</f>
        <v>4</v>
      </c>
      <c r="F1334" s="1081">
        <f>[30]MW!F897</f>
        <v>5</v>
      </c>
      <c r="G1334" s="1081">
        <f>[30]MW!G897</f>
        <v>5.46</v>
      </c>
      <c r="H1334" s="1081">
        <f>[30]MW!H897</f>
        <v>5.55</v>
      </c>
      <c r="I1334" s="1081">
        <f>[30]MW!I897</f>
        <v>5.64</v>
      </c>
      <c r="J1334" s="1081">
        <f>[30]MW!J897</f>
        <v>5.46</v>
      </c>
      <c r="K1334" s="1081">
        <f>[30]MW!K897</f>
        <v>3.91</v>
      </c>
      <c r="L1334" s="1081">
        <f>[30]MW!L897</f>
        <v>4.1900000000000004</v>
      </c>
      <c r="M1334" s="1081">
        <f>[30]MW!M897</f>
        <v>4.91</v>
      </c>
      <c r="N1334" s="26">
        <f t="shared" si="658"/>
        <v>57.959999999999994</v>
      </c>
    </row>
    <row r="1335" spans="1:14">
      <c r="A1335" s="2">
        <f t="shared" si="659"/>
        <v>2022</v>
      </c>
      <c r="B1335" s="1081">
        <f>[30]MW!B898</f>
        <v>5.28</v>
      </c>
      <c r="C1335" s="1081">
        <f>[30]MW!C898</f>
        <v>4.28</v>
      </c>
      <c r="D1335" s="1081">
        <f>[30]MW!D898</f>
        <v>4.37</v>
      </c>
      <c r="E1335" s="1081">
        <f>[30]MW!E898</f>
        <v>4</v>
      </c>
      <c r="F1335" s="1081">
        <f>[30]MW!F898</f>
        <v>5</v>
      </c>
      <c r="G1335" s="1081">
        <f>[30]MW!G898</f>
        <v>5.46</v>
      </c>
      <c r="H1335" s="1081">
        <f>[30]MW!H898</f>
        <v>5.64</v>
      </c>
      <c r="I1335" s="1081">
        <f>[30]MW!I898</f>
        <v>5.73</v>
      </c>
      <c r="J1335" s="1081">
        <f>[30]MW!J898</f>
        <v>5.46</v>
      </c>
      <c r="K1335" s="1081">
        <f>[30]MW!K898</f>
        <v>4.09</v>
      </c>
      <c r="L1335" s="1081">
        <f>[30]MW!L898</f>
        <v>4.1900000000000004</v>
      </c>
      <c r="M1335" s="1081">
        <f>[30]MW!M898</f>
        <v>5</v>
      </c>
      <c r="N1335" s="26">
        <f t="shared" si="658"/>
        <v>58.5</v>
      </c>
    </row>
    <row r="1336" spans="1:14">
      <c r="A1336" s="2">
        <f t="shared" si="659"/>
        <v>2023</v>
      </c>
      <c r="B1336" s="1081">
        <f>[30]MW!B899</f>
        <v>5.37</v>
      </c>
      <c r="C1336" s="1081">
        <f>[30]MW!C899</f>
        <v>4.37</v>
      </c>
      <c r="D1336" s="1081">
        <f>[30]MW!D899</f>
        <v>4.37</v>
      </c>
      <c r="E1336" s="1081">
        <f>[30]MW!E899</f>
        <v>4.09</v>
      </c>
      <c r="F1336" s="1081">
        <f>[30]MW!F899</f>
        <v>5</v>
      </c>
      <c r="G1336" s="1081">
        <f>[30]MW!G899</f>
        <v>5.55</v>
      </c>
      <c r="H1336" s="1081">
        <f>[30]MW!H899</f>
        <v>5.73</v>
      </c>
      <c r="I1336" s="1081">
        <f>[30]MW!I899</f>
        <v>5.82</v>
      </c>
      <c r="J1336" s="1081">
        <f>[30]MW!J899</f>
        <v>5.46</v>
      </c>
      <c r="K1336" s="1081">
        <f>[30]MW!K899</f>
        <v>4.1900000000000004</v>
      </c>
      <c r="L1336" s="1081">
        <f>[30]MW!L899</f>
        <v>4.37</v>
      </c>
      <c r="M1336" s="1081">
        <f>[30]MW!M899</f>
        <v>5.0999999999999996</v>
      </c>
      <c r="N1336" s="26">
        <f t="shared" si="658"/>
        <v>59.42</v>
      </c>
    </row>
    <row r="1337" spans="1:14">
      <c r="A1337" s="2">
        <f t="shared" si="659"/>
        <v>2024</v>
      </c>
      <c r="B1337" s="1081">
        <f>[30]MW!B900</f>
        <v>5.37</v>
      </c>
      <c r="C1337" s="1081">
        <f>[30]MW!C900</f>
        <v>4.46</v>
      </c>
      <c r="D1337" s="1081">
        <f>[30]MW!D900</f>
        <v>4.46</v>
      </c>
      <c r="E1337" s="1081">
        <f>[30]MW!E900</f>
        <v>4.09</v>
      </c>
      <c r="F1337" s="1081">
        <f>[30]MW!F900</f>
        <v>5.0999999999999996</v>
      </c>
      <c r="G1337" s="1081">
        <f>[30]MW!G900</f>
        <v>5.55</v>
      </c>
      <c r="H1337" s="1081">
        <f>[30]MW!H900</f>
        <v>5.82</v>
      </c>
      <c r="I1337" s="1081">
        <f>[30]MW!I900</f>
        <v>5.91</v>
      </c>
      <c r="J1337" s="1081">
        <f>[30]MW!J900</f>
        <v>5.55</v>
      </c>
      <c r="K1337" s="1081">
        <f>[30]MW!K900</f>
        <v>4.1900000000000004</v>
      </c>
      <c r="L1337" s="1081">
        <f>[30]MW!L900</f>
        <v>4.37</v>
      </c>
      <c r="M1337" s="1081">
        <f>[30]MW!M900</f>
        <v>5.0999999999999996</v>
      </c>
      <c r="N1337" s="26">
        <f t="shared" si="658"/>
        <v>59.969999999999985</v>
      </c>
    </row>
    <row r="1338" spans="1:14">
      <c r="A1338" s="2">
        <f t="shared" si="659"/>
        <v>2025</v>
      </c>
      <c r="B1338" s="1081">
        <f>[30]MW!B901</f>
        <v>5.46</v>
      </c>
      <c r="C1338" s="1081">
        <f>[30]MW!C901</f>
        <v>4.6399999999999997</v>
      </c>
      <c r="D1338" s="1081">
        <f>[30]MW!D901</f>
        <v>4.46</v>
      </c>
      <c r="E1338" s="1081">
        <f>[30]MW!E901</f>
        <v>4.09</v>
      </c>
      <c r="F1338" s="1081">
        <f>[30]MW!F901</f>
        <v>5.0999999999999996</v>
      </c>
      <c r="G1338" s="1081">
        <f>[30]MW!G901</f>
        <v>5.64</v>
      </c>
      <c r="H1338" s="1081">
        <f>[30]MW!H901</f>
        <v>5.91</v>
      </c>
      <c r="I1338" s="1081">
        <f>[30]MW!I901</f>
        <v>6</v>
      </c>
      <c r="J1338" s="1081">
        <f>[30]MW!J901</f>
        <v>5.55</v>
      </c>
      <c r="K1338" s="1081">
        <f>[30]MW!K901</f>
        <v>4.28</v>
      </c>
      <c r="L1338" s="1081">
        <f>[30]MW!L901</f>
        <v>4.46</v>
      </c>
      <c r="M1338" s="1081">
        <f>[30]MW!M901</f>
        <v>5.0999999999999996</v>
      </c>
      <c r="N1338" s="26">
        <f t="shared" si="658"/>
        <v>60.69</v>
      </c>
    </row>
    <row r="1339" spans="1:14">
      <c r="A1339" s="2">
        <f t="shared" si="659"/>
        <v>2026</v>
      </c>
      <c r="B1339" s="1081">
        <f>[30]MW!B902</f>
        <v>5.55</v>
      </c>
      <c r="C1339" s="1081">
        <f>[30]MW!C902</f>
        <v>4.7300000000000004</v>
      </c>
      <c r="D1339" s="1081">
        <f>[30]MW!D902</f>
        <v>4.55</v>
      </c>
      <c r="E1339" s="1081">
        <f>[30]MW!E902</f>
        <v>4.09</v>
      </c>
      <c r="F1339" s="1081">
        <f>[30]MW!F902</f>
        <v>5.0999999999999996</v>
      </c>
      <c r="G1339" s="1081">
        <f>[30]MW!G902</f>
        <v>5.73</v>
      </c>
      <c r="H1339" s="1081">
        <f>[30]MW!H902</f>
        <v>6</v>
      </c>
      <c r="I1339" s="1081">
        <f>[30]MW!I902</f>
        <v>6.1</v>
      </c>
      <c r="J1339" s="1081">
        <f>[30]MW!J902</f>
        <v>5.64</v>
      </c>
      <c r="K1339" s="1081">
        <f>[30]MW!K902</f>
        <v>4.28</v>
      </c>
      <c r="L1339" s="1081">
        <f>[30]MW!L902</f>
        <v>4.46</v>
      </c>
      <c r="M1339" s="1081">
        <f>[30]MW!M902</f>
        <v>5.0999999999999996</v>
      </c>
      <c r="N1339" s="26">
        <f t="shared" si="658"/>
        <v>61.330000000000005</v>
      </c>
    </row>
    <row r="1340" spans="1:14">
      <c r="A1340" s="2">
        <f t="shared" si="659"/>
        <v>2027</v>
      </c>
      <c r="B1340" s="1081">
        <f>[30]MW!B903</f>
        <v>5.64</v>
      </c>
      <c r="C1340" s="1081">
        <f>[30]MW!C903</f>
        <v>4.7300000000000004</v>
      </c>
      <c r="D1340" s="1081">
        <f>[30]MW!D903</f>
        <v>4.55</v>
      </c>
      <c r="E1340" s="1081">
        <f>[30]MW!E903</f>
        <v>4.28</v>
      </c>
      <c r="F1340" s="1081">
        <f>[30]MW!F903</f>
        <v>5.0999999999999996</v>
      </c>
      <c r="G1340" s="1081">
        <f>[30]MW!G903</f>
        <v>5.82</v>
      </c>
      <c r="H1340" s="1081">
        <f>[30]MW!H903</f>
        <v>6.1</v>
      </c>
      <c r="I1340" s="1081">
        <f>[30]MW!I903</f>
        <v>6.19</v>
      </c>
      <c r="J1340" s="1081">
        <f>[30]MW!J903</f>
        <v>5.73</v>
      </c>
      <c r="K1340" s="1081">
        <f>[30]MW!K903</f>
        <v>4.28</v>
      </c>
      <c r="L1340" s="1081">
        <f>[30]MW!L903</f>
        <v>4.55</v>
      </c>
      <c r="M1340" s="1081">
        <f>[30]MW!M903</f>
        <v>5.19</v>
      </c>
      <c r="N1340" s="26">
        <f t="shared" si="658"/>
        <v>62.16</v>
      </c>
    </row>
    <row r="1341" spans="1:14">
      <c r="A1341" s="2">
        <f t="shared" si="659"/>
        <v>2028</v>
      </c>
      <c r="B1341" s="1081">
        <f>[30]MW!B904</f>
        <v>5.73</v>
      </c>
      <c r="C1341" s="1081">
        <f>[30]MW!C904</f>
        <v>4.82</v>
      </c>
      <c r="D1341" s="1081">
        <f>[30]MW!D904</f>
        <v>4.6399999999999997</v>
      </c>
      <c r="E1341" s="1081">
        <f>[30]MW!E904</f>
        <v>4.28</v>
      </c>
      <c r="F1341" s="1081">
        <f>[30]MW!F904</f>
        <v>5.0999999999999996</v>
      </c>
      <c r="G1341" s="1081">
        <f>[30]MW!G904</f>
        <v>5.82</v>
      </c>
      <c r="H1341" s="1081">
        <f>[30]MW!H904</f>
        <v>6.1</v>
      </c>
      <c r="I1341" s="1081">
        <f>[30]MW!I904</f>
        <v>6.19</v>
      </c>
      <c r="J1341" s="1081">
        <f>[30]MW!J904</f>
        <v>5.82</v>
      </c>
      <c r="K1341" s="1081">
        <f>[30]MW!K904</f>
        <v>4.28</v>
      </c>
      <c r="L1341" s="1081">
        <f>[30]MW!L904</f>
        <v>4.55</v>
      </c>
      <c r="M1341" s="1081">
        <f>[30]MW!M904</f>
        <v>5.28</v>
      </c>
      <c r="N1341" s="26">
        <f t="shared" si="658"/>
        <v>62.61</v>
      </c>
    </row>
    <row r="1342" spans="1:14">
      <c r="A1342" s="2">
        <f t="shared" si="659"/>
        <v>2029</v>
      </c>
      <c r="B1342" s="1081">
        <f>[30]MW!B905</f>
        <v>5.82</v>
      </c>
      <c r="C1342" s="1081">
        <f>[30]MW!C905</f>
        <v>4.82</v>
      </c>
      <c r="D1342" s="1081">
        <f>[30]MW!D905</f>
        <v>4.7300000000000004</v>
      </c>
      <c r="E1342" s="1081">
        <f>[30]MW!E905</f>
        <v>4.28</v>
      </c>
      <c r="F1342" s="1081">
        <f>[30]MW!F905</f>
        <v>5.19</v>
      </c>
      <c r="G1342" s="1081">
        <f>[30]MW!G905</f>
        <v>5.91</v>
      </c>
      <c r="H1342" s="1081">
        <f>[30]MW!H905</f>
        <v>6.19</v>
      </c>
      <c r="I1342" s="1081">
        <f>[30]MW!I905</f>
        <v>6.28</v>
      </c>
      <c r="J1342" s="1081">
        <f>[30]MW!J905</f>
        <v>5.91</v>
      </c>
      <c r="K1342" s="1081">
        <f>[30]MW!K905</f>
        <v>4.37</v>
      </c>
      <c r="L1342" s="1081">
        <f>[30]MW!L905</f>
        <v>4.6399999999999997</v>
      </c>
      <c r="M1342" s="1081">
        <f>[30]MW!M905</f>
        <v>5.28</v>
      </c>
      <c r="N1342" s="26">
        <f t="shared" si="658"/>
        <v>63.420000000000009</v>
      </c>
    </row>
    <row r="1343" spans="1:14">
      <c r="A1343" s="2">
        <f t="shared" si="659"/>
        <v>2030</v>
      </c>
      <c r="B1343" s="1081">
        <f>[30]MW!B906</f>
        <v>5.82</v>
      </c>
      <c r="C1343" s="1081">
        <f>[30]MW!C906</f>
        <v>4.91</v>
      </c>
      <c r="D1343" s="1081">
        <f>[30]MW!D906</f>
        <v>4.7300000000000004</v>
      </c>
      <c r="E1343" s="1081">
        <f>[30]MW!E906</f>
        <v>4.37</v>
      </c>
      <c r="F1343" s="1081">
        <f>[30]MW!F906</f>
        <v>5.19</v>
      </c>
      <c r="G1343" s="1081">
        <f>[30]MW!G906</f>
        <v>6</v>
      </c>
      <c r="H1343" s="1081">
        <f>[30]MW!H906</f>
        <v>6.28</v>
      </c>
      <c r="I1343" s="1081">
        <f>[30]MW!I906</f>
        <v>6.37</v>
      </c>
      <c r="J1343" s="1081">
        <f>[30]MW!J906</f>
        <v>6</v>
      </c>
      <c r="K1343" s="1081">
        <f>[30]MW!K906</f>
        <v>4.37</v>
      </c>
      <c r="L1343" s="1081">
        <f>[30]MW!L906</f>
        <v>4.6399999999999997</v>
      </c>
      <c r="M1343" s="1081">
        <f>[30]MW!M906</f>
        <v>5.37</v>
      </c>
      <c r="N1343" s="26">
        <f t="shared" si="658"/>
        <v>64.05</v>
      </c>
    </row>
    <row r="1344" spans="1:14">
      <c r="A1344" s="2">
        <f t="shared" si="659"/>
        <v>2031</v>
      </c>
      <c r="B1344" s="1081">
        <f>[30]MW!B907</f>
        <v>5.88</v>
      </c>
      <c r="C1344" s="1081">
        <f>[30]MW!C907</f>
        <v>4.8600000000000003</v>
      </c>
      <c r="D1344" s="1081">
        <f>[30]MW!D907</f>
        <v>4.7300000000000004</v>
      </c>
      <c r="E1344" s="1081">
        <f>[30]MW!E907</f>
        <v>4.37</v>
      </c>
      <c r="F1344" s="1081">
        <f>[30]MW!F907</f>
        <v>5.17</v>
      </c>
      <c r="G1344" s="1081">
        <f>[30]MW!G907</f>
        <v>5.96</v>
      </c>
      <c r="H1344" s="1081">
        <f>[30]MW!H907</f>
        <v>6.22</v>
      </c>
      <c r="I1344" s="1081">
        <f>[30]MW!I907</f>
        <v>6.31</v>
      </c>
      <c r="J1344" s="1081">
        <f>[30]MW!J907</f>
        <v>6.01</v>
      </c>
      <c r="K1344" s="1081">
        <f>[30]MW!K907</f>
        <v>4.43</v>
      </c>
      <c r="L1344" s="1081">
        <f>[30]MW!L907</f>
        <v>4.66</v>
      </c>
      <c r="M1344" s="1081">
        <f>[30]MW!M907</f>
        <v>5.4</v>
      </c>
      <c r="N1344" s="26">
        <f t="shared" ref="N1344:N1353" si="660">SUM(B1344:M1344)</f>
        <v>63.999999999999993</v>
      </c>
    </row>
    <row r="1345" spans="1:14">
      <c r="A1345" s="2">
        <f t="shared" si="659"/>
        <v>2032</v>
      </c>
      <c r="B1345" s="1081">
        <f>[30]MW!B908</f>
        <v>5.94</v>
      </c>
      <c r="C1345" s="1081">
        <f>[30]MW!C908</f>
        <v>4.91</v>
      </c>
      <c r="D1345" s="1081">
        <f>[30]MW!D908</f>
        <v>4.7699999999999996</v>
      </c>
      <c r="E1345" s="1081">
        <f>[30]MW!E908</f>
        <v>4.37</v>
      </c>
      <c r="F1345" s="1081">
        <f>[30]MW!F908</f>
        <v>5.18</v>
      </c>
      <c r="G1345" s="1081">
        <f>[30]MW!G908</f>
        <v>6.01</v>
      </c>
      <c r="H1345" s="1081">
        <f>[30]MW!H908</f>
        <v>6.28</v>
      </c>
      <c r="I1345" s="1081">
        <f>[30]MW!I908</f>
        <v>6.37</v>
      </c>
      <c r="J1345" s="1081">
        <f>[30]MW!J908</f>
        <v>6.07</v>
      </c>
      <c r="K1345" s="1081">
        <f>[30]MW!K908</f>
        <v>4.47</v>
      </c>
      <c r="L1345" s="1081">
        <f>[30]MW!L908</f>
        <v>4.7</v>
      </c>
      <c r="M1345" s="1081">
        <f>[30]MW!M908</f>
        <v>5.45</v>
      </c>
      <c r="N1345" s="26">
        <f t="shared" si="660"/>
        <v>64.52</v>
      </c>
    </row>
    <row r="1346" spans="1:14">
      <c r="A1346" s="2">
        <f t="shared" si="659"/>
        <v>2033</v>
      </c>
      <c r="B1346" s="1081">
        <f>[30]MW!B909</f>
        <v>6</v>
      </c>
      <c r="C1346" s="1081">
        <f>[30]MW!C909</f>
        <v>4.95</v>
      </c>
      <c r="D1346" s="1081">
        <f>[30]MW!D909</f>
        <v>4.8099999999999996</v>
      </c>
      <c r="E1346" s="1081">
        <f>[30]MW!E909</f>
        <v>4.37</v>
      </c>
      <c r="F1346" s="1081">
        <f>[30]MW!F909</f>
        <v>5.2</v>
      </c>
      <c r="G1346" s="1081">
        <f>[30]MW!G909</f>
        <v>6.05</v>
      </c>
      <c r="H1346" s="1081">
        <f>[30]MW!H909</f>
        <v>6.33</v>
      </c>
      <c r="I1346" s="1081">
        <f>[30]MW!I909</f>
        <v>6.42</v>
      </c>
      <c r="J1346" s="1081">
        <f>[30]MW!J909</f>
        <v>6.12</v>
      </c>
      <c r="K1346" s="1081">
        <f>[30]MW!K909</f>
        <v>4.51</v>
      </c>
      <c r="L1346" s="1081">
        <f>[30]MW!L909</f>
        <v>4.74</v>
      </c>
      <c r="M1346" s="1081">
        <f>[30]MW!M909</f>
        <v>5.5</v>
      </c>
      <c r="N1346" s="26">
        <f t="shared" si="660"/>
        <v>65</v>
      </c>
    </row>
    <row r="1347" spans="1:14">
      <c r="A1347" s="2">
        <f t="shared" si="659"/>
        <v>2034</v>
      </c>
      <c r="B1347" s="1081">
        <f>[30]MW!B910</f>
        <v>6.07</v>
      </c>
      <c r="C1347" s="1081">
        <f>[30]MW!C910</f>
        <v>5</v>
      </c>
      <c r="D1347" s="1081">
        <f>[30]MW!D910</f>
        <v>4.84</v>
      </c>
      <c r="E1347" s="1081">
        <f>[30]MW!E910</f>
        <v>4.34</v>
      </c>
      <c r="F1347" s="1081">
        <f>[30]MW!F910</f>
        <v>5.21</v>
      </c>
      <c r="G1347" s="1081">
        <f>[30]MW!G910</f>
        <v>6.1</v>
      </c>
      <c r="H1347" s="1081">
        <f>[30]MW!H910</f>
        <v>6.38</v>
      </c>
      <c r="I1347" s="1081">
        <f>[30]MW!I910</f>
        <v>6.47</v>
      </c>
      <c r="J1347" s="1081">
        <f>[30]MW!J910</f>
        <v>6.18</v>
      </c>
      <c r="K1347" s="1081">
        <f>[30]MW!K910</f>
        <v>4.55</v>
      </c>
      <c r="L1347" s="1081">
        <f>[30]MW!L910</f>
        <v>4.79</v>
      </c>
      <c r="M1347" s="1081">
        <f>[30]MW!M910</f>
        <v>5.55</v>
      </c>
      <c r="N1347" s="26">
        <f t="shared" si="660"/>
        <v>65.48</v>
      </c>
    </row>
    <row r="1348" spans="1:14">
      <c r="A1348" s="2">
        <f t="shared" si="659"/>
        <v>2035</v>
      </c>
      <c r="B1348" s="1081">
        <f>[30]MW!B911</f>
        <v>6.13</v>
      </c>
      <c r="C1348" s="1081">
        <f>[30]MW!C911</f>
        <v>5.05</v>
      </c>
      <c r="D1348" s="1081">
        <f>[30]MW!D911</f>
        <v>4.88</v>
      </c>
      <c r="E1348" s="1081">
        <f>[30]MW!E911</f>
        <v>4.3600000000000003</v>
      </c>
      <c r="F1348" s="1081">
        <f>[30]MW!F911</f>
        <v>5.23</v>
      </c>
      <c r="G1348" s="1081">
        <f>[30]MW!G911</f>
        <v>6.15</v>
      </c>
      <c r="H1348" s="1081">
        <f>[30]MW!H911</f>
        <v>6.43</v>
      </c>
      <c r="I1348" s="1081">
        <f>[30]MW!I911</f>
        <v>6.52</v>
      </c>
      <c r="J1348" s="1081">
        <f>[30]MW!J911</f>
        <v>6.24</v>
      </c>
      <c r="K1348" s="1081">
        <f>[30]MW!K911</f>
        <v>4.59</v>
      </c>
      <c r="L1348" s="1081">
        <f>[30]MW!L911</f>
        <v>4.83</v>
      </c>
      <c r="M1348" s="1081">
        <f>[30]MW!M911</f>
        <v>5.61</v>
      </c>
      <c r="N1348" s="26">
        <f t="shared" si="660"/>
        <v>66.02</v>
      </c>
    </row>
    <row r="1349" spans="1:14">
      <c r="A1349" s="2">
        <f t="shared" si="659"/>
        <v>2036</v>
      </c>
      <c r="B1349" s="1081">
        <f>[30]MW!B912</f>
        <v>6.2</v>
      </c>
      <c r="C1349" s="1081">
        <f>[30]MW!C912</f>
        <v>5.09</v>
      </c>
      <c r="D1349" s="1081">
        <f>[30]MW!D912</f>
        <v>4.92</v>
      </c>
      <c r="E1349" s="1081">
        <f>[30]MW!E912</f>
        <v>4.43</v>
      </c>
      <c r="F1349" s="1081">
        <f>[30]MW!F912</f>
        <v>5.24</v>
      </c>
      <c r="G1349" s="1081">
        <f>[30]MW!G912</f>
        <v>6.2</v>
      </c>
      <c r="H1349" s="1081">
        <f>[30]MW!H912</f>
        <v>6.49</v>
      </c>
      <c r="I1349" s="1081">
        <f>[30]MW!I912</f>
        <v>6.58</v>
      </c>
      <c r="J1349" s="1081">
        <f>[30]MW!J912</f>
        <v>6.3</v>
      </c>
      <c r="K1349" s="1081">
        <f>[30]MW!K912</f>
        <v>4.6399999999999997</v>
      </c>
      <c r="L1349" s="1081">
        <f>[30]MW!L912</f>
        <v>4.87</v>
      </c>
      <c r="M1349" s="1081">
        <f>[30]MW!M912</f>
        <v>5.66</v>
      </c>
      <c r="N1349" s="26">
        <f t="shared" si="660"/>
        <v>66.62</v>
      </c>
    </row>
    <row r="1350" spans="1:14">
      <c r="A1350" s="2">
        <f t="shared" si="659"/>
        <v>2037</v>
      </c>
      <c r="B1350" s="1081">
        <f>[30]MW!B913</f>
        <v>6.26</v>
      </c>
      <c r="C1350" s="1081">
        <f>[30]MW!C913</f>
        <v>5.14</v>
      </c>
      <c r="D1350" s="1081">
        <f>[30]MW!D913</f>
        <v>4.96</v>
      </c>
      <c r="E1350" s="1081">
        <f>[30]MW!E913</f>
        <v>4.43</v>
      </c>
      <c r="F1350" s="1081">
        <f>[30]MW!F913</f>
        <v>5.26</v>
      </c>
      <c r="G1350" s="1081">
        <f>[30]MW!G913</f>
        <v>6.24</v>
      </c>
      <c r="H1350" s="1081">
        <f>[30]MW!H913</f>
        <v>6.54</v>
      </c>
      <c r="I1350" s="1081">
        <f>[30]MW!I913</f>
        <v>6.63</v>
      </c>
      <c r="J1350" s="1081">
        <f>[30]MW!J913</f>
        <v>6.35</v>
      </c>
      <c r="K1350" s="1081">
        <f>[30]MW!K913</f>
        <v>4.68</v>
      </c>
      <c r="L1350" s="1081">
        <f>[30]MW!L913</f>
        <v>4.91</v>
      </c>
      <c r="M1350" s="1081">
        <f>[30]MW!M913</f>
        <v>5.71</v>
      </c>
      <c r="N1350" s="26">
        <f t="shared" si="660"/>
        <v>67.11</v>
      </c>
    </row>
    <row r="1351" spans="1:14">
      <c r="A1351" s="2">
        <f t="shared" si="659"/>
        <v>2038</v>
      </c>
      <c r="B1351" s="1081">
        <f>[30]MW!B914</f>
        <v>6.32</v>
      </c>
      <c r="C1351" s="1081">
        <f>[30]MW!C914</f>
        <v>5.19</v>
      </c>
      <c r="D1351" s="1081">
        <f>[30]MW!D914</f>
        <v>5</v>
      </c>
      <c r="E1351" s="1081">
        <f>[30]MW!E914</f>
        <v>4.43</v>
      </c>
      <c r="F1351" s="1081">
        <f>[30]MW!F914</f>
        <v>5.27</v>
      </c>
      <c r="G1351" s="1081">
        <f>[30]MW!G914</f>
        <v>6.29</v>
      </c>
      <c r="H1351" s="1081">
        <f>[30]MW!H914</f>
        <v>6.59</v>
      </c>
      <c r="I1351" s="1081">
        <f>[30]MW!I914</f>
        <v>6.68</v>
      </c>
      <c r="J1351" s="1081">
        <f>[30]MW!J914</f>
        <v>6.41</v>
      </c>
      <c r="K1351" s="1081">
        <f>[30]MW!K914</f>
        <v>4.72</v>
      </c>
      <c r="L1351" s="1081">
        <f>[30]MW!L914</f>
        <v>4.96</v>
      </c>
      <c r="M1351" s="1081">
        <f>[30]MW!M914</f>
        <v>5.76</v>
      </c>
      <c r="N1351" s="26">
        <f t="shared" si="660"/>
        <v>67.62</v>
      </c>
    </row>
    <row r="1352" spans="1:14">
      <c r="A1352" s="2">
        <f t="shared" si="659"/>
        <v>2039</v>
      </c>
      <c r="B1352" s="1081">
        <f>[30]MW!B915</f>
        <v>6.39</v>
      </c>
      <c r="C1352" s="1081">
        <f>[30]MW!C915</f>
        <v>5.23</v>
      </c>
      <c r="D1352" s="1081">
        <f>[30]MW!D915</f>
        <v>5.04</v>
      </c>
      <c r="E1352" s="1081">
        <f>[30]MW!E915</f>
        <v>4.45</v>
      </c>
      <c r="F1352" s="1081">
        <f>[30]MW!F915</f>
        <v>5.28</v>
      </c>
      <c r="G1352" s="1081">
        <f>[30]MW!G915</f>
        <v>6.34</v>
      </c>
      <c r="H1352" s="1081">
        <f>[30]MW!H915</f>
        <v>6.65</v>
      </c>
      <c r="I1352" s="1081">
        <f>[30]MW!I915</f>
        <v>6.74</v>
      </c>
      <c r="J1352" s="1081">
        <f>[30]MW!J915</f>
        <v>6.47</v>
      </c>
      <c r="K1352" s="1081">
        <f>[30]MW!K915</f>
        <v>4.76</v>
      </c>
      <c r="L1352" s="1081">
        <f>[30]MW!L915</f>
        <v>5</v>
      </c>
      <c r="M1352" s="1081">
        <f>[30]MW!M915</f>
        <v>5.81</v>
      </c>
      <c r="N1352" s="26">
        <f t="shared" si="660"/>
        <v>68.16</v>
      </c>
    </row>
    <row r="1353" spans="1:14">
      <c r="A1353" s="2">
        <f t="shared" si="659"/>
        <v>2040</v>
      </c>
      <c r="B1353" s="1081">
        <f>[30]MW!B916</f>
        <v>6.45</v>
      </c>
      <c r="C1353" s="1081">
        <f>[30]MW!C916</f>
        <v>5.28</v>
      </c>
      <c r="D1353" s="1081">
        <f>[30]MW!D916</f>
        <v>5.08</v>
      </c>
      <c r="E1353" s="1081">
        <f>[30]MW!E916</f>
        <v>4.4800000000000004</v>
      </c>
      <c r="F1353" s="1081">
        <f>[30]MW!F916</f>
        <v>5.3</v>
      </c>
      <c r="G1353" s="1081">
        <f>[30]MW!G916</f>
        <v>6.38</v>
      </c>
      <c r="H1353" s="1081">
        <f>[30]MW!H916</f>
        <v>6.7</v>
      </c>
      <c r="I1353" s="1081">
        <f>[30]MW!I916</f>
        <v>6.79</v>
      </c>
      <c r="J1353" s="1081">
        <f>[30]MW!J916</f>
        <v>6.52</v>
      </c>
      <c r="K1353" s="1081">
        <f>[30]MW!K916</f>
        <v>4.8</v>
      </c>
      <c r="L1353" s="1081">
        <f>[30]MW!L916</f>
        <v>5.04</v>
      </c>
      <c r="M1353" s="1081">
        <f>[30]MW!M916</f>
        <v>5.86</v>
      </c>
      <c r="N1353" s="26">
        <f t="shared" si="660"/>
        <v>68.680000000000007</v>
      </c>
    </row>
    <row r="1354" spans="1:14">
      <c r="A1354" s="2">
        <f t="shared" si="659"/>
        <v>2041</v>
      </c>
    </row>
    <row r="1355" spans="1:14">
      <c r="A1355" s="2">
        <f t="shared" si="659"/>
        <v>2042</v>
      </c>
    </row>
    <row r="1356" spans="1:14">
      <c r="A1356" s="2">
        <f t="shared" si="659"/>
        <v>2043</v>
      </c>
    </row>
    <row r="1357" spans="1:14">
      <c r="A1357" s="2">
        <f t="shared" si="659"/>
        <v>2044</v>
      </c>
    </row>
    <row r="1358" spans="1:14">
      <c r="A1358" s="2">
        <f t="shared" si="659"/>
        <v>2045</v>
      </c>
    </row>
    <row r="1361" spans="1:14">
      <c r="A1361" s="31" t="s">
        <v>364</v>
      </c>
    </row>
    <row r="1362" spans="1:14" s="27" customFormat="1">
      <c r="A1362" s="27" t="s">
        <v>9</v>
      </c>
      <c r="B1362" s="27" t="s">
        <v>28</v>
      </c>
      <c r="C1362" s="27" t="s">
        <v>29</v>
      </c>
      <c r="D1362" s="27" t="s">
        <v>30</v>
      </c>
      <c r="E1362" s="27" t="s">
        <v>31</v>
      </c>
      <c r="F1362" s="27" t="s">
        <v>32</v>
      </c>
      <c r="G1362" s="27" t="s">
        <v>33</v>
      </c>
      <c r="H1362" s="27" t="s">
        <v>34</v>
      </c>
      <c r="I1362" s="27" t="s">
        <v>35</v>
      </c>
      <c r="J1362" s="27" t="s">
        <v>36</v>
      </c>
      <c r="K1362" s="27" t="s">
        <v>37</v>
      </c>
      <c r="L1362" s="27" t="s">
        <v>38</v>
      </c>
      <c r="M1362" s="27" t="s">
        <v>39</v>
      </c>
      <c r="N1362" s="33" t="s">
        <v>56</v>
      </c>
    </row>
    <row r="1363" spans="1:14">
      <c r="A1363" s="2">
        <f>A1283</f>
        <v>2010</v>
      </c>
      <c r="B1363" s="34">
        <f>[30]MW!B926</f>
        <v>11.65405847474954</v>
      </c>
      <c r="C1363" s="34">
        <f>[30]MW!C926</f>
        <v>11.65405847474954</v>
      </c>
      <c r="D1363" s="34">
        <f>[30]MW!D926</f>
        <v>11.65405847474954</v>
      </c>
      <c r="E1363" s="34">
        <f>[30]MW!E926</f>
        <v>11.65405847474954</v>
      </c>
      <c r="F1363" s="34">
        <f>[30]MW!F926</f>
        <v>11.65405847474954</v>
      </c>
      <c r="G1363" s="34">
        <f>[30]MW!G926</f>
        <v>11.65405847474954</v>
      </c>
      <c r="H1363" s="34">
        <f>[30]MW!H926</f>
        <v>11.65405847474954</v>
      </c>
      <c r="I1363" s="34">
        <f>[30]MW!I926</f>
        <v>11.648104628588944</v>
      </c>
      <c r="J1363" s="34">
        <f>[30]MW!J926</f>
        <v>11.648104628588944</v>
      </c>
      <c r="K1363" s="34">
        <f>[30]MW!K926</f>
        <v>11.648104628588944</v>
      </c>
      <c r="L1363" s="34">
        <f>[30]MW!L926</f>
        <v>11.648104628588944</v>
      </c>
      <c r="M1363" s="34">
        <f>[30]MW!M926</f>
        <v>11.648104628588944</v>
      </c>
      <c r="N1363" s="25">
        <f t="shared" ref="N1363:N1373" si="661">SUM(B1363:M1363)</f>
        <v>139.81893246619148</v>
      </c>
    </row>
    <row r="1364" spans="1:14">
      <c r="A1364" s="2">
        <f t="shared" ref="A1364:A1398" si="662">A1284</f>
        <v>2011</v>
      </c>
      <c r="B1364" s="1081">
        <f>[30]MW!B927</f>
        <v>11.648104628588944</v>
      </c>
      <c r="C1364" s="1081">
        <f>[30]MW!C927</f>
        <v>11.648104628588944</v>
      </c>
      <c r="D1364" s="1081">
        <f>[30]MW!D927</f>
        <v>11.648104628588944</v>
      </c>
      <c r="E1364" s="1081">
        <f>[30]MW!E927</f>
        <v>11.648104628588944</v>
      </c>
      <c r="F1364" s="1081">
        <f>[30]MW!F927</f>
        <v>11.621979814456113</v>
      </c>
      <c r="G1364" s="1081">
        <f>[30]MW!G927</f>
        <v>11.621979814456113</v>
      </c>
      <c r="H1364" s="1081">
        <f>[30]MW!H927</f>
        <v>11.621979814456113</v>
      </c>
      <c r="I1364" s="1081">
        <f>[30]MW!I927</f>
        <v>11.621979814456113</v>
      </c>
      <c r="J1364" s="1081">
        <f>[30]MW!J927</f>
        <v>11.621979814456113</v>
      </c>
      <c r="K1364" s="1081">
        <f>[30]MW!K927</f>
        <v>11.621979814456113</v>
      </c>
      <c r="L1364" s="1081">
        <f>[30]MW!L927</f>
        <v>11.621979814456113</v>
      </c>
      <c r="M1364" s="1081">
        <f>[30]MW!M927</f>
        <v>11.621979814456113</v>
      </c>
      <c r="N1364" s="25">
        <f t="shared" si="661"/>
        <v>139.56825703000467</v>
      </c>
    </row>
    <row r="1365" spans="1:14">
      <c r="A1365" s="2">
        <f t="shared" si="662"/>
        <v>2012</v>
      </c>
      <c r="B1365" s="1081">
        <f>[30]MW!B928</f>
        <v>11.607999999999999</v>
      </c>
      <c r="C1365" s="1081">
        <f>[30]MW!C928</f>
        <v>11.607999999999999</v>
      </c>
      <c r="D1365" s="1081">
        <f>[30]MW!D928</f>
        <v>11.607999999999999</v>
      </c>
      <c r="E1365" s="1081">
        <f>[30]MW!E928</f>
        <v>11.607999999999999</v>
      </c>
      <c r="F1365" s="1081">
        <f>[30]MW!F928</f>
        <v>11.607999999999999</v>
      </c>
      <c r="G1365" s="1081">
        <f>[30]MW!G928</f>
        <v>11.607999999999999</v>
      </c>
      <c r="H1365" s="1081">
        <f>[30]MW!H928</f>
        <v>11.607999999999999</v>
      </c>
      <c r="I1365" s="1081">
        <f>[30]MW!I928</f>
        <v>11.607999999999999</v>
      </c>
      <c r="J1365" s="1081">
        <f>[30]MW!J928</f>
        <v>11.607999999999999</v>
      </c>
      <c r="K1365" s="1081">
        <f>[30]MW!K928</f>
        <v>11.607999999999999</v>
      </c>
      <c r="L1365" s="1081">
        <f>[30]MW!L928</f>
        <v>11.607999999999999</v>
      </c>
      <c r="M1365" s="1081">
        <f>[30]MW!M928</f>
        <v>11.607999999999999</v>
      </c>
      <c r="N1365" s="25">
        <f t="shared" si="661"/>
        <v>139.29600000000002</v>
      </c>
    </row>
    <row r="1366" spans="1:14">
      <c r="A1366" s="2">
        <f t="shared" si="662"/>
        <v>2013</v>
      </c>
      <c r="B1366" s="1081">
        <f>[30]MW!B929</f>
        <v>0</v>
      </c>
      <c r="C1366" s="1081">
        <f>[30]MW!C929</f>
        <v>0</v>
      </c>
      <c r="D1366" s="1081">
        <f>[30]MW!D929</f>
        <v>0</v>
      </c>
      <c r="E1366" s="1081">
        <f>[30]MW!E929</f>
        <v>0</v>
      </c>
      <c r="F1366" s="1081">
        <f>[30]MW!F929</f>
        <v>0</v>
      </c>
      <c r="G1366" s="1081">
        <f>[30]MW!G929</f>
        <v>0</v>
      </c>
      <c r="H1366" s="1081">
        <f>[30]MW!H929</f>
        <v>0</v>
      </c>
      <c r="I1366" s="1081">
        <f>[30]MW!I929</f>
        <v>0</v>
      </c>
      <c r="J1366" s="1081">
        <f>[30]MW!J929</f>
        <v>0</v>
      </c>
      <c r="K1366" s="1081">
        <f>[30]MW!K929</f>
        <v>0</v>
      </c>
      <c r="L1366" s="1081">
        <f>[30]MW!L929</f>
        <v>0</v>
      </c>
      <c r="M1366" s="1081">
        <f>[30]MW!M929</f>
        <v>0</v>
      </c>
      <c r="N1366" s="25">
        <f t="shared" si="661"/>
        <v>0</v>
      </c>
    </row>
    <row r="1367" spans="1:14">
      <c r="A1367" s="2">
        <f t="shared" si="662"/>
        <v>2014</v>
      </c>
      <c r="B1367" s="1081">
        <f>[30]MW!B930</f>
        <v>0</v>
      </c>
      <c r="C1367" s="1081">
        <f>[30]MW!C930</f>
        <v>0</v>
      </c>
      <c r="D1367" s="1081">
        <f>[30]MW!D930</f>
        <v>0</v>
      </c>
      <c r="E1367" s="1081">
        <f>[30]MW!E930</f>
        <v>0</v>
      </c>
      <c r="F1367" s="1081">
        <f>[30]MW!F930</f>
        <v>0</v>
      </c>
      <c r="G1367" s="1081">
        <f>[30]MW!G930</f>
        <v>0</v>
      </c>
      <c r="H1367" s="1081">
        <f>[30]MW!H930</f>
        <v>0</v>
      </c>
      <c r="I1367" s="1081">
        <f>[30]MW!I930</f>
        <v>0</v>
      </c>
      <c r="J1367" s="1081">
        <f>[30]MW!J930</f>
        <v>0</v>
      </c>
      <c r="K1367" s="1081">
        <f>[30]MW!K930</f>
        <v>0</v>
      </c>
      <c r="L1367" s="1081">
        <f>[30]MW!L930</f>
        <v>0</v>
      </c>
      <c r="M1367" s="1081">
        <f>[30]MW!M930</f>
        <v>0</v>
      </c>
      <c r="N1367" s="25">
        <f t="shared" si="661"/>
        <v>0</v>
      </c>
    </row>
    <row r="1368" spans="1:14">
      <c r="A1368" s="2">
        <f t="shared" si="662"/>
        <v>2015</v>
      </c>
      <c r="B1368" s="1081">
        <f>[30]MW!B931</f>
        <v>0</v>
      </c>
      <c r="C1368" s="1081">
        <f>[30]MW!C931</f>
        <v>0</v>
      </c>
      <c r="D1368" s="1081">
        <f>[30]MW!D931</f>
        <v>0</v>
      </c>
      <c r="E1368" s="1081">
        <f>[30]MW!E931</f>
        <v>0</v>
      </c>
      <c r="F1368" s="1081">
        <f>[30]MW!F931</f>
        <v>0</v>
      </c>
      <c r="G1368" s="1081">
        <f>[30]MW!G931</f>
        <v>0</v>
      </c>
      <c r="H1368" s="1081">
        <f>[30]MW!H931</f>
        <v>0</v>
      </c>
      <c r="I1368" s="1081">
        <f>[30]MW!I931</f>
        <v>0</v>
      </c>
      <c r="J1368" s="1081">
        <f>[30]MW!J931</f>
        <v>0</v>
      </c>
      <c r="K1368" s="1081">
        <f>[30]MW!K931</f>
        <v>0</v>
      </c>
      <c r="L1368" s="1081">
        <f>[30]MW!L931</f>
        <v>0</v>
      </c>
      <c r="M1368" s="1081">
        <f>[30]MW!M931</f>
        <v>0</v>
      </c>
      <c r="N1368" s="25">
        <f t="shared" si="661"/>
        <v>0</v>
      </c>
    </row>
    <row r="1369" spans="1:14">
      <c r="A1369" s="2">
        <f t="shared" si="662"/>
        <v>2016</v>
      </c>
      <c r="B1369" s="1081">
        <f>[30]MW!B932</f>
        <v>0</v>
      </c>
      <c r="C1369" s="1081">
        <f>[30]MW!C932</f>
        <v>0</v>
      </c>
      <c r="D1369" s="1081">
        <f>[30]MW!D932</f>
        <v>0</v>
      </c>
      <c r="E1369" s="1081">
        <f>[30]MW!E932</f>
        <v>0</v>
      </c>
      <c r="F1369" s="1081">
        <f>[30]MW!F932</f>
        <v>0</v>
      </c>
      <c r="G1369" s="1081">
        <f>[30]MW!G932</f>
        <v>0</v>
      </c>
      <c r="H1369" s="1081">
        <f>[30]MW!H932</f>
        <v>0</v>
      </c>
      <c r="I1369" s="1081">
        <f>[30]MW!I932</f>
        <v>0</v>
      </c>
      <c r="J1369" s="1081">
        <f>[30]MW!J932</f>
        <v>0</v>
      </c>
      <c r="K1369" s="1081">
        <f>[30]MW!K932</f>
        <v>0</v>
      </c>
      <c r="L1369" s="1081">
        <f>[30]MW!L932</f>
        <v>0</v>
      </c>
      <c r="M1369" s="1081">
        <f>[30]MW!M932</f>
        <v>0</v>
      </c>
      <c r="N1369" s="25">
        <f t="shared" si="661"/>
        <v>0</v>
      </c>
    </row>
    <row r="1370" spans="1:14">
      <c r="A1370" s="2">
        <f t="shared" si="662"/>
        <v>2017</v>
      </c>
      <c r="B1370" s="1081">
        <f>[30]MW!B933</f>
        <v>0</v>
      </c>
      <c r="C1370" s="1081">
        <f>[30]MW!C933</f>
        <v>0</v>
      </c>
      <c r="D1370" s="1081">
        <f>[30]MW!D933</f>
        <v>0</v>
      </c>
      <c r="E1370" s="1081">
        <f>[30]MW!E933</f>
        <v>0</v>
      </c>
      <c r="F1370" s="1081">
        <f>[30]MW!F933</f>
        <v>0</v>
      </c>
      <c r="G1370" s="1081">
        <f>[30]MW!G933</f>
        <v>0</v>
      </c>
      <c r="H1370" s="1081">
        <f>[30]MW!H933</f>
        <v>0</v>
      </c>
      <c r="I1370" s="1081">
        <f>[30]MW!I933</f>
        <v>0</v>
      </c>
      <c r="J1370" s="1081">
        <f>[30]MW!J933</f>
        <v>0</v>
      </c>
      <c r="K1370" s="1081">
        <f>[30]MW!K933</f>
        <v>0</v>
      </c>
      <c r="L1370" s="1081">
        <f>[30]MW!L933</f>
        <v>0</v>
      </c>
      <c r="M1370" s="1081">
        <f>[30]MW!M933</f>
        <v>0</v>
      </c>
      <c r="N1370" s="25">
        <f t="shared" si="661"/>
        <v>0</v>
      </c>
    </row>
    <row r="1371" spans="1:14">
      <c r="A1371" s="2">
        <f t="shared" si="662"/>
        <v>2018</v>
      </c>
      <c r="B1371" s="1081">
        <f>[30]MW!B934</f>
        <v>0</v>
      </c>
      <c r="C1371" s="1081">
        <f>[30]MW!C934</f>
        <v>0</v>
      </c>
      <c r="D1371" s="1081">
        <f>[30]MW!D934</f>
        <v>0</v>
      </c>
      <c r="E1371" s="1081">
        <f>[30]MW!E934</f>
        <v>0</v>
      </c>
      <c r="F1371" s="1081">
        <f>[30]MW!F934</f>
        <v>0</v>
      </c>
      <c r="G1371" s="1081">
        <f>[30]MW!G934</f>
        <v>0</v>
      </c>
      <c r="H1371" s="1081">
        <f>[30]MW!H934</f>
        <v>0</v>
      </c>
      <c r="I1371" s="1081">
        <f>[30]MW!I934</f>
        <v>0</v>
      </c>
      <c r="J1371" s="1081">
        <f>[30]MW!J934</f>
        <v>0</v>
      </c>
      <c r="K1371" s="1081">
        <f>[30]MW!K934</f>
        <v>0</v>
      </c>
      <c r="L1371" s="1081">
        <f>[30]MW!L934</f>
        <v>0</v>
      </c>
      <c r="M1371" s="1081">
        <f>[30]MW!M934</f>
        <v>0</v>
      </c>
      <c r="N1371" s="25">
        <f t="shared" si="661"/>
        <v>0</v>
      </c>
    </row>
    <row r="1372" spans="1:14">
      <c r="A1372" s="2">
        <f t="shared" si="662"/>
        <v>2019</v>
      </c>
      <c r="B1372" s="1081">
        <f>[30]MW!B935</f>
        <v>0</v>
      </c>
      <c r="C1372" s="1081">
        <f>[30]MW!C935</f>
        <v>0</v>
      </c>
      <c r="D1372" s="1081">
        <f>[30]MW!D935</f>
        <v>0</v>
      </c>
      <c r="E1372" s="1081">
        <f>[30]MW!E935</f>
        <v>0</v>
      </c>
      <c r="F1372" s="1081">
        <f>[30]MW!F935</f>
        <v>0</v>
      </c>
      <c r="G1372" s="1081">
        <f>[30]MW!G935</f>
        <v>0</v>
      </c>
      <c r="H1372" s="1081">
        <f>[30]MW!H935</f>
        <v>0</v>
      </c>
      <c r="I1372" s="1081">
        <f>[30]MW!I935</f>
        <v>0</v>
      </c>
      <c r="J1372" s="1081">
        <f>[30]MW!J935</f>
        <v>0</v>
      </c>
      <c r="K1372" s="1081">
        <f>[30]MW!K935</f>
        <v>0</v>
      </c>
      <c r="L1372" s="1081">
        <f>[30]MW!L935</f>
        <v>0</v>
      </c>
      <c r="M1372" s="1081">
        <f>[30]MW!M935</f>
        <v>0</v>
      </c>
      <c r="N1372" s="25">
        <f t="shared" si="661"/>
        <v>0</v>
      </c>
    </row>
    <row r="1373" spans="1:14">
      <c r="A1373" s="2">
        <f t="shared" si="662"/>
        <v>2020</v>
      </c>
      <c r="B1373" s="1081">
        <f>[30]MW!B936</f>
        <v>0</v>
      </c>
      <c r="C1373" s="1081">
        <f>[30]MW!C936</f>
        <v>0</v>
      </c>
      <c r="D1373" s="1081">
        <f>[30]MW!D936</f>
        <v>0</v>
      </c>
      <c r="E1373" s="1081">
        <f>[30]MW!E936</f>
        <v>0</v>
      </c>
      <c r="F1373" s="1081">
        <f>[30]MW!F936</f>
        <v>0</v>
      </c>
      <c r="G1373" s="1081">
        <f>[30]MW!G936</f>
        <v>0</v>
      </c>
      <c r="H1373" s="1081">
        <f>[30]MW!H936</f>
        <v>0</v>
      </c>
      <c r="I1373" s="1081">
        <f>[30]MW!I936</f>
        <v>0</v>
      </c>
      <c r="J1373" s="1081">
        <f>[30]MW!J936</f>
        <v>0</v>
      </c>
      <c r="K1373" s="1081">
        <f>[30]MW!K936</f>
        <v>0</v>
      </c>
      <c r="L1373" s="1081">
        <f>[30]MW!L936</f>
        <v>0</v>
      </c>
      <c r="M1373" s="1081">
        <f>[30]MW!M936</f>
        <v>0</v>
      </c>
      <c r="N1373" s="25">
        <f t="shared" si="661"/>
        <v>0</v>
      </c>
    </row>
    <row r="1374" spans="1:14">
      <c r="A1374" s="2">
        <f t="shared" si="662"/>
        <v>2021</v>
      </c>
      <c r="B1374" s="1081">
        <f>[30]MW!B937</f>
        <v>0</v>
      </c>
      <c r="C1374" s="1081">
        <f>[30]MW!C937</f>
        <v>0</v>
      </c>
      <c r="D1374" s="1081">
        <f>[30]MW!D937</f>
        <v>0</v>
      </c>
      <c r="E1374" s="1081">
        <f>[30]MW!E937</f>
        <v>0</v>
      </c>
      <c r="F1374" s="1081">
        <f>[30]MW!F937</f>
        <v>0</v>
      </c>
      <c r="G1374" s="1081">
        <f>[30]MW!G937</f>
        <v>0</v>
      </c>
      <c r="H1374" s="1081">
        <f>[30]MW!H937</f>
        <v>0</v>
      </c>
      <c r="I1374" s="1081">
        <f>[30]MW!I937</f>
        <v>0</v>
      </c>
      <c r="J1374" s="1081">
        <f>[30]MW!J937</f>
        <v>0</v>
      </c>
      <c r="K1374" s="1081">
        <f>[30]MW!K937</f>
        <v>0</v>
      </c>
      <c r="L1374" s="1081">
        <f>[30]MW!L937</f>
        <v>0</v>
      </c>
      <c r="M1374" s="1081">
        <f>[30]MW!M937</f>
        <v>0</v>
      </c>
      <c r="N1374" s="25">
        <f t="shared" ref="N1374:N1379" si="663">SUM(B1374:M1374)</f>
        <v>0</v>
      </c>
    </row>
    <row r="1375" spans="1:14">
      <c r="A1375" s="2">
        <f t="shared" si="662"/>
        <v>2022</v>
      </c>
      <c r="B1375" s="1081">
        <f>[30]MW!B938</f>
        <v>0</v>
      </c>
      <c r="C1375" s="1081">
        <f>[30]MW!C938</f>
        <v>0</v>
      </c>
      <c r="D1375" s="1081">
        <f>[30]MW!D938</f>
        <v>0</v>
      </c>
      <c r="E1375" s="1081">
        <f>[30]MW!E938</f>
        <v>0</v>
      </c>
      <c r="F1375" s="1081">
        <f>[30]MW!F938</f>
        <v>0</v>
      </c>
      <c r="G1375" s="1081">
        <f>[30]MW!G938</f>
        <v>0</v>
      </c>
      <c r="H1375" s="1081">
        <f>[30]MW!H938</f>
        <v>0</v>
      </c>
      <c r="I1375" s="1081">
        <f>[30]MW!I938</f>
        <v>0</v>
      </c>
      <c r="J1375" s="1081">
        <f>[30]MW!J938</f>
        <v>0</v>
      </c>
      <c r="K1375" s="1081">
        <f>[30]MW!K938</f>
        <v>0</v>
      </c>
      <c r="L1375" s="1081">
        <f>[30]MW!L938</f>
        <v>0</v>
      </c>
      <c r="M1375" s="1081">
        <f>[30]MW!M938</f>
        <v>0</v>
      </c>
      <c r="N1375" s="25">
        <f t="shared" si="663"/>
        <v>0</v>
      </c>
    </row>
    <row r="1376" spans="1:14">
      <c r="A1376" s="2">
        <f t="shared" si="662"/>
        <v>2023</v>
      </c>
      <c r="B1376" s="1081">
        <f>[30]MW!B939</f>
        <v>0</v>
      </c>
      <c r="C1376" s="1081">
        <f>[30]MW!C939</f>
        <v>0</v>
      </c>
      <c r="D1376" s="1081">
        <f>[30]MW!D939</f>
        <v>0</v>
      </c>
      <c r="E1376" s="1081">
        <f>[30]MW!E939</f>
        <v>0</v>
      </c>
      <c r="F1376" s="1081">
        <f>[30]MW!F939</f>
        <v>0</v>
      </c>
      <c r="G1376" s="1081">
        <f>[30]MW!G939</f>
        <v>0</v>
      </c>
      <c r="H1376" s="1081">
        <f>[30]MW!H939</f>
        <v>0</v>
      </c>
      <c r="I1376" s="1081">
        <f>[30]MW!I939</f>
        <v>0</v>
      </c>
      <c r="J1376" s="1081">
        <f>[30]MW!J939</f>
        <v>0</v>
      </c>
      <c r="K1376" s="1081">
        <f>[30]MW!K939</f>
        <v>0</v>
      </c>
      <c r="L1376" s="1081">
        <f>[30]MW!L939</f>
        <v>0</v>
      </c>
      <c r="M1376" s="1081">
        <f>[30]MW!M939</f>
        <v>0</v>
      </c>
      <c r="N1376" s="25">
        <f t="shared" si="663"/>
        <v>0</v>
      </c>
    </row>
    <row r="1377" spans="1:14">
      <c r="A1377" s="2">
        <f t="shared" si="662"/>
        <v>2024</v>
      </c>
      <c r="B1377" s="1081">
        <f>[30]MW!B940</f>
        <v>0</v>
      </c>
      <c r="C1377" s="1081">
        <f>[30]MW!C940</f>
        <v>0</v>
      </c>
      <c r="D1377" s="1081">
        <f>[30]MW!D940</f>
        <v>0</v>
      </c>
      <c r="E1377" s="1081">
        <f>[30]MW!E940</f>
        <v>0</v>
      </c>
      <c r="F1377" s="1081">
        <f>[30]MW!F940</f>
        <v>0</v>
      </c>
      <c r="G1377" s="1081">
        <f>[30]MW!G940</f>
        <v>0</v>
      </c>
      <c r="H1377" s="1081">
        <f>[30]MW!H940</f>
        <v>0</v>
      </c>
      <c r="I1377" s="1081">
        <f>[30]MW!I940</f>
        <v>0</v>
      </c>
      <c r="J1377" s="1081">
        <f>[30]MW!J940</f>
        <v>0</v>
      </c>
      <c r="K1377" s="1081">
        <f>[30]MW!K940</f>
        <v>0</v>
      </c>
      <c r="L1377" s="1081">
        <f>[30]MW!L940</f>
        <v>0</v>
      </c>
      <c r="M1377" s="1081">
        <f>[30]MW!M940</f>
        <v>0</v>
      </c>
      <c r="N1377" s="25">
        <f t="shared" si="663"/>
        <v>0</v>
      </c>
    </row>
    <row r="1378" spans="1:14">
      <c r="A1378" s="2">
        <f t="shared" si="662"/>
        <v>2025</v>
      </c>
      <c r="B1378" s="1081">
        <f>[30]MW!B941</f>
        <v>0</v>
      </c>
      <c r="C1378" s="1081">
        <f>[30]MW!C941</f>
        <v>0</v>
      </c>
      <c r="D1378" s="1081">
        <f>[30]MW!D941</f>
        <v>0</v>
      </c>
      <c r="E1378" s="1081">
        <f>[30]MW!E941</f>
        <v>0</v>
      </c>
      <c r="F1378" s="1081">
        <f>[30]MW!F941</f>
        <v>0</v>
      </c>
      <c r="G1378" s="1081">
        <f>[30]MW!G941</f>
        <v>0</v>
      </c>
      <c r="H1378" s="1081">
        <f>[30]MW!H941</f>
        <v>0</v>
      </c>
      <c r="I1378" s="1081">
        <f>[30]MW!I941</f>
        <v>0</v>
      </c>
      <c r="J1378" s="1081">
        <f>[30]MW!J941</f>
        <v>0</v>
      </c>
      <c r="K1378" s="1081">
        <f>[30]MW!K941</f>
        <v>0</v>
      </c>
      <c r="L1378" s="1081">
        <f>[30]MW!L941</f>
        <v>0</v>
      </c>
      <c r="M1378" s="1081">
        <f>[30]MW!M941</f>
        <v>0</v>
      </c>
      <c r="N1378" s="25">
        <f t="shared" si="663"/>
        <v>0</v>
      </c>
    </row>
    <row r="1379" spans="1:14">
      <c r="A1379" s="2">
        <f t="shared" si="662"/>
        <v>2026</v>
      </c>
      <c r="B1379" s="1081">
        <f>[30]MW!B942</f>
        <v>0</v>
      </c>
      <c r="C1379" s="1081">
        <f>[30]MW!C942</f>
        <v>0</v>
      </c>
      <c r="D1379" s="1081">
        <f>[30]MW!D942</f>
        <v>0</v>
      </c>
      <c r="E1379" s="1081">
        <f>[30]MW!E942</f>
        <v>0</v>
      </c>
      <c r="F1379" s="1081">
        <f>[30]MW!F942</f>
        <v>0</v>
      </c>
      <c r="G1379" s="1081">
        <f>[30]MW!G942</f>
        <v>0</v>
      </c>
      <c r="H1379" s="1081">
        <f>[30]MW!H942</f>
        <v>0</v>
      </c>
      <c r="I1379" s="1081">
        <f>[30]MW!I942</f>
        <v>0</v>
      </c>
      <c r="J1379" s="1081">
        <f>[30]MW!J942</f>
        <v>0</v>
      </c>
      <c r="K1379" s="1081">
        <f>[30]MW!K942</f>
        <v>0</v>
      </c>
      <c r="L1379" s="1081">
        <f>[30]MW!L942</f>
        <v>0</v>
      </c>
      <c r="M1379" s="1081">
        <f>[30]MW!M942</f>
        <v>0</v>
      </c>
      <c r="N1379" s="25">
        <f t="shared" si="663"/>
        <v>0</v>
      </c>
    </row>
    <row r="1380" spans="1:14">
      <c r="A1380" s="2">
        <f t="shared" si="662"/>
        <v>2027</v>
      </c>
      <c r="B1380" s="1081">
        <f>[30]MW!B943</f>
        <v>0</v>
      </c>
      <c r="C1380" s="1081">
        <f>[30]MW!C943</f>
        <v>0</v>
      </c>
      <c r="D1380" s="1081">
        <f>[30]MW!D943</f>
        <v>0</v>
      </c>
      <c r="E1380" s="1081">
        <f>[30]MW!E943</f>
        <v>0</v>
      </c>
      <c r="F1380" s="1081">
        <f>[30]MW!F943</f>
        <v>0</v>
      </c>
      <c r="G1380" s="1081">
        <f>[30]MW!G943</f>
        <v>0</v>
      </c>
      <c r="H1380" s="1081">
        <f>[30]MW!H943</f>
        <v>0</v>
      </c>
      <c r="I1380" s="1081">
        <f>[30]MW!I943</f>
        <v>0</v>
      </c>
      <c r="J1380" s="1081">
        <f>[30]MW!J943</f>
        <v>0</v>
      </c>
      <c r="K1380" s="1081">
        <f>[30]MW!K943</f>
        <v>0</v>
      </c>
      <c r="L1380" s="1081">
        <f>[30]MW!L943</f>
        <v>0</v>
      </c>
      <c r="M1380" s="1081">
        <f>[30]MW!M943</f>
        <v>0</v>
      </c>
      <c r="N1380" s="25">
        <f>SUM(B1380:M1380)</f>
        <v>0</v>
      </c>
    </row>
    <row r="1381" spans="1:14">
      <c r="A1381" s="2">
        <f t="shared" si="662"/>
        <v>2028</v>
      </c>
      <c r="B1381" s="1081">
        <f>[30]MW!B944</f>
        <v>0</v>
      </c>
      <c r="C1381" s="1081">
        <f>[30]MW!C944</f>
        <v>0</v>
      </c>
      <c r="D1381" s="1081">
        <f>[30]MW!D944</f>
        <v>0</v>
      </c>
      <c r="E1381" s="1081">
        <f>[30]MW!E944</f>
        <v>0</v>
      </c>
      <c r="F1381" s="1081">
        <f>[30]MW!F944</f>
        <v>0</v>
      </c>
      <c r="G1381" s="1081">
        <f>[30]MW!G944</f>
        <v>0</v>
      </c>
      <c r="H1381" s="1081">
        <f>[30]MW!H944</f>
        <v>0</v>
      </c>
      <c r="I1381" s="1081">
        <f>[30]MW!I944</f>
        <v>0</v>
      </c>
      <c r="J1381" s="1081">
        <f>[30]MW!J944</f>
        <v>0</v>
      </c>
      <c r="K1381" s="1081">
        <f>[30]MW!K944</f>
        <v>0</v>
      </c>
      <c r="L1381" s="1081">
        <f>[30]MW!L944</f>
        <v>0</v>
      </c>
      <c r="M1381" s="1081">
        <f>[30]MW!M944</f>
        <v>0</v>
      </c>
      <c r="N1381" s="25">
        <f>SUM(B1381:M1381)</f>
        <v>0</v>
      </c>
    </row>
    <row r="1382" spans="1:14">
      <c r="A1382" s="2">
        <f t="shared" si="662"/>
        <v>2029</v>
      </c>
      <c r="B1382" s="1081">
        <f>[30]MW!B945</f>
        <v>0</v>
      </c>
      <c r="C1382" s="1081">
        <f>[30]MW!C945</f>
        <v>0</v>
      </c>
      <c r="D1382" s="1081">
        <f>[30]MW!D945</f>
        <v>0</v>
      </c>
      <c r="E1382" s="1081">
        <f>[30]MW!E945</f>
        <v>0</v>
      </c>
      <c r="F1382" s="1081">
        <f>[30]MW!F945</f>
        <v>0</v>
      </c>
      <c r="G1382" s="1081">
        <f>[30]MW!G945</f>
        <v>0</v>
      </c>
      <c r="H1382" s="1081">
        <f>[30]MW!H945</f>
        <v>0</v>
      </c>
      <c r="I1382" s="1081">
        <f>[30]MW!I945</f>
        <v>0</v>
      </c>
      <c r="J1382" s="1081">
        <f>[30]MW!J945</f>
        <v>0</v>
      </c>
      <c r="K1382" s="1081">
        <f>[30]MW!K945</f>
        <v>0</v>
      </c>
      <c r="L1382" s="1081">
        <f>[30]MW!L945</f>
        <v>0</v>
      </c>
      <c r="M1382" s="1081">
        <f>[30]MW!M945</f>
        <v>0</v>
      </c>
      <c r="N1382" s="25">
        <f>SUM(B1382:M1382)</f>
        <v>0</v>
      </c>
    </row>
    <row r="1383" spans="1:14">
      <c r="A1383" s="2">
        <f t="shared" si="662"/>
        <v>2030</v>
      </c>
      <c r="B1383" s="1081">
        <f>[30]MW!B946</f>
        <v>0</v>
      </c>
      <c r="C1383" s="1081">
        <f>[30]MW!C946</f>
        <v>0</v>
      </c>
      <c r="D1383" s="1081">
        <f>[30]MW!D946</f>
        <v>0</v>
      </c>
      <c r="E1383" s="1081">
        <f>[30]MW!E946</f>
        <v>0</v>
      </c>
      <c r="F1383" s="1081">
        <f>[30]MW!F946</f>
        <v>0</v>
      </c>
      <c r="G1383" s="1081">
        <f>[30]MW!G946</f>
        <v>0</v>
      </c>
      <c r="H1383" s="1081">
        <f>[30]MW!H946</f>
        <v>0</v>
      </c>
      <c r="I1383" s="1081">
        <f>[30]MW!I946</f>
        <v>0</v>
      </c>
      <c r="J1383" s="1081">
        <f>[30]MW!J946</f>
        <v>0</v>
      </c>
      <c r="K1383" s="1081">
        <f>[30]MW!K946</f>
        <v>0</v>
      </c>
      <c r="L1383" s="1081">
        <f>[30]MW!L946</f>
        <v>0</v>
      </c>
      <c r="M1383" s="1081">
        <f>[30]MW!M946</f>
        <v>0</v>
      </c>
      <c r="N1383" s="25">
        <f>SUM(B1383:M1383)</f>
        <v>0</v>
      </c>
    </row>
    <row r="1384" spans="1:14">
      <c r="A1384" s="2">
        <f t="shared" si="662"/>
        <v>2031</v>
      </c>
      <c r="B1384" s="1081">
        <f>[30]MW!B947</f>
        <v>0</v>
      </c>
      <c r="C1384" s="1081">
        <f>[30]MW!C947</f>
        <v>0</v>
      </c>
      <c r="D1384" s="1081">
        <f>[30]MW!D947</f>
        <v>0</v>
      </c>
      <c r="E1384" s="1081">
        <f>[30]MW!E947</f>
        <v>0</v>
      </c>
      <c r="F1384" s="1081">
        <f>[30]MW!F947</f>
        <v>0</v>
      </c>
      <c r="G1384" s="1081">
        <f>[30]MW!G947</f>
        <v>0</v>
      </c>
      <c r="H1384" s="1081">
        <f>[30]MW!H947</f>
        <v>0</v>
      </c>
      <c r="I1384" s="1081">
        <f>[30]MW!I947</f>
        <v>0</v>
      </c>
      <c r="J1384" s="1081">
        <f>[30]MW!J947</f>
        <v>0</v>
      </c>
      <c r="K1384" s="1081">
        <f>[30]MW!K947</f>
        <v>0</v>
      </c>
      <c r="L1384" s="1081">
        <f>[30]MW!L947</f>
        <v>0</v>
      </c>
      <c r="M1384" s="1081">
        <f>[30]MW!M947</f>
        <v>0</v>
      </c>
      <c r="N1384" s="25">
        <f t="shared" ref="N1384:N1393" si="664">SUM(B1384:M1384)</f>
        <v>0</v>
      </c>
    </row>
    <row r="1385" spans="1:14">
      <c r="A1385" s="2">
        <f t="shared" si="662"/>
        <v>2032</v>
      </c>
      <c r="B1385" s="1081">
        <f>[30]MW!B948</f>
        <v>0</v>
      </c>
      <c r="C1385" s="1081">
        <f>[30]MW!C948</f>
        <v>0</v>
      </c>
      <c r="D1385" s="1081">
        <f>[30]MW!D948</f>
        <v>0</v>
      </c>
      <c r="E1385" s="1081">
        <f>[30]MW!E948</f>
        <v>0</v>
      </c>
      <c r="F1385" s="1081">
        <f>[30]MW!F948</f>
        <v>0</v>
      </c>
      <c r="G1385" s="1081">
        <f>[30]MW!G948</f>
        <v>0</v>
      </c>
      <c r="H1385" s="1081">
        <f>[30]MW!H948</f>
        <v>0</v>
      </c>
      <c r="I1385" s="1081">
        <f>[30]MW!I948</f>
        <v>0</v>
      </c>
      <c r="J1385" s="1081">
        <f>[30]MW!J948</f>
        <v>0</v>
      </c>
      <c r="K1385" s="1081">
        <f>[30]MW!K948</f>
        <v>0</v>
      </c>
      <c r="L1385" s="1081">
        <f>[30]MW!L948</f>
        <v>0</v>
      </c>
      <c r="M1385" s="1081">
        <f>[30]MW!M948</f>
        <v>0</v>
      </c>
      <c r="N1385" s="25">
        <f t="shared" si="664"/>
        <v>0</v>
      </c>
    </row>
    <row r="1386" spans="1:14">
      <c r="A1386" s="2">
        <f t="shared" si="662"/>
        <v>2033</v>
      </c>
      <c r="B1386" s="1081">
        <f>[30]MW!B949</f>
        <v>0</v>
      </c>
      <c r="C1386" s="1081">
        <f>[30]MW!C949</f>
        <v>0</v>
      </c>
      <c r="D1386" s="1081">
        <f>[30]MW!D949</f>
        <v>0</v>
      </c>
      <c r="E1386" s="1081">
        <f>[30]MW!E949</f>
        <v>0</v>
      </c>
      <c r="F1386" s="1081">
        <f>[30]MW!F949</f>
        <v>0</v>
      </c>
      <c r="G1386" s="1081">
        <f>[30]MW!G949</f>
        <v>0</v>
      </c>
      <c r="H1386" s="1081">
        <f>[30]MW!H949</f>
        <v>0</v>
      </c>
      <c r="I1386" s="1081">
        <f>[30]MW!I949</f>
        <v>0</v>
      </c>
      <c r="J1386" s="1081">
        <f>[30]MW!J949</f>
        <v>0</v>
      </c>
      <c r="K1386" s="1081">
        <f>[30]MW!K949</f>
        <v>0</v>
      </c>
      <c r="L1386" s="1081">
        <f>[30]MW!L949</f>
        <v>0</v>
      </c>
      <c r="M1386" s="1081">
        <f>[30]MW!M949</f>
        <v>0</v>
      </c>
      <c r="N1386" s="25">
        <f t="shared" si="664"/>
        <v>0</v>
      </c>
    </row>
    <row r="1387" spans="1:14">
      <c r="A1387" s="2">
        <f t="shared" si="662"/>
        <v>2034</v>
      </c>
      <c r="B1387" s="1081">
        <f>[30]MW!B950</f>
        <v>0</v>
      </c>
      <c r="C1387" s="1081">
        <f>[30]MW!C950</f>
        <v>0</v>
      </c>
      <c r="D1387" s="1081">
        <f>[30]MW!D950</f>
        <v>0</v>
      </c>
      <c r="E1387" s="1081">
        <f>[30]MW!E950</f>
        <v>0</v>
      </c>
      <c r="F1387" s="1081">
        <f>[30]MW!F950</f>
        <v>0</v>
      </c>
      <c r="G1387" s="1081">
        <f>[30]MW!G950</f>
        <v>0</v>
      </c>
      <c r="H1387" s="1081">
        <f>[30]MW!H950</f>
        <v>0</v>
      </c>
      <c r="I1387" s="1081">
        <f>[30]MW!I950</f>
        <v>0</v>
      </c>
      <c r="J1387" s="1081">
        <f>[30]MW!J950</f>
        <v>0</v>
      </c>
      <c r="K1387" s="1081">
        <f>[30]MW!K950</f>
        <v>0</v>
      </c>
      <c r="L1387" s="1081">
        <f>[30]MW!L950</f>
        <v>0</v>
      </c>
      <c r="M1387" s="1081">
        <f>[30]MW!M950</f>
        <v>0</v>
      </c>
      <c r="N1387" s="25">
        <f t="shared" si="664"/>
        <v>0</v>
      </c>
    </row>
    <row r="1388" spans="1:14">
      <c r="A1388" s="2">
        <f t="shared" si="662"/>
        <v>2035</v>
      </c>
      <c r="B1388" s="1081">
        <f>[30]MW!B951</f>
        <v>0</v>
      </c>
      <c r="C1388" s="1081">
        <f>[30]MW!C951</f>
        <v>0</v>
      </c>
      <c r="D1388" s="1081">
        <f>[30]MW!D951</f>
        <v>0</v>
      </c>
      <c r="E1388" s="1081">
        <f>[30]MW!E951</f>
        <v>0</v>
      </c>
      <c r="F1388" s="1081">
        <f>[30]MW!F951</f>
        <v>0</v>
      </c>
      <c r="G1388" s="1081">
        <f>[30]MW!G951</f>
        <v>0</v>
      </c>
      <c r="H1388" s="1081">
        <f>[30]MW!H951</f>
        <v>0</v>
      </c>
      <c r="I1388" s="1081">
        <f>[30]MW!I951</f>
        <v>0</v>
      </c>
      <c r="J1388" s="1081">
        <f>[30]MW!J951</f>
        <v>0</v>
      </c>
      <c r="K1388" s="1081">
        <f>[30]MW!K951</f>
        <v>0</v>
      </c>
      <c r="L1388" s="1081">
        <f>[30]MW!L951</f>
        <v>0</v>
      </c>
      <c r="M1388" s="1081">
        <f>[30]MW!M951</f>
        <v>0</v>
      </c>
      <c r="N1388" s="25">
        <f t="shared" si="664"/>
        <v>0</v>
      </c>
    </row>
    <row r="1389" spans="1:14">
      <c r="A1389" s="2">
        <f t="shared" si="662"/>
        <v>2036</v>
      </c>
      <c r="B1389" s="1081">
        <f>[30]MW!B952</f>
        <v>0</v>
      </c>
      <c r="C1389" s="1081">
        <f>[30]MW!C952</f>
        <v>0</v>
      </c>
      <c r="D1389" s="1081">
        <f>[30]MW!D952</f>
        <v>0</v>
      </c>
      <c r="E1389" s="1081">
        <f>[30]MW!E952</f>
        <v>0</v>
      </c>
      <c r="F1389" s="1081">
        <f>[30]MW!F952</f>
        <v>0</v>
      </c>
      <c r="G1389" s="1081">
        <f>[30]MW!G952</f>
        <v>0</v>
      </c>
      <c r="H1389" s="1081">
        <f>[30]MW!H952</f>
        <v>0</v>
      </c>
      <c r="I1389" s="1081">
        <f>[30]MW!I952</f>
        <v>0</v>
      </c>
      <c r="J1389" s="1081">
        <f>[30]MW!J952</f>
        <v>0</v>
      </c>
      <c r="K1389" s="1081">
        <f>[30]MW!K952</f>
        <v>0</v>
      </c>
      <c r="L1389" s="1081">
        <f>[30]MW!L952</f>
        <v>0</v>
      </c>
      <c r="M1389" s="1081">
        <f>[30]MW!M952</f>
        <v>0</v>
      </c>
      <c r="N1389" s="25">
        <f t="shared" si="664"/>
        <v>0</v>
      </c>
    </row>
    <row r="1390" spans="1:14">
      <c r="A1390" s="2">
        <f t="shared" si="662"/>
        <v>2037</v>
      </c>
      <c r="B1390" s="1081">
        <f>[30]MW!B953</f>
        <v>0</v>
      </c>
      <c r="C1390" s="1081">
        <f>[30]MW!C953</f>
        <v>0</v>
      </c>
      <c r="D1390" s="1081">
        <f>[30]MW!D953</f>
        <v>0</v>
      </c>
      <c r="E1390" s="1081">
        <f>[30]MW!E953</f>
        <v>0</v>
      </c>
      <c r="F1390" s="1081">
        <f>[30]MW!F953</f>
        <v>0</v>
      </c>
      <c r="G1390" s="1081">
        <f>[30]MW!G953</f>
        <v>0</v>
      </c>
      <c r="H1390" s="1081">
        <f>[30]MW!H953</f>
        <v>0</v>
      </c>
      <c r="I1390" s="1081">
        <f>[30]MW!I953</f>
        <v>0</v>
      </c>
      <c r="J1390" s="1081">
        <f>[30]MW!J953</f>
        <v>0</v>
      </c>
      <c r="K1390" s="1081">
        <f>[30]MW!K953</f>
        <v>0</v>
      </c>
      <c r="L1390" s="1081">
        <f>[30]MW!L953</f>
        <v>0</v>
      </c>
      <c r="M1390" s="1081">
        <f>[30]MW!M953</f>
        <v>0</v>
      </c>
      <c r="N1390" s="25">
        <f t="shared" si="664"/>
        <v>0</v>
      </c>
    </row>
    <row r="1391" spans="1:14">
      <c r="A1391" s="2">
        <f t="shared" si="662"/>
        <v>2038</v>
      </c>
      <c r="B1391" s="1081">
        <f>[30]MW!B954</f>
        <v>0</v>
      </c>
      <c r="C1391" s="1081">
        <f>[30]MW!C954</f>
        <v>0</v>
      </c>
      <c r="D1391" s="1081">
        <f>[30]MW!D954</f>
        <v>0</v>
      </c>
      <c r="E1391" s="1081">
        <f>[30]MW!E954</f>
        <v>0</v>
      </c>
      <c r="F1391" s="1081">
        <f>[30]MW!F954</f>
        <v>0</v>
      </c>
      <c r="G1391" s="1081">
        <f>[30]MW!G954</f>
        <v>0</v>
      </c>
      <c r="H1391" s="1081">
        <f>[30]MW!H954</f>
        <v>0</v>
      </c>
      <c r="I1391" s="1081">
        <f>[30]MW!I954</f>
        <v>0</v>
      </c>
      <c r="J1391" s="1081">
        <f>[30]MW!J954</f>
        <v>0</v>
      </c>
      <c r="K1391" s="1081">
        <f>[30]MW!K954</f>
        <v>0</v>
      </c>
      <c r="L1391" s="1081">
        <f>[30]MW!L954</f>
        <v>0</v>
      </c>
      <c r="M1391" s="1081">
        <f>[30]MW!M954</f>
        <v>0</v>
      </c>
      <c r="N1391" s="25">
        <f t="shared" si="664"/>
        <v>0</v>
      </c>
    </row>
    <row r="1392" spans="1:14">
      <c r="A1392" s="2">
        <f t="shared" si="662"/>
        <v>2039</v>
      </c>
      <c r="B1392" s="1081">
        <f>[30]MW!B955</f>
        <v>0</v>
      </c>
      <c r="C1392" s="1081">
        <f>[30]MW!C955</f>
        <v>0</v>
      </c>
      <c r="D1392" s="1081">
        <f>[30]MW!D955</f>
        <v>0</v>
      </c>
      <c r="E1392" s="1081">
        <f>[30]MW!E955</f>
        <v>0</v>
      </c>
      <c r="F1392" s="1081">
        <f>[30]MW!F955</f>
        <v>0</v>
      </c>
      <c r="G1392" s="1081">
        <f>[30]MW!G955</f>
        <v>0</v>
      </c>
      <c r="H1392" s="1081">
        <f>[30]MW!H955</f>
        <v>0</v>
      </c>
      <c r="I1392" s="1081">
        <f>[30]MW!I955</f>
        <v>0</v>
      </c>
      <c r="J1392" s="1081">
        <f>[30]MW!J955</f>
        <v>0</v>
      </c>
      <c r="K1392" s="1081">
        <f>[30]MW!K955</f>
        <v>0</v>
      </c>
      <c r="L1392" s="1081">
        <f>[30]MW!L955</f>
        <v>0</v>
      </c>
      <c r="M1392" s="1081">
        <f>[30]MW!M955</f>
        <v>0</v>
      </c>
      <c r="N1392" s="25">
        <f t="shared" si="664"/>
        <v>0</v>
      </c>
    </row>
    <row r="1393" spans="1:14">
      <c r="A1393" s="2">
        <f t="shared" si="662"/>
        <v>2040</v>
      </c>
      <c r="B1393" s="1081">
        <f>[30]MW!B956</f>
        <v>0</v>
      </c>
      <c r="C1393" s="1081">
        <f>[30]MW!C956</f>
        <v>0</v>
      </c>
      <c r="D1393" s="1081">
        <f>[30]MW!D956</f>
        <v>0</v>
      </c>
      <c r="E1393" s="1081">
        <f>[30]MW!E956</f>
        <v>0</v>
      </c>
      <c r="F1393" s="1081">
        <f>[30]MW!F956</f>
        <v>0</v>
      </c>
      <c r="G1393" s="1081">
        <f>[30]MW!G956</f>
        <v>0</v>
      </c>
      <c r="H1393" s="1081">
        <f>[30]MW!H956</f>
        <v>0</v>
      </c>
      <c r="I1393" s="1081">
        <f>[30]MW!I956</f>
        <v>0</v>
      </c>
      <c r="J1393" s="1081">
        <f>[30]MW!J956</f>
        <v>0</v>
      </c>
      <c r="K1393" s="1081">
        <f>[30]MW!K956</f>
        <v>0</v>
      </c>
      <c r="L1393" s="1081">
        <f>[30]MW!L956</f>
        <v>0</v>
      </c>
      <c r="M1393" s="1081">
        <f>[30]MW!M956</f>
        <v>0</v>
      </c>
      <c r="N1393" s="25">
        <f t="shared" si="664"/>
        <v>0</v>
      </c>
    </row>
    <row r="1394" spans="1:14">
      <c r="A1394" s="2">
        <f t="shared" si="662"/>
        <v>2041</v>
      </c>
    </row>
    <row r="1395" spans="1:14">
      <c r="A1395" s="2">
        <f t="shared" si="662"/>
        <v>2042</v>
      </c>
    </row>
    <row r="1396" spans="1:14">
      <c r="A1396" s="2">
        <f t="shared" si="662"/>
        <v>2043</v>
      </c>
    </row>
    <row r="1397" spans="1:14">
      <c r="A1397" s="2">
        <f t="shared" si="662"/>
        <v>2044</v>
      </c>
    </row>
    <row r="1398" spans="1:14">
      <c r="A1398" s="2">
        <f t="shared" si="662"/>
        <v>2045</v>
      </c>
    </row>
    <row r="1400" spans="1:14">
      <c r="N1400" s="37"/>
    </row>
    <row r="1401" spans="1:14">
      <c r="A1401" s="31" t="s">
        <v>350</v>
      </c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  <c r="N1401" s="37"/>
    </row>
    <row r="1402" spans="1:14" s="27" customFormat="1">
      <c r="A1402" s="326" t="s">
        <v>9</v>
      </c>
      <c r="B1402" s="333" t="s">
        <v>28</v>
      </c>
      <c r="C1402" s="333" t="s">
        <v>29</v>
      </c>
      <c r="D1402" s="333" t="s">
        <v>30</v>
      </c>
      <c r="E1402" s="333" t="s">
        <v>31</v>
      </c>
      <c r="F1402" s="333" t="s">
        <v>32</v>
      </c>
      <c r="G1402" s="333" t="s">
        <v>33</v>
      </c>
      <c r="H1402" s="333" t="s">
        <v>34</v>
      </c>
      <c r="I1402" s="333" t="s">
        <v>35</v>
      </c>
      <c r="J1402" s="333" t="s">
        <v>36</v>
      </c>
      <c r="K1402" s="333" t="s">
        <v>37</v>
      </c>
      <c r="L1402" s="333" t="s">
        <v>38</v>
      </c>
      <c r="M1402" s="333" t="s">
        <v>39</v>
      </c>
      <c r="N1402" s="334" t="s">
        <v>56</v>
      </c>
    </row>
    <row r="1403" spans="1:14">
      <c r="A1403" s="2">
        <f>A1363</f>
        <v>2010</v>
      </c>
      <c r="B1403" s="34">
        <f>[30]MW!B966</f>
        <v>35</v>
      </c>
      <c r="C1403" s="34">
        <f>[30]MW!C966</f>
        <v>18</v>
      </c>
      <c r="D1403" s="34">
        <f>[30]MW!D966</f>
        <v>34</v>
      </c>
      <c r="E1403" s="34">
        <f>[30]MW!E966</f>
        <v>35</v>
      </c>
      <c r="F1403" s="34">
        <f>[30]MW!F966</f>
        <v>35</v>
      </c>
      <c r="G1403" s="34">
        <f>[30]MW!G966</f>
        <v>35</v>
      </c>
      <c r="H1403" s="34">
        <f>[30]MW!H966</f>
        <v>35</v>
      </c>
      <c r="I1403" s="34">
        <f>[30]MW!I966</f>
        <v>35</v>
      </c>
      <c r="J1403" s="34">
        <f>[30]MW!J966</f>
        <v>35</v>
      </c>
      <c r="K1403" s="34">
        <f>[30]MW!K966</f>
        <v>35</v>
      </c>
      <c r="L1403" s="34">
        <f>[30]MW!L966</f>
        <v>32</v>
      </c>
      <c r="M1403" s="34">
        <f>[30]MW!M966</f>
        <v>34</v>
      </c>
      <c r="N1403" s="25">
        <f t="shared" ref="N1403:N1413" si="665">SUM(B1403:M1403)</f>
        <v>398</v>
      </c>
    </row>
    <row r="1404" spans="1:14">
      <c r="A1404" s="2">
        <f t="shared" ref="A1404:A1438" si="666">A1364</f>
        <v>2011</v>
      </c>
      <c r="B1404" s="880">
        <f>[30]MW!B967</f>
        <v>35</v>
      </c>
      <c r="C1404" s="880">
        <f>[30]MW!C967</f>
        <v>35</v>
      </c>
      <c r="D1404" s="880">
        <f>[30]MW!D967</f>
        <v>35</v>
      </c>
      <c r="E1404" s="880">
        <f>[30]MW!E967</f>
        <v>35</v>
      </c>
      <c r="F1404" s="880">
        <f>[30]MW!F967</f>
        <v>35</v>
      </c>
      <c r="G1404" s="880">
        <f>[30]MW!G967</f>
        <v>35</v>
      </c>
      <c r="H1404" s="880">
        <f>[30]MW!H967</f>
        <v>35</v>
      </c>
      <c r="I1404" s="880">
        <f>[30]MW!I967</f>
        <v>35</v>
      </c>
      <c r="J1404" s="880">
        <f>[30]MW!J967</f>
        <v>35</v>
      </c>
      <c r="K1404" s="880">
        <f>[30]MW!K967</f>
        <v>35</v>
      </c>
      <c r="L1404" s="880">
        <f>[30]MW!L967</f>
        <v>35</v>
      </c>
      <c r="M1404" s="880">
        <f>[30]MW!M967</f>
        <v>35</v>
      </c>
      <c r="N1404" s="25">
        <f t="shared" si="665"/>
        <v>420</v>
      </c>
    </row>
    <row r="1405" spans="1:14">
      <c r="A1405" s="2">
        <f t="shared" si="666"/>
        <v>2012</v>
      </c>
      <c r="B1405" s="880">
        <f>[30]MW!B968</f>
        <v>35</v>
      </c>
      <c r="C1405" s="880">
        <f>[30]MW!C968</f>
        <v>35</v>
      </c>
      <c r="D1405" s="880">
        <f>[30]MW!D968</f>
        <v>35</v>
      </c>
      <c r="E1405" s="880">
        <f>[30]MW!E968</f>
        <v>35</v>
      </c>
      <c r="F1405" s="880">
        <f>[30]MW!F968</f>
        <v>35</v>
      </c>
      <c r="G1405" s="880">
        <f>[30]MW!G968</f>
        <v>35</v>
      </c>
      <c r="H1405" s="880">
        <f>[30]MW!H968</f>
        <v>35</v>
      </c>
      <c r="I1405" s="880">
        <f>[30]MW!I968</f>
        <v>35</v>
      </c>
      <c r="J1405" s="880">
        <f>[30]MW!J968</f>
        <v>35</v>
      </c>
      <c r="K1405" s="880">
        <f>[30]MW!K968</f>
        <v>35</v>
      </c>
      <c r="L1405" s="880">
        <f>[30]MW!L968</f>
        <v>35</v>
      </c>
      <c r="M1405" s="880">
        <f>[30]MW!M968</f>
        <v>35</v>
      </c>
      <c r="N1405" s="25">
        <f t="shared" si="665"/>
        <v>420</v>
      </c>
    </row>
    <row r="1406" spans="1:14">
      <c r="A1406" s="2">
        <f t="shared" si="666"/>
        <v>2013</v>
      </c>
      <c r="B1406" s="880">
        <f>[30]MW!B969</f>
        <v>25.02</v>
      </c>
      <c r="C1406" s="880">
        <f>[30]MW!C969</f>
        <v>25.02</v>
      </c>
      <c r="D1406" s="880">
        <f>[30]MW!D969</f>
        <v>25.02</v>
      </c>
      <c r="E1406" s="880">
        <f>[30]MW!E969</f>
        <v>25.02</v>
      </c>
      <c r="F1406" s="880">
        <f>[30]MW!F969</f>
        <v>25.02</v>
      </c>
      <c r="G1406" s="880">
        <f>[30]MW!G969</f>
        <v>25.02</v>
      </c>
      <c r="H1406" s="880">
        <f>[30]MW!H969</f>
        <v>25.02</v>
      </c>
      <c r="I1406" s="880">
        <f>[30]MW!I969</f>
        <v>25.02</v>
      </c>
      <c r="J1406" s="880">
        <f>[30]MW!J969</f>
        <v>25.02</v>
      </c>
      <c r="K1406" s="880">
        <f>[30]MW!K969</f>
        <v>25.02</v>
      </c>
      <c r="L1406" s="880">
        <f>[30]MW!L969</f>
        <v>25.02</v>
      </c>
      <c r="M1406" s="880">
        <f>[30]MW!M969</f>
        <v>25.02</v>
      </c>
      <c r="N1406" s="25">
        <f t="shared" si="665"/>
        <v>300.24</v>
      </c>
    </row>
    <row r="1407" spans="1:14">
      <c r="A1407" s="2">
        <f t="shared" si="666"/>
        <v>2014</v>
      </c>
      <c r="B1407" s="880">
        <f>[30]MW!B970</f>
        <v>25.02</v>
      </c>
      <c r="C1407" s="880">
        <f>[30]MW!C970</f>
        <v>25.02</v>
      </c>
      <c r="D1407" s="880">
        <f>[30]MW!D970</f>
        <v>25.02</v>
      </c>
      <c r="E1407" s="880">
        <f>[30]MW!E970</f>
        <v>25.02</v>
      </c>
      <c r="F1407" s="880">
        <f>[30]MW!F970</f>
        <v>25.02</v>
      </c>
      <c r="G1407" s="880">
        <f>[30]MW!G970</f>
        <v>25.02</v>
      </c>
      <c r="H1407" s="880">
        <f>[30]MW!H970</f>
        <v>25.02</v>
      </c>
      <c r="I1407" s="880">
        <f>[30]MW!I970</f>
        <v>25.02</v>
      </c>
      <c r="J1407" s="880">
        <f>[30]MW!J970</f>
        <v>25.02</v>
      </c>
      <c r="K1407" s="880">
        <f>[30]MW!K970</f>
        <v>25.02</v>
      </c>
      <c r="L1407" s="880">
        <f>[30]MW!L970</f>
        <v>25.02</v>
      </c>
      <c r="M1407" s="880">
        <f>[30]MW!M970</f>
        <v>25.02</v>
      </c>
      <c r="N1407" s="25">
        <f t="shared" si="665"/>
        <v>300.24</v>
      </c>
    </row>
    <row r="1408" spans="1:14">
      <c r="A1408" s="2">
        <f t="shared" si="666"/>
        <v>2015</v>
      </c>
      <c r="B1408" s="880">
        <f>[30]MW!B971</f>
        <v>25.02</v>
      </c>
      <c r="C1408" s="880">
        <f>[30]MW!C971</f>
        <v>25.02</v>
      </c>
      <c r="D1408" s="880">
        <f>[30]MW!D971</f>
        <v>25.02</v>
      </c>
      <c r="E1408" s="880">
        <f>[30]MW!E971</f>
        <v>25.02</v>
      </c>
      <c r="F1408" s="880">
        <f>[30]MW!F971</f>
        <v>25.02</v>
      </c>
      <c r="G1408" s="880">
        <f>[30]MW!G971</f>
        <v>25.02</v>
      </c>
      <c r="H1408" s="880">
        <f>[30]MW!H971</f>
        <v>25.02</v>
      </c>
      <c r="I1408" s="880">
        <f>[30]MW!I971</f>
        <v>25.02</v>
      </c>
      <c r="J1408" s="880">
        <f>[30]MW!J971</f>
        <v>25.02</v>
      </c>
      <c r="K1408" s="880">
        <f>[30]MW!K971</f>
        <v>25.02</v>
      </c>
      <c r="L1408" s="880">
        <f>[30]MW!L971</f>
        <v>25.02</v>
      </c>
      <c r="M1408" s="880">
        <f>[30]MW!M971</f>
        <v>25.02</v>
      </c>
      <c r="N1408" s="25">
        <f t="shared" si="665"/>
        <v>300.24</v>
      </c>
    </row>
    <row r="1409" spans="1:15">
      <c r="A1409" s="2">
        <f t="shared" si="666"/>
        <v>2016</v>
      </c>
      <c r="B1409" s="880">
        <f>[30]MW!B972</f>
        <v>25.02</v>
      </c>
      <c r="C1409" s="880">
        <f>[30]MW!C972</f>
        <v>25.02</v>
      </c>
      <c r="D1409" s="880">
        <f>[30]MW!D972</f>
        <v>25.02</v>
      </c>
      <c r="E1409" s="880">
        <f>[30]MW!E972</f>
        <v>25.02</v>
      </c>
      <c r="F1409" s="880">
        <f>[30]MW!F972</f>
        <v>25.02</v>
      </c>
      <c r="G1409" s="880">
        <f>[30]MW!G972</f>
        <v>25.02</v>
      </c>
      <c r="H1409" s="880">
        <f>[30]MW!H972</f>
        <v>25.02</v>
      </c>
      <c r="I1409" s="880">
        <f>[30]MW!I972</f>
        <v>25.02</v>
      </c>
      <c r="J1409" s="880">
        <f>[30]MW!J972</f>
        <v>25.02</v>
      </c>
      <c r="K1409" s="880">
        <f>[30]MW!K972</f>
        <v>25.02</v>
      </c>
      <c r="L1409" s="880">
        <f>[30]MW!L972</f>
        <v>25.02</v>
      </c>
      <c r="M1409" s="880">
        <f>[30]MW!M972</f>
        <v>25.02</v>
      </c>
      <c r="N1409" s="25">
        <f t="shared" si="665"/>
        <v>300.24</v>
      </c>
    </row>
    <row r="1410" spans="1:15">
      <c r="A1410" s="2">
        <f t="shared" si="666"/>
        <v>2017</v>
      </c>
      <c r="B1410" s="880">
        <f>[30]MW!B973</f>
        <v>25.02</v>
      </c>
      <c r="C1410" s="880">
        <f>[30]MW!C973</f>
        <v>25.02</v>
      </c>
      <c r="D1410" s="880">
        <f>[30]MW!D973</f>
        <v>25.02</v>
      </c>
      <c r="E1410" s="880">
        <f>[30]MW!E973</f>
        <v>25.02</v>
      </c>
      <c r="F1410" s="880">
        <f>[30]MW!F973</f>
        <v>25.02</v>
      </c>
      <c r="G1410" s="880">
        <f>[30]MW!G973</f>
        <v>25.02</v>
      </c>
      <c r="H1410" s="880">
        <f>[30]MW!H973</f>
        <v>25.02</v>
      </c>
      <c r="I1410" s="880">
        <f>[30]MW!I973</f>
        <v>25.02</v>
      </c>
      <c r="J1410" s="880">
        <f>[30]MW!J973</f>
        <v>25.02</v>
      </c>
      <c r="K1410" s="880">
        <f>[30]MW!K973</f>
        <v>25.02</v>
      </c>
      <c r="L1410" s="880">
        <f>[30]MW!L973</f>
        <v>25.02</v>
      </c>
      <c r="M1410" s="880">
        <f>[30]MW!M973</f>
        <v>25.02</v>
      </c>
      <c r="N1410" s="25">
        <f t="shared" si="665"/>
        <v>300.24</v>
      </c>
    </row>
    <row r="1411" spans="1:15">
      <c r="A1411" s="2">
        <f t="shared" si="666"/>
        <v>2018</v>
      </c>
      <c r="B1411" s="880">
        <f>[30]MW!B974</f>
        <v>25.02</v>
      </c>
      <c r="C1411" s="880">
        <f>[30]MW!C974</f>
        <v>25.02</v>
      </c>
      <c r="D1411" s="880">
        <f>[30]MW!D974</f>
        <v>25.02</v>
      </c>
      <c r="E1411" s="880">
        <f>[30]MW!E974</f>
        <v>25.02</v>
      </c>
      <c r="F1411" s="880">
        <f>[30]MW!F974</f>
        <v>25.02</v>
      </c>
      <c r="G1411" s="880">
        <f>[30]MW!G974</f>
        <v>25.02</v>
      </c>
      <c r="H1411" s="880">
        <f>[30]MW!H974</f>
        <v>25.02</v>
      </c>
      <c r="I1411" s="880">
        <f>[30]MW!I974</f>
        <v>25.02</v>
      </c>
      <c r="J1411" s="880">
        <f>[30]MW!J974</f>
        <v>25.02</v>
      </c>
      <c r="K1411" s="880">
        <f>[30]MW!K974</f>
        <v>25.02</v>
      </c>
      <c r="L1411" s="880">
        <f>[30]MW!L974</f>
        <v>25.02</v>
      </c>
      <c r="M1411" s="880">
        <f>[30]MW!M974</f>
        <v>25.02</v>
      </c>
      <c r="N1411" s="25">
        <f t="shared" si="665"/>
        <v>300.24</v>
      </c>
    </row>
    <row r="1412" spans="1:15">
      <c r="A1412" s="2">
        <f t="shared" si="666"/>
        <v>2019</v>
      </c>
      <c r="B1412" s="880">
        <f>[30]MW!B975</f>
        <v>25.02</v>
      </c>
      <c r="C1412" s="880">
        <f>[30]MW!C975</f>
        <v>25.02</v>
      </c>
      <c r="D1412" s="880">
        <f>[30]MW!D975</f>
        <v>25.02</v>
      </c>
      <c r="E1412" s="880">
        <f>[30]MW!E975</f>
        <v>25.02</v>
      </c>
      <c r="F1412" s="880">
        <f>[30]MW!F975</f>
        <v>25.02</v>
      </c>
      <c r="G1412" s="880">
        <f>[30]MW!G975</f>
        <v>25.02</v>
      </c>
      <c r="H1412" s="880">
        <f>[30]MW!H975</f>
        <v>25.02</v>
      </c>
      <c r="I1412" s="880">
        <f>[30]MW!I975</f>
        <v>25.02</v>
      </c>
      <c r="J1412" s="880">
        <f>[30]MW!J975</f>
        <v>25.02</v>
      </c>
      <c r="K1412" s="880">
        <f>[30]MW!K975</f>
        <v>25.02</v>
      </c>
      <c r="L1412" s="880">
        <f>[30]MW!L975</f>
        <v>25.02</v>
      </c>
      <c r="M1412" s="880">
        <f>[30]MW!M975</f>
        <v>25.02</v>
      </c>
      <c r="N1412" s="25">
        <f t="shared" si="665"/>
        <v>300.24</v>
      </c>
    </row>
    <row r="1413" spans="1:15">
      <c r="A1413" s="2">
        <f t="shared" si="666"/>
        <v>2020</v>
      </c>
      <c r="B1413" s="880">
        <f>[30]MW!B976</f>
        <v>25.02</v>
      </c>
      <c r="C1413" s="880">
        <f>[30]MW!C976</f>
        <v>25.02</v>
      </c>
      <c r="D1413" s="880">
        <f>[30]MW!D976</f>
        <v>25.02</v>
      </c>
      <c r="E1413" s="880">
        <f>[30]MW!E976</f>
        <v>25.02</v>
      </c>
      <c r="F1413" s="880">
        <f>[30]MW!F976</f>
        <v>25.02</v>
      </c>
      <c r="G1413" s="880">
        <f>[30]MW!G976</f>
        <v>25.02</v>
      </c>
      <c r="H1413" s="880">
        <f>[30]MW!H976</f>
        <v>25.02</v>
      </c>
      <c r="I1413" s="880">
        <f>[30]MW!I976</f>
        <v>25.02</v>
      </c>
      <c r="J1413" s="880">
        <f>[30]MW!J976</f>
        <v>25.02</v>
      </c>
      <c r="K1413" s="880">
        <f>[30]MW!K976</f>
        <v>25.02</v>
      </c>
      <c r="L1413" s="880">
        <f>[30]MW!L976</f>
        <v>25.02</v>
      </c>
      <c r="M1413" s="880">
        <f>[30]MW!M976</f>
        <v>25.02</v>
      </c>
      <c r="N1413" s="25">
        <f t="shared" si="665"/>
        <v>300.24</v>
      </c>
    </row>
    <row r="1414" spans="1:15">
      <c r="A1414" s="2">
        <f t="shared" si="666"/>
        <v>2021</v>
      </c>
      <c r="B1414" s="880">
        <f>[30]MW!B977</f>
        <v>25.02</v>
      </c>
      <c r="C1414" s="880">
        <f>[30]MW!C977</f>
        <v>25.02</v>
      </c>
      <c r="D1414" s="880">
        <f>[30]MW!D977</f>
        <v>25.02</v>
      </c>
      <c r="E1414" s="880">
        <f>[30]MW!E977</f>
        <v>25.02</v>
      </c>
      <c r="F1414" s="880">
        <f>[30]MW!F977</f>
        <v>25.02</v>
      </c>
      <c r="G1414" s="880">
        <f>[30]MW!G977</f>
        <v>25.02</v>
      </c>
      <c r="H1414" s="880">
        <f>[30]MW!H977</f>
        <v>25.02</v>
      </c>
      <c r="I1414" s="880">
        <f>[30]MW!I977</f>
        <v>25.02</v>
      </c>
      <c r="J1414" s="880">
        <f>[30]MW!J977</f>
        <v>25.02</v>
      </c>
      <c r="K1414" s="880">
        <f>[30]MW!K977</f>
        <v>25.02</v>
      </c>
      <c r="L1414" s="880">
        <f>[30]MW!L977</f>
        <v>25.02</v>
      </c>
      <c r="M1414" s="880">
        <f>[30]MW!M977</f>
        <v>25.02</v>
      </c>
      <c r="N1414" s="25">
        <f t="shared" ref="N1414:N1419" si="667">SUM(B1414:M1414)</f>
        <v>300.24</v>
      </c>
      <c r="O1414" s="192"/>
    </row>
    <row r="1415" spans="1:15">
      <c r="A1415" s="2">
        <f t="shared" si="666"/>
        <v>2022</v>
      </c>
      <c r="B1415" s="880">
        <f>[30]MW!B978</f>
        <v>25.02</v>
      </c>
      <c r="C1415" s="880">
        <f>[30]MW!C978</f>
        <v>25.02</v>
      </c>
      <c r="D1415" s="880">
        <f>[30]MW!D978</f>
        <v>25.02</v>
      </c>
      <c r="E1415" s="880">
        <f>[30]MW!E978</f>
        <v>25.02</v>
      </c>
      <c r="F1415" s="880">
        <f>[30]MW!F978</f>
        <v>25.02</v>
      </c>
      <c r="G1415" s="880">
        <f>[30]MW!G978</f>
        <v>25.02</v>
      </c>
      <c r="H1415" s="880">
        <f>[30]MW!H978</f>
        <v>25.02</v>
      </c>
      <c r="I1415" s="880">
        <f>[30]MW!I978</f>
        <v>25.02</v>
      </c>
      <c r="J1415" s="880">
        <f>[30]MW!J978</f>
        <v>25.02</v>
      </c>
      <c r="K1415" s="880">
        <f>[30]MW!K978</f>
        <v>25.02</v>
      </c>
      <c r="L1415" s="880">
        <f>[30]MW!L978</f>
        <v>25.02</v>
      </c>
      <c r="M1415" s="880">
        <f>[30]MW!M978</f>
        <v>25.02</v>
      </c>
      <c r="N1415" s="25">
        <f t="shared" si="667"/>
        <v>300.24</v>
      </c>
    </row>
    <row r="1416" spans="1:15">
      <c r="A1416" s="2">
        <f t="shared" si="666"/>
        <v>2023</v>
      </c>
      <c r="B1416" s="880">
        <f>[30]MW!B979</f>
        <v>25.02</v>
      </c>
      <c r="C1416" s="880">
        <f>[30]MW!C979</f>
        <v>25.02</v>
      </c>
      <c r="D1416" s="880">
        <f>[30]MW!D979</f>
        <v>25.02</v>
      </c>
      <c r="E1416" s="880">
        <f>[30]MW!E979</f>
        <v>25.02</v>
      </c>
      <c r="F1416" s="880">
        <f>[30]MW!F979</f>
        <v>25.02</v>
      </c>
      <c r="G1416" s="880">
        <f>[30]MW!G979</f>
        <v>25.02</v>
      </c>
      <c r="H1416" s="880">
        <f>[30]MW!H979</f>
        <v>25.02</v>
      </c>
      <c r="I1416" s="880">
        <f>[30]MW!I979</f>
        <v>25.02</v>
      </c>
      <c r="J1416" s="880">
        <f>[30]MW!J979</f>
        <v>25.02</v>
      </c>
      <c r="K1416" s="880">
        <f>[30]MW!K979</f>
        <v>25.02</v>
      </c>
      <c r="L1416" s="880">
        <f>[30]MW!L979</f>
        <v>25.02</v>
      </c>
      <c r="M1416" s="880">
        <f>[30]MW!M979</f>
        <v>25.02</v>
      </c>
      <c r="N1416" s="25">
        <f t="shared" si="667"/>
        <v>300.24</v>
      </c>
    </row>
    <row r="1417" spans="1:15">
      <c r="A1417" s="2">
        <f t="shared" si="666"/>
        <v>2024</v>
      </c>
      <c r="B1417" s="880">
        <f>[30]MW!B980</f>
        <v>25.02</v>
      </c>
      <c r="C1417" s="880">
        <f>[30]MW!C980</f>
        <v>25.02</v>
      </c>
      <c r="D1417" s="880">
        <f>[30]MW!D980</f>
        <v>25.02</v>
      </c>
      <c r="E1417" s="880">
        <f>[30]MW!E980</f>
        <v>25.02</v>
      </c>
      <c r="F1417" s="880">
        <f>[30]MW!F980</f>
        <v>25.02</v>
      </c>
      <c r="G1417" s="880">
        <f>[30]MW!G980</f>
        <v>25.02</v>
      </c>
      <c r="H1417" s="880">
        <f>[30]MW!H980</f>
        <v>25.02</v>
      </c>
      <c r="I1417" s="880">
        <f>[30]MW!I980</f>
        <v>25.02</v>
      </c>
      <c r="J1417" s="880">
        <f>[30]MW!J980</f>
        <v>25.02</v>
      </c>
      <c r="K1417" s="880">
        <f>[30]MW!K980</f>
        <v>25.02</v>
      </c>
      <c r="L1417" s="880">
        <f>[30]MW!L980</f>
        <v>25.02</v>
      </c>
      <c r="M1417" s="880">
        <f>[30]MW!M980</f>
        <v>25.02</v>
      </c>
      <c r="N1417" s="25">
        <f t="shared" si="667"/>
        <v>300.24</v>
      </c>
    </row>
    <row r="1418" spans="1:15">
      <c r="A1418" s="2">
        <f t="shared" si="666"/>
        <v>2025</v>
      </c>
      <c r="B1418" s="880">
        <f>[30]MW!B981</f>
        <v>25.02</v>
      </c>
      <c r="C1418" s="880">
        <f>[30]MW!C981</f>
        <v>25.02</v>
      </c>
      <c r="D1418" s="880">
        <f>[30]MW!D981</f>
        <v>25.02</v>
      </c>
      <c r="E1418" s="880">
        <f>[30]MW!E981</f>
        <v>25.02</v>
      </c>
      <c r="F1418" s="880">
        <f>[30]MW!F981</f>
        <v>25.02</v>
      </c>
      <c r="G1418" s="880">
        <f>[30]MW!G981</f>
        <v>25.02</v>
      </c>
      <c r="H1418" s="880">
        <f>[30]MW!H981</f>
        <v>25.02</v>
      </c>
      <c r="I1418" s="880">
        <f>[30]MW!I981</f>
        <v>25.02</v>
      </c>
      <c r="J1418" s="880">
        <f>[30]MW!J981</f>
        <v>25.02</v>
      </c>
      <c r="K1418" s="880">
        <f>[30]MW!K981</f>
        <v>25.02</v>
      </c>
      <c r="L1418" s="880">
        <f>[30]MW!L981</f>
        <v>25.02</v>
      </c>
      <c r="M1418" s="880">
        <f>[30]MW!M981</f>
        <v>25.02</v>
      </c>
      <c r="N1418" s="25">
        <f t="shared" si="667"/>
        <v>300.24</v>
      </c>
    </row>
    <row r="1419" spans="1:15">
      <c r="A1419" s="2">
        <f t="shared" si="666"/>
        <v>2026</v>
      </c>
      <c r="B1419" s="880">
        <f>[30]MW!B982</f>
        <v>25.02</v>
      </c>
      <c r="C1419" s="880">
        <f>[30]MW!C982</f>
        <v>25.02</v>
      </c>
      <c r="D1419" s="880">
        <f>[30]MW!D982</f>
        <v>25.02</v>
      </c>
      <c r="E1419" s="880">
        <f>[30]MW!E982</f>
        <v>25.02</v>
      </c>
      <c r="F1419" s="880">
        <f>[30]MW!F982</f>
        <v>25.02</v>
      </c>
      <c r="G1419" s="880">
        <f>[30]MW!G982</f>
        <v>25.02</v>
      </c>
      <c r="H1419" s="880">
        <f>[30]MW!H982</f>
        <v>25.02</v>
      </c>
      <c r="I1419" s="880">
        <f>[30]MW!I982</f>
        <v>25.02</v>
      </c>
      <c r="J1419" s="880">
        <f>[30]MW!J982</f>
        <v>25.02</v>
      </c>
      <c r="K1419" s="880">
        <f>[30]MW!K982</f>
        <v>25.02</v>
      </c>
      <c r="L1419" s="880">
        <f>[30]MW!L982</f>
        <v>25.02</v>
      </c>
      <c r="M1419" s="880">
        <f>[30]MW!M982</f>
        <v>25.02</v>
      </c>
      <c r="N1419" s="25">
        <f t="shared" si="667"/>
        <v>300.24</v>
      </c>
    </row>
    <row r="1420" spans="1:15">
      <c r="A1420" s="2">
        <f t="shared" si="666"/>
        <v>2027</v>
      </c>
      <c r="B1420" s="880">
        <f>[30]MW!B983</f>
        <v>25.02</v>
      </c>
      <c r="C1420" s="880">
        <f>[30]MW!C983</f>
        <v>25.02</v>
      </c>
      <c r="D1420" s="880">
        <f>[30]MW!D983</f>
        <v>25.02</v>
      </c>
      <c r="E1420" s="880">
        <f>[30]MW!E983</f>
        <v>25.02</v>
      </c>
      <c r="F1420" s="880">
        <f>[30]MW!F983</f>
        <v>25.02</v>
      </c>
      <c r="G1420" s="880">
        <f>[30]MW!G983</f>
        <v>25.02</v>
      </c>
      <c r="H1420" s="880">
        <f>[30]MW!H983</f>
        <v>25.02</v>
      </c>
      <c r="I1420" s="880">
        <f>[30]MW!I983</f>
        <v>25.02</v>
      </c>
      <c r="J1420" s="880">
        <f>[30]MW!J983</f>
        <v>25.02</v>
      </c>
      <c r="K1420" s="880">
        <f>[30]MW!K983</f>
        <v>25.02</v>
      </c>
      <c r="L1420" s="880">
        <f>[30]MW!L983</f>
        <v>25.02</v>
      </c>
      <c r="M1420" s="880">
        <f>[30]MW!M983</f>
        <v>25.02</v>
      </c>
      <c r="N1420" s="25">
        <f>SUM(B1420:M1420)</f>
        <v>300.24</v>
      </c>
    </row>
    <row r="1421" spans="1:15">
      <c r="A1421" s="2">
        <f t="shared" si="666"/>
        <v>2028</v>
      </c>
      <c r="B1421" s="880">
        <f>[30]MW!B984</f>
        <v>25.02</v>
      </c>
      <c r="C1421" s="880">
        <f>[30]MW!C984</f>
        <v>25.02</v>
      </c>
      <c r="D1421" s="880">
        <f>[30]MW!D984</f>
        <v>25.02</v>
      </c>
      <c r="E1421" s="880">
        <f>[30]MW!E984</f>
        <v>25.02</v>
      </c>
      <c r="F1421" s="880">
        <f>[30]MW!F984</f>
        <v>25.02</v>
      </c>
      <c r="G1421" s="880">
        <f>[30]MW!G984</f>
        <v>25.02</v>
      </c>
      <c r="H1421" s="880">
        <f>[30]MW!H984</f>
        <v>25.02</v>
      </c>
      <c r="I1421" s="880">
        <f>[30]MW!I984</f>
        <v>25.02</v>
      </c>
      <c r="J1421" s="880">
        <f>[30]MW!J984</f>
        <v>25.02</v>
      </c>
      <c r="K1421" s="880">
        <f>[30]MW!K984</f>
        <v>25.02</v>
      </c>
      <c r="L1421" s="880">
        <f>[30]MW!L984</f>
        <v>25.02</v>
      </c>
      <c r="M1421" s="880">
        <f>[30]MW!M984</f>
        <v>25.02</v>
      </c>
      <c r="N1421" s="25">
        <f>SUM(B1421:M1421)</f>
        <v>300.24</v>
      </c>
    </row>
    <row r="1422" spans="1:15">
      <c r="A1422" s="2">
        <f t="shared" si="666"/>
        <v>2029</v>
      </c>
      <c r="B1422" s="880">
        <f>[30]MW!B985</f>
        <v>25.02</v>
      </c>
      <c r="C1422" s="880">
        <f>[30]MW!C985</f>
        <v>25.02</v>
      </c>
      <c r="D1422" s="880">
        <f>[30]MW!D985</f>
        <v>25.02</v>
      </c>
      <c r="E1422" s="880">
        <f>[30]MW!E985</f>
        <v>25.02</v>
      </c>
      <c r="F1422" s="880">
        <f>[30]MW!F985</f>
        <v>25.02</v>
      </c>
      <c r="G1422" s="880">
        <f>[30]MW!G985</f>
        <v>25.02</v>
      </c>
      <c r="H1422" s="880">
        <f>[30]MW!H985</f>
        <v>25.02</v>
      </c>
      <c r="I1422" s="880">
        <f>[30]MW!I985</f>
        <v>25.02</v>
      </c>
      <c r="J1422" s="880">
        <f>[30]MW!J985</f>
        <v>25.02</v>
      </c>
      <c r="K1422" s="880">
        <f>[30]MW!K985</f>
        <v>25.02</v>
      </c>
      <c r="L1422" s="880">
        <f>[30]MW!L985</f>
        <v>25.02</v>
      </c>
      <c r="M1422" s="880">
        <f>[30]MW!M985</f>
        <v>25.02</v>
      </c>
      <c r="N1422" s="25">
        <f>SUM(B1422:M1422)</f>
        <v>300.24</v>
      </c>
    </row>
    <row r="1423" spans="1:15">
      <c r="A1423" s="2">
        <f t="shared" si="666"/>
        <v>2030</v>
      </c>
      <c r="B1423" s="880">
        <f>[30]MW!B986</f>
        <v>25.02</v>
      </c>
      <c r="C1423" s="880">
        <f>[30]MW!C986</f>
        <v>25.02</v>
      </c>
      <c r="D1423" s="880">
        <f>[30]MW!D986</f>
        <v>25.02</v>
      </c>
      <c r="E1423" s="880">
        <f>[30]MW!E986</f>
        <v>25.02</v>
      </c>
      <c r="F1423" s="880">
        <f>[30]MW!F986</f>
        <v>25.02</v>
      </c>
      <c r="G1423" s="880">
        <f>[30]MW!G986</f>
        <v>25.02</v>
      </c>
      <c r="H1423" s="880">
        <f>[30]MW!H986</f>
        <v>25.02</v>
      </c>
      <c r="I1423" s="880">
        <f>[30]MW!I986</f>
        <v>25.02</v>
      </c>
      <c r="J1423" s="880">
        <f>[30]MW!J986</f>
        <v>25.02</v>
      </c>
      <c r="K1423" s="880">
        <f>[30]MW!K986</f>
        <v>25.02</v>
      </c>
      <c r="L1423" s="880">
        <f>[30]MW!L986</f>
        <v>25.02</v>
      </c>
      <c r="M1423" s="880">
        <f>[30]MW!M986</f>
        <v>25.02</v>
      </c>
      <c r="N1423" s="25">
        <f>SUM(B1423:M1423)</f>
        <v>300.24</v>
      </c>
    </row>
    <row r="1424" spans="1:15">
      <c r="A1424" s="2">
        <f t="shared" si="666"/>
        <v>2031</v>
      </c>
      <c r="B1424" s="880">
        <f>[30]MW!B987</f>
        <v>25.02</v>
      </c>
      <c r="C1424" s="880">
        <f>[30]MW!C987</f>
        <v>25.02</v>
      </c>
      <c r="D1424" s="880">
        <f>[30]MW!D987</f>
        <v>25.02</v>
      </c>
      <c r="E1424" s="880">
        <f>[30]MW!E987</f>
        <v>25.02</v>
      </c>
      <c r="F1424" s="880">
        <f>[30]MW!F987</f>
        <v>25.02</v>
      </c>
      <c r="G1424" s="880">
        <f>[30]MW!G987</f>
        <v>25.02</v>
      </c>
      <c r="H1424" s="880">
        <f>[30]MW!H987</f>
        <v>25.02</v>
      </c>
      <c r="I1424" s="880">
        <f>[30]MW!I987</f>
        <v>25.02</v>
      </c>
      <c r="J1424" s="880">
        <f>[30]MW!J987</f>
        <v>25.02</v>
      </c>
      <c r="K1424" s="880">
        <f>[30]MW!K987</f>
        <v>25.02</v>
      </c>
      <c r="L1424" s="880">
        <f>[30]MW!L987</f>
        <v>25.02</v>
      </c>
      <c r="M1424" s="880">
        <f>[30]MW!M987</f>
        <v>25.02</v>
      </c>
      <c r="N1424" s="25">
        <f t="shared" ref="N1424:N1433" si="668">SUM(B1424:M1424)</f>
        <v>300.24</v>
      </c>
    </row>
    <row r="1425" spans="1:29">
      <c r="A1425" s="2">
        <f t="shared" si="666"/>
        <v>2032</v>
      </c>
      <c r="B1425" s="880">
        <f>[30]MW!B988</f>
        <v>25.02</v>
      </c>
      <c r="C1425" s="880">
        <f>[30]MW!C988</f>
        <v>25.02</v>
      </c>
      <c r="D1425" s="880">
        <f>[30]MW!D988</f>
        <v>25.02</v>
      </c>
      <c r="E1425" s="880">
        <f>[30]MW!E988</f>
        <v>25.02</v>
      </c>
      <c r="F1425" s="880">
        <f>[30]MW!F988</f>
        <v>25.02</v>
      </c>
      <c r="G1425" s="880">
        <f>[30]MW!G988</f>
        <v>25.02</v>
      </c>
      <c r="H1425" s="880">
        <f>[30]MW!H988</f>
        <v>25.02</v>
      </c>
      <c r="I1425" s="880">
        <f>[30]MW!I988</f>
        <v>25.02</v>
      </c>
      <c r="J1425" s="880">
        <f>[30]MW!J988</f>
        <v>25.02</v>
      </c>
      <c r="K1425" s="880">
        <f>[30]MW!K988</f>
        <v>25.02</v>
      </c>
      <c r="L1425" s="880">
        <f>[30]MW!L988</f>
        <v>25.02</v>
      </c>
      <c r="M1425" s="880">
        <f>[30]MW!M988</f>
        <v>25.02</v>
      </c>
      <c r="N1425" s="25">
        <f t="shared" si="668"/>
        <v>300.24</v>
      </c>
    </row>
    <row r="1426" spans="1:29">
      <c r="A1426" s="2">
        <f t="shared" si="666"/>
        <v>2033</v>
      </c>
      <c r="B1426" s="880">
        <f>[30]MW!B989</f>
        <v>25.02</v>
      </c>
      <c r="C1426" s="880">
        <f>[30]MW!C989</f>
        <v>25.02</v>
      </c>
      <c r="D1426" s="880">
        <f>[30]MW!D989</f>
        <v>25.02</v>
      </c>
      <c r="E1426" s="880">
        <f>[30]MW!E989</f>
        <v>25.02</v>
      </c>
      <c r="F1426" s="880">
        <f>[30]MW!F989</f>
        <v>25.02</v>
      </c>
      <c r="G1426" s="880">
        <f>[30]MW!G989</f>
        <v>25.02</v>
      </c>
      <c r="H1426" s="880">
        <f>[30]MW!H989</f>
        <v>25.02</v>
      </c>
      <c r="I1426" s="880">
        <f>[30]MW!I989</f>
        <v>25.02</v>
      </c>
      <c r="J1426" s="880">
        <f>[30]MW!J989</f>
        <v>25.02</v>
      </c>
      <c r="K1426" s="880">
        <f>[30]MW!K989</f>
        <v>25.02</v>
      </c>
      <c r="L1426" s="880">
        <f>[30]MW!L989</f>
        <v>25.02</v>
      </c>
      <c r="M1426" s="880">
        <f>[30]MW!M989</f>
        <v>25.02</v>
      </c>
      <c r="N1426" s="25">
        <f t="shared" si="668"/>
        <v>300.24</v>
      </c>
    </row>
    <row r="1427" spans="1:29">
      <c r="A1427" s="2">
        <f t="shared" si="666"/>
        <v>2034</v>
      </c>
      <c r="B1427" s="880">
        <f>[30]MW!B990</f>
        <v>25.02</v>
      </c>
      <c r="C1427" s="880">
        <f>[30]MW!C990</f>
        <v>25.02</v>
      </c>
      <c r="D1427" s="880">
        <f>[30]MW!D990</f>
        <v>25.02</v>
      </c>
      <c r="E1427" s="880">
        <f>[30]MW!E990</f>
        <v>25.02</v>
      </c>
      <c r="F1427" s="880">
        <f>[30]MW!F990</f>
        <v>25.02</v>
      </c>
      <c r="G1427" s="880">
        <f>[30]MW!G990</f>
        <v>25.02</v>
      </c>
      <c r="H1427" s="880">
        <f>[30]MW!H990</f>
        <v>25.02</v>
      </c>
      <c r="I1427" s="880">
        <f>[30]MW!I990</f>
        <v>25.02</v>
      </c>
      <c r="J1427" s="880">
        <f>[30]MW!J990</f>
        <v>25.02</v>
      </c>
      <c r="K1427" s="880">
        <f>[30]MW!K990</f>
        <v>25.02</v>
      </c>
      <c r="L1427" s="880">
        <f>[30]MW!L990</f>
        <v>25.02</v>
      </c>
      <c r="M1427" s="880">
        <f>[30]MW!M990</f>
        <v>25.02</v>
      </c>
      <c r="N1427" s="25">
        <f t="shared" si="668"/>
        <v>300.24</v>
      </c>
    </row>
    <row r="1428" spans="1:29">
      <c r="A1428" s="2">
        <f t="shared" si="666"/>
        <v>2035</v>
      </c>
      <c r="B1428" s="880">
        <f>[30]MW!B991</f>
        <v>25.02</v>
      </c>
      <c r="C1428" s="880">
        <f>[30]MW!C991</f>
        <v>25.02</v>
      </c>
      <c r="D1428" s="880">
        <f>[30]MW!D991</f>
        <v>25.02</v>
      </c>
      <c r="E1428" s="880">
        <f>[30]MW!E991</f>
        <v>25.02</v>
      </c>
      <c r="F1428" s="880">
        <f>[30]MW!F991</f>
        <v>25.02</v>
      </c>
      <c r="G1428" s="880">
        <f>[30]MW!G991</f>
        <v>25.02</v>
      </c>
      <c r="H1428" s="880">
        <f>[30]MW!H991</f>
        <v>25.02</v>
      </c>
      <c r="I1428" s="880">
        <f>[30]MW!I991</f>
        <v>25.02</v>
      </c>
      <c r="J1428" s="880">
        <f>[30]MW!J991</f>
        <v>25.02</v>
      </c>
      <c r="K1428" s="880">
        <f>[30]MW!K991</f>
        <v>25.02</v>
      </c>
      <c r="L1428" s="880">
        <f>[30]MW!L991</f>
        <v>25.02</v>
      </c>
      <c r="M1428" s="880">
        <f>[30]MW!M991</f>
        <v>25.02</v>
      </c>
      <c r="N1428" s="25">
        <f t="shared" si="668"/>
        <v>300.24</v>
      </c>
    </row>
    <row r="1429" spans="1:29">
      <c r="A1429" s="2">
        <f t="shared" si="666"/>
        <v>2036</v>
      </c>
      <c r="B1429" s="880">
        <f>[30]MW!B992</f>
        <v>25.02</v>
      </c>
      <c r="C1429" s="880">
        <f>[30]MW!C992</f>
        <v>25.02</v>
      </c>
      <c r="D1429" s="880">
        <f>[30]MW!D992</f>
        <v>25.02</v>
      </c>
      <c r="E1429" s="880">
        <f>[30]MW!E992</f>
        <v>25.02</v>
      </c>
      <c r="F1429" s="880">
        <f>[30]MW!F992</f>
        <v>25.02</v>
      </c>
      <c r="G1429" s="880">
        <f>[30]MW!G992</f>
        <v>25.02</v>
      </c>
      <c r="H1429" s="880">
        <f>[30]MW!H992</f>
        <v>25.02</v>
      </c>
      <c r="I1429" s="880">
        <f>[30]MW!I992</f>
        <v>25.02</v>
      </c>
      <c r="J1429" s="880">
        <f>[30]MW!J992</f>
        <v>25.02</v>
      </c>
      <c r="K1429" s="880">
        <f>[30]MW!K992</f>
        <v>25.02</v>
      </c>
      <c r="L1429" s="880">
        <f>[30]MW!L992</f>
        <v>25.02</v>
      </c>
      <c r="M1429" s="880">
        <f>[30]MW!M992</f>
        <v>25.02</v>
      </c>
      <c r="N1429" s="25">
        <f t="shared" si="668"/>
        <v>300.24</v>
      </c>
    </row>
    <row r="1430" spans="1:29">
      <c r="A1430" s="2">
        <f t="shared" si="666"/>
        <v>2037</v>
      </c>
      <c r="B1430" s="880">
        <f>[30]MW!B993</f>
        <v>25.02</v>
      </c>
      <c r="C1430" s="880">
        <f>[30]MW!C993</f>
        <v>25.02</v>
      </c>
      <c r="D1430" s="880">
        <f>[30]MW!D993</f>
        <v>25.02</v>
      </c>
      <c r="E1430" s="880">
        <f>[30]MW!E993</f>
        <v>25.02</v>
      </c>
      <c r="F1430" s="880">
        <f>[30]MW!F993</f>
        <v>25.02</v>
      </c>
      <c r="G1430" s="880">
        <f>[30]MW!G993</f>
        <v>25.02</v>
      </c>
      <c r="H1430" s="880">
        <f>[30]MW!H993</f>
        <v>25.02</v>
      </c>
      <c r="I1430" s="880">
        <f>[30]MW!I993</f>
        <v>25.02</v>
      </c>
      <c r="J1430" s="880">
        <f>[30]MW!J993</f>
        <v>25.02</v>
      </c>
      <c r="K1430" s="880">
        <f>[30]MW!K993</f>
        <v>25.02</v>
      </c>
      <c r="L1430" s="880">
        <f>[30]MW!L993</f>
        <v>25.02</v>
      </c>
      <c r="M1430" s="880">
        <f>[30]MW!M993</f>
        <v>25.02</v>
      </c>
      <c r="N1430" s="25">
        <f t="shared" si="668"/>
        <v>300.24</v>
      </c>
    </row>
    <row r="1431" spans="1:29">
      <c r="A1431" s="2">
        <f t="shared" si="666"/>
        <v>2038</v>
      </c>
      <c r="B1431" s="880">
        <f>[30]MW!B994</f>
        <v>25.02</v>
      </c>
      <c r="C1431" s="880">
        <f>[30]MW!C994</f>
        <v>25.02</v>
      </c>
      <c r="D1431" s="880">
        <f>[30]MW!D994</f>
        <v>25.02</v>
      </c>
      <c r="E1431" s="880">
        <f>[30]MW!E994</f>
        <v>25.02</v>
      </c>
      <c r="F1431" s="880">
        <f>[30]MW!F994</f>
        <v>25.02</v>
      </c>
      <c r="G1431" s="880">
        <f>[30]MW!G994</f>
        <v>25.02</v>
      </c>
      <c r="H1431" s="880">
        <f>[30]MW!H994</f>
        <v>25.02</v>
      </c>
      <c r="I1431" s="880">
        <f>[30]MW!I994</f>
        <v>25.02</v>
      </c>
      <c r="J1431" s="880">
        <f>[30]MW!J994</f>
        <v>25.02</v>
      </c>
      <c r="K1431" s="880">
        <f>[30]MW!K994</f>
        <v>25.02</v>
      </c>
      <c r="L1431" s="880">
        <f>[30]MW!L994</f>
        <v>25.02</v>
      </c>
      <c r="M1431" s="880">
        <f>[30]MW!M994</f>
        <v>25.02</v>
      </c>
      <c r="N1431" s="25">
        <f t="shared" si="668"/>
        <v>300.24</v>
      </c>
    </row>
    <row r="1432" spans="1:29">
      <c r="A1432" s="2">
        <f t="shared" si="666"/>
        <v>2039</v>
      </c>
      <c r="B1432" s="880">
        <f>[30]MW!B995</f>
        <v>25.02</v>
      </c>
      <c r="C1432" s="880">
        <f>[30]MW!C995</f>
        <v>25.02</v>
      </c>
      <c r="D1432" s="880">
        <f>[30]MW!D995</f>
        <v>25.02</v>
      </c>
      <c r="E1432" s="880">
        <f>[30]MW!E995</f>
        <v>25.02</v>
      </c>
      <c r="F1432" s="880">
        <f>[30]MW!F995</f>
        <v>25.02</v>
      </c>
      <c r="G1432" s="880">
        <f>[30]MW!G995</f>
        <v>25.02</v>
      </c>
      <c r="H1432" s="880">
        <f>[30]MW!H995</f>
        <v>25.02</v>
      </c>
      <c r="I1432" s="880">
        <f>[30]MW!I995</f>
        <v>25.02</v>
      </c>
      <c r="J1432" s="880">
        <f>[30]MW!J995</f>
        <v>25.02</v>
      </c>
      <c r="K1432" s="880">
        <f>[30]MW!K995</f>
        <v>25.02</v>
      </c>
      <c r="L1432" s="880">
        <f>[30]MW!L995</f>
        <v>25.02</v>
      </c>
      <c r="M1432" s="880">
        <f>[30]MW!M995</f>
        <v>25.02</v>
      </c>
      <c r="N1432" s="25">
        <f t="shared" si="668"/>
        <v>300.24</v>
      </c>
    </row>
    <row r="1433" spans="1:29">
      <c r="A1433" s="2">
        <f t="shared" si="666"/>
        <v>2040</v>
      </c>
      <c r="B1433" s="880">
        <f>[30]MW!B996</f>
        <v>25.02</v>
      </c>
      <c r="C1433" s="880">
        <f>[30]MW!C996</f>
        <v>25.02</v>
      </c>
      <c r="D1433" s="880">
        <f>[30]MW!D996</f>
        <v>25.02</v>
      </c>
      <c r="E1433" s="880">
        <f>[30]MW!E996</f>
        <v>25.02</v>
      </c>
      <c r="F1433" s="880">
        <f>[30]MW!F996</f>
        <v>25.02</v>
      </c>
      <c r="G1433" s="880">
        <f>[30]MW!G996</f>
        <v>25.02</v>
      </c>
      <c r="H1433" s="880">
        <f>[30]MW!H996</f>
        <v>25.02</v>
      </c>
      <c r="I1433" s="880">
        <f>[30]MW!I996</f>
        <v>25.02</v>
      </c>
      <c r="J1433" s="880">
        <f>[30]MW!J996</f>
        <v>25.02</v>
      </c>
      <c r="K1433" s="880">
        <f>[30]MW!K996</f>
        <v>25.02</v>
      </c>
      <c r="L1433" s="880">
        <f>[30]MW!L996</f>
        <v>25.02</v>
      </c>
      <c r="M1433" s="880">
        <f>[30]MW!M996</f>
        <v>25.02</v>
      </c>
      <c r="N1433" s="25">
        <f t="shared" si="668"/>
        <v>300.24</v>
      </c>
    </row>
    <row r="1434" spans="1:29">
      <c r="A1434" s="2">
        <f t="shared" si="666"/>
        <v>2041</v>
      </c>
    </row>
    <row r="1435" spans="1:29">
      <c r="A1435" s="2">
        <f t="shared" si="666"/>
        <v>2042</v>
      </c>
    </row>
    <row r="1436" spans="1:29">
      <c r="A1436" s="2">
        <f t="shared" si="666"/>
        <v>2043</v>
      </c>
    </row>
    <row r="1437" spans="1:29">
      <c r="A1437" s="2">
        <f t="shared" si="666"/>
        <v>2044</v>
      </c>
    </row>
    <row r="1438" spans="1:29">
      <c r="A1438" s="2">
        <f t="shared" si="666"/>
        <v>2045</v>
      </c>
    </row>
    <row r="1439" spans="1:29"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156" ht="13.5">
      <c r="A1441" s="595" t="s">
        <v>510</v>
      </c>
      <c r="G1441" s="2" t="s">
        <v>398</v>
      </c>
      <c r="J1441" s="454"/>
      <c r="K1441" s="30" t="s">
        <v>311</v>
      </c>
      <c r="O1441"/>
    </row>
    <row r="1442" spans="1:156" s="27" customFormat="1">
      <c r="A1442" s="27" t="s">
        <v>9</v>
      </c>
      <c r="B1442" s="27" t="s">
        <v>28</v>
      </c>
      <c r="C1442" s="27" t="s">
        <v>29</v>
      </c>
      <c r="D1442" s="27" t="s">
        <v>30</v>
      </c>
      <c r="E1442" s="27" t="s">
        <v>31</v>
      </c>
      <c r="F1442" s="27" t="s">
        <v>32</v>
      </c>
      <c r="G1442" s="27" t="s">
        <v>33</v>
      </c>
      <c r="H1442" s="27" t="s">
        <v>34</v>
      </c>
      <c r="I1442" s="27" t="s">
        <v>35</v>
      </c>
      <c r="J1442" s="27" t="s">
        <v>36</v>
      </c>
      <c r="K1442" s="27" t="s">
        <v>37</v>
      </c>
      <c r="L1442" s="27" t="s">
        <v>38</v>
      </c>
      <c r="M1442" s="27" t="s">
        <v>39</v>
      </c>
      <c r="N1442" s="33" t="s">
        <v>56</v>
      </c>
      <c r="O144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>
      <c r="A1443" s="2">
        <f>A1403</f>
        <v>2010</v>
      </c>
      <c r="B1443" s="34">
        <f>[30]MW!B1006</f>
        <v>75</v>
      </c>
      <c r="C1443" s="34">
        <f>[30]MW!C1006</f>
        <v>45</v>
      </c>
      <c r="D1443" s="34">
        <f>[30]MW!D1006</f>
        <v>30</v>
      </c>
      <c r="E1443" s="34">
        <f>[30]MW!E1006</f>
        <v>75</v>
      </c>
      <c r="F1443" s="34">
        <f>[30]MW!F1006</f>
        <v>57</v>
      </c>
      <c r="G1443" s="34">
        <f>[30]MW!G1006</f>
        <v>75</v>
      </c>
      <c r="H1443" s="34">
        <f>[30]MW!H1006</f>
        <v>100</v>
      </c>
      <c r="I1443" s="34">
        <f>[30]MW!I1006</f>
        <v>100</v>
      </c>
      <c r="J1443" s="34">
        <f>[30]MW!J1006</f>
        <v>75</v>
      </c>
      <c r="K1443" s="34">
        <f>[30]MW!K1006</f>
        <v>36</v>
      </c>
      <c r="L1443" s="34">
        <f>[30]MW!L1006</f>
        <v>0</v>
      </c>
      <c r="M1443" s="34">
        <f>[30]MW!M1006</f>
        <v>75</v>
      </c>
      <c r="N1443" s="25">
        <f t="shared" ref="N1443:N1453" si="669">SUM(B1443:M1443)</f>
        <v>743</v>
      </c>
      <c r="O1443"/>
    </row>
    <row r="1444" spans="1:156">
      <c r="A1444" s="2">
        <f t="shared" ref="A1444:A1477" si="670">A1404</f>
        <v>2011</v>
      </c>
      <c r="B1444" s="880">
        <f>[30]MW!B1007</f>
        <v>50</v>
      </c>
      <c r="C1444" s="880">
        <f>[30]MW!C1007</f>
        <v>50</v>
      </c>
      <c r="D1444" s="880">
        <f>[30]MW!D1007</f>
        <v>50</v>
      </c>
      <c r="E1444" s="880">
        <f>[30]MW!E1007</f>
        <v>50</v>
      </c>
      <c r="F1444" s="880">
        <f>[30]MW!F1007</f>
        <v>50</v>
      </c>
      <c r="G1444" s="880">
        <f>[30]MW!G1007</f>
        <v>50</v>
      </c>
      <c r="H1444" s="880">
        <f>[30]MW!H1007</f>
        <v>50</v>
      </c>
      <c r="I1444" s="880">
        <f>[30]MW!I1007</f>
        <v>50</v>
      </c>
      <c r="J1444" s="880">
        <f>[30]MW!J1007</f>
        <v>50</v>
      </c>
      <c r="K1444" s="880">
        <f>[30]MW!K1007</f>
        <v>50</v>
      </c>
      <c r="L1444" s="880">
        <f>[30]MW!L1007</f>
        <v>50</v>
      </c>
      <c r="M1444" s="880">
        <f>[30]MW!M1007</f>
        <v>50</v>
      </c>
      <c r="N1444" s="25">
        <f t="shared" si="669"/>
        <v>600</v>
      </c>
      <c r="O1444"/>
    </row>
    <row r="1445" spans="1:156">
      <c r="A1445" s="2">
        <f t="shared" si="670"/>
        <v>2012</v>
      </c>
      <c r="B1445" s="880">
        <f>[30]MW!B1008</f>
        <v>50</v>
      </c>
      <c r="C1445" s="880">
        <f>[30]MW!C1008</f>
        <v>50</v>
      </c>
      <c r="D1445" s="880">
        <f>[30]MW!D1008</f>
        <v>50</v>
      </c>
      <c r="E1445" s="880">
        <f>[30]MW!E1008</f>
        <v>50</v>
      </c>
      <c r="F1445" s="880">
        <f>[30]MW!F1008</f>
        <v>50</v>
      </c>
      <c r="G1445" s="880">
        <f>[30]MW!G1008</f>
        <v>50</v>
      </c>
      <c r="H1445" s="880">
        <f>[30]MW!H1008</f>
        <v>50</v>
      </c>
      <c r="I1445" s="880">
        <f>[30]MW!I1008</f>
        <v>50</v>
      </c>
      <c r="J1445" s="880">
        <f>[30]MW!J1008</f>
        <v>50</v>
      </c>
      <c r="K1445" s="880">
        <f>[30]MW!K1008</f>
        <v>50</v>
      </c>
      <c r="L1445" s="880">
        <f>[30]MW!L1008</f>
        <v>50</v>
      </c>
      <c r="M1445" s="880">
        <f>[30]MW!M1008</f>
        <v>50</v>
      </c>
      <c r="N1445" s="25">
        <f t="shared" si="669"/>
        <v>600</v>
      </c>
      <c r="O1445"/>
    </row>
    <row r="1446" spans="1:156">
      <c r="A1446" s="2">
        <f t="shared" si="670"/>
        <v>2013</v>
      </c>
      <c r="B1446" s="880">
        <f>[30]MW!B1009</f>
        <v>50.04</v>
      </c>
      <c r="C1446" s="880">
        <f>[30]MW!C1009</f>
        <v>50.04</v>
      </c>
      <c r="D1446" s="880">
        <f>[30]MW!D1009</f>
        <v>50.04</v>
      </c>
      <c r="E1446" s="880">
        <f>[30]MW!E1009</f>
        <v>50.04</v>
      </c>
      <c r="F1446" s="880">
        <f>[30]MW!F1009</f>
        <v>50.04</v>
      </c>
      <c r="G1446" s="880">
        <f>[30]MW!G1009</f>
        <v>50.04</v>
      </c>
      <c r="H1446" s="880">
        <f>[30]MW!H1009</f>
        <v>50.04</v>
      </c>
      <c r="I1446" s="880">
        <f>[30]MW!I1009</f>
        <v>50.04</v>
      </c>
      <c r="J1446" s="880">
        <f>[30]MW!J1009</f>
        <v>50.04</v>
      </c>
      <c r="K1446" s="880">
        <f>[30]MW!K1009</f>
        <v>50.04</v>
      </c>
      <c r="L1446" s="880">
        <f>[30]MW!L1009</f>
        <v>50.04</v>
      </c>
      <c r="M1446" s="880">
        <f>[30]MW!M1009</f>
        <v>50.04</v>
      </c>
      <c r="N1446" s="25">
        <f t="shared" si="669"/>
        <v>600.48</v>
      </c>
      <c r="O1446"/>
    </row>
    <row r="1447" spans="1:156">
      <c r="A1447" s="2">
        <f t="shared" si="670"/>
        <v>2014</v>
      </c>
      <c r="B1447" s="880">
        <f>[30]MW!B1010</f>
        <v>0</v>
      </c>
      <c r="C1447" s="880">
        <f>[30]MW!C1010</f>
        <v>0</v>
      </c>
      <c r="D1447" s="880">
        <f>[30]MW!D1010</f>
        <v>0</v>
      </c>
      <c r="E1447" s="880">
        <f>[30]MW!E1010</f>
        <v>0</v>
      </c>
      <c r="F1447" s="880">
        <f>[30]MW!F1010</f>
        <v>0</v>
      </c>
      <c r="G1447" s="880">
        <f>[30]MW!G1010</f>
        <v>0</v>
      </c>
      <c r="H1447" s="880">
        <f>[30]MW!H1010</f>
        <v>0</v>
      </c>
      <c r="I1447" s="880">
        <f>[30]MW!I1010</f>
        <v>0</v>
      </c>
      <c r="J1447" s="880">
        <f>[30]MW!J1010</f>
        <v>0</v>
      </c>
      <c r="K1447" s="880">
        <f>[30]MW!K1010</f>
        <v>0</v>
      </c>
      <c r="L1447" s="880">
        <f>[30]MW!L1010</f>
        <v>0</v>
      </c>
      <c r="M1447" s="880">
        <f>[30]MW!M1010</f>
        <v>0</v>
      </c>
      <c r="N1447" s="25">
        <f t="shared" si="669"/>
        <v>0</v>
      </c>
      <c r="O1447"/>
    </row>
    <row r="1448" spans="1:156">
      <c r="A1448" s="2">
        <f t="shared" si="670"/>
        <v>2015</v>
      </c>
      <c r="B1448" s="880">
        <f>[30]MW!B1011</f>
        <v>0</v>
      </c>
      <c r="C1448" s="880">
        <f>[30]MW!C1011</f>
        <v>0</v>
      </c>
      <c r="D1448" s="880">
        <f>[30]MW!D1011</f>
        <v>0</v>
      </c>
      <c r="E1448" s="880">
        <f>[30]MW!E1011</f>
        <v>0</v>
      </c>
      <c r="F1448" s="880">
        <f>[30]MW!F1011</f>
        <v>0</v>
      </c>
      <c r="G1448" s="880">
        <f>[30]MW!G1011</f>
        <v>0</v>
      </c>
      <c r="H1448" s="880">
        <f>[30]MW!H1011</f>
        <v>0</v>
      </c>
      <c r="I1448" s="880">
        <f>[30]MW!I1011</f>
        <v>0</v>
      </c>
      <c r="J1448" s="880">
        <f>[30]MW!J1011</f>
        <v>0</v>
      </c>
      <c r="K1448" s="880">
        <f>[30]MW!K1011</f>
        <v>0</v>
      </c>
      <c r="L1448" s="880">
        <f>[30]MW!L1011</f>
        <v>0</v>
      </c>
      <c r="M1448" s="880">
        <f>[30]MW!M1011</f>
        <v>0</v>
      </c>
      <c r="N1448" s="25">
        <f t="shared" si="669"/>
        <v>0</v>
      </c>
      <c r="O1448"/>
    </row>
    <row r="1449" spans="1:156">
      <c r="A1449" s="2">
        <f t="shared" si="670"/>
        <v>2016</v>
      </c>
      <c r="B1449" s="880">
        <f>[30]MW!B1012</f>
        <v>0</v>
      </c>
      <c r="C1449" s="880">
        <f>[30]MW!C1012</f>
        <v>0</v>
      </c>
      <c r="D1449" s="880">
        <f>[30]MW!D1012</f>
        <v>0</v>
      </c>
      <c r="E1449" s="880">
        <f>[30]MW!E1012</f>
        <v>0</v>
      </c>
      <c r="F1449" s="880">
        <f>[30]MW!F1012</f>
        <v>0</v>
      </c>
      <c r="G1449" s="880">
        <f>[30]MW!G1012</f>
        <v>0</v>
      </c>
      <c r="H1449" s="880">
        <f>[30]MW!H1012</f>
        <v>0</v>
      </c>
      <c r="I1449" s="880">
        <f>[30]MW!I1012</f>
        <v>0</v>
      </c>
      <c r="J1449" s="880">
        <f>[30]MW!J1012</f>
        <v>0</v>
      </c>
      <c r="K1449" s="880">
        <f>[30]MW!K1012</f>
        <v>0</v>
      </c>
      <c r="L1449" s="880">
        <f>[30]MW!L1012</f>
        <v>0</v>
      </c>
      <c r="M1449" s="880">
        <f>[30]MW!M1012</f>
        <v>0</v>
      </c>
      <c r="N1449" s="25">
        <f t="shared" si="669"/>
        <v>0</v>
      </c>
      <c r="O1449"/>
    </row>
    <row r="1450" spans="1:156">
      <c r="A1450" s="2">
        <f t="shared" si="670"/>
        <v>2017</v>
      </c>
      <c r="B1450" s="880">
        <f>[30]MW!B1013</f>
        <v>0</v>
      </c>
      <c r="C1450" s="880">
        <f>[30]MW!C1013</f>
        <v>0</v>
      </c>
      <c r="D1450" s="880">
        <f>[30]MW!D1013</f>
        <v>0</v>
      </c>
      <c r="E1450" s="880">
        <f>[30]MW!E1013</f>
        <v>0</v>
      </c>
      <c r="F1450" s="880">
        <f>[30]MW!F1013</f>
        <v>0</v>
      </c>
      <c r="G1450" s="880">
        <f>[30]MW!G1013</f>
        <v>0</v>
      </c>
      <c r="H1450" s="880">
        <f>[30]MW!H1013</f>
        <v>0</v>
      </c>
      <c r="I1450" s="880">
        <f>[30]MW!I1013</f>
        <v>0</v>
      </c>
      <c r="J1450" s="880">
        <f>[30]MW!J1013</f>
        <v>0</v>
      </c>
      <c r="K1450" s="880">
        <f>[30]MW!K1013</f>
        <v>0</v>
      </c>
      <c r="L1450" s="880">
        <f>[30]MW!L1013</f>
        <v>0</v>
      </c>
      <c r="M1450" s="880">
        <f>[30]MW!M1013</f>
        <v>0</v>
      </c>
      <c r="N1450" s="25">
        <f t="shared" si="669"/>
        <v>0</v>
      </c>
      <c r="O1450"/>
    </row>
    <row r="1451" spans="1:156">
      <c r="A1451" s="2">
        <f t="shared" si="670"/>
        <v>2018</v>
      </c>
      <c r="B1451" s="880">
        <f>[30]MW!B1014</f>
        <v>0</v>
      </c>
      <c r="C1451" s="880">
        <f>[30]MW!C1014</f>
        <v>0</v>
      </c>
      <c r="D1451" s="880">
        <f>[30]MW!D1014</f>
        <v>0</v>
      </c>
      <c r="E1451" s="880">
        <f>[30]MW!E1014</f>
        <v>0</v>
      </c>
      <c r="F1451" s="880">
        <f>[30]MW!F1014</f>
        <v>0</v>
      </c>
      <c r="G1451" s="880">
        <f>[30]MW!G1014</f>
        <v>0</v>
      </c>
      <c r="H1451" s="880">
        <f>[30]MW!H1014</f>
        <v>0</v>
      </c>
      <c r="I1451" s="880">
        <f>[30]MW!I1014</f>
        <v>0</v>
      </c>
      <c r="J1451" s="880">
        <f>[30]MW!J1014</f>
        <v>0</v>
      </c>
      <c r="K1451" s="880">
        <f>[30]MW!K1014</f>
        <v>0</v>
      </c>
      <c r="L1451" s="880">
        <f>[30]MW!L1014</f>
        <v>0</v>
      </c>
      <c r="M1451" s="880">
        <f>[30]MW!M1014</f>
        <v>0</v>
      </c>
      <c r="N1451" s="25">
        <f t="shared" si="669"/>
        <v>0</v>
      </c>
      <c r="O1451"/>
    </row>
    <row r="1452" spans="1:156">
      <c r="A1452" s="2">
        <f t="shared" si="670"/>
        <v>2019</v>
      </c>
      <c r="B1452" s="880">
        <f>[30]MW!B1015</f>
        <v>0</v>
      </c>
      <c r="C1452" s="880">
        <f>[30]MW!C1015</f>
        <v>0</v>
      </c>
      <c r="D1452" s="880">
        <f>[30]MW!D1015</f>
        <v>0</v>
      </c>
      <c r="E1452" s="880">
        <f>[30]MW!E1015</f>
        <v>0</v>
      </c>
      <c r="F1452" s="880">
        <f>[30]MW!F1015</f>
        <v>0</v>
      </c>
      <c r="G1452" s="880">
        <f>[30]MW!G1015</f>
        <v>0</v>
      </c>
      <c r="H1452" s="880">
        <f>[30]MW!H1015</f>
        <v>0</v>
      </c>
      <c r="I1452" s="880">
        <f>[30]MW!I1015</f>
        <v>0</v>
      </c>
      <c r="J1452" s="880">
        <f>[30]MW!J1015</f>
        <v>0</v>
      </c>
      <c r="K1452" s="880">
        <f>[30]MW!K1015</f>
        <v>0</v>
      </c>
      <c r="L1452" s="880">
        <f>[30]MW!L1015</f>
        <v>0</v>
      </c>
      <c r="M1452" s="880">
        <f>[30]MW!M1015</f>
        <v>0</v>
      </c>
      <c r="N1452" s="25">
        <f t="shared" si="669"/>
        <v>0</v>
      </c>
      <c r="O1452"/>
    </row>
    <row r="1453" spans="1:156">
      <c r="A1453" s="2">
        <f t="shared" si="670"/>
        <v>2020</v>
      </c>
      <c r="B1453" s="880">
        <f>[30]MW!B1016</f>
        <v>0</v>
      </c>
      <c r="C1453" s="880">
        <f>[30]MW!C1016</f>
        <v>0</v>
      </c>
      <c r="D1453" s="880">
        <f>[30]MW!D1016</f>
        <v>0</v>
      </c>
      <c r="E1453" s="880">
        <f>[30]MW!E1016</f>
        <v>0</v>
      </c>
      <c r="F1453" s="880">
        <f>[30]MW!F1016</f>
        <v>0</v>
      </c>
      <c r="G1453" s="880">
        <f>[30]MW!G1016</f>
        <v>0</v>
      </c>
      <c r="H1453" s="880">
        <f>[30]MW!H1016</f>
        <v>0</v>
      </c>
      <c r="I1453" s="880">
        <f>[30]MW!I1016</f>
        <v>0</v>
      </c>
      <c r="J1453" s="880">
        <f>[30]MW!J1016</f>
        <v>0</v>
      </c>
      <c r="K1453" s="880">
        <f>[30]MW!K1016</f>
        <v>0</v>
      </c>
      <c r="L1453" s="880">
        <f>[30]MW!L1016</f>
        <v>0</v>
      </c>
      <c r="M1453" s="880">
        <f>[30]MW!M1016</f>
        <v>0</v>
      </c>
      <c r="N1453" s="25">
        <f t="shared" si="669"/>
        <v>0</v>
      </c>
      <c r="O1453"/>
    </row>
    <row r="1454" spans="1:156">
      <c r="A1454" s="2">
        <f t="shared" si="670"/>
        <v>2021</v>
      </c>
      <c r="B1454" s="880">
        <f>[30]MW!B1017</f>
        <v>0</v>
      </c>
      <c r="C1454" s="880">
        <f>[30]MW!C1017</f>
        <v>0</v>
      </c>
      <c r="D1454" s="880">
        <f>[30]MW!D1017</f>
        <v>0</v>
      </c>
      <c r="E1454" s="880">
        <f>[30]MW!E1017</f>
        <v>0</v>
      </c>
      <c r="F1454" s="880">
        <f>[30]MW!F1017</f>
        <v>0</v>
      </c>
      <c r="G1454" s="880">
        <f>[30]MW!G1017</f>
        <v>0</v>
      </c>
      <c r="H1454" s="880">
        <f>[30]MW!H1017</f>
        <v>0</v>
      </c>
      <c r="I1454" s="880">
        <f>[30]MW!I1017</f>
        <v>0</v>
      </c>
      <c r="J1454" s="880">
        <f>[30]MW!J1017</f>
        <v>0</v>
      </c>
      <c r="K1454" s="880">
        <f>[30]MW!K1017</f>
        <v>0</v>
      </c>
      <c r="L1454" s="880">
        <f>[30]MW!L1017</f>
        <v>0</v>
      </c>
      <c r="M1454" s="880">
        <f>[30]MW!M1017</f>
        <v>0</v>
      </c>
      <c r="N1454" s="25">
        <f t="shared" ref="N1454:N1459" si="671">SUM(B1454:M1454)</f>
        <v>0</v>
      </c>
      <c r="O1454"/>
    </row>
    <row r="1455" spans="1:156">
      <c r="A1455" s="2">
        <f t="shared" si="670"/>
        <v>2022</v>
      </c>
      <c r="B1455" s="880">
        <f>[30]MW!B1018</f>
        <v>0</v>
      </c>
      <c r="C1455" s="880">
        <f>[30]MW!C1018</f>
        <v>0</v>
      </c>
      <c r="D1455" s="880">
        <f>[30]MW!D1018</f>
        <v>0</v>
      </c>
      <c r="E1455" s="880">
        <f>[30]MW!E1018</f>
        <v>0</v>
      </c>
      <c r="F1455" s="880">
        <f>[30]MW!F1018</f>
        <v>0</v>
      </c>
      <c r="G1455" s="880">
        <f>[30]MW!G1018</f>
        <v>0</v>
      </c>
      <c r="H1455" s="880">
        <f>[30]MW!H1018</f>
        <v>0</v>
      </c>
      <c r="I1455" s="880">
        <f>[30]MW!I1018</f>
        <v>0</v>
      </c>
      <c r="J1455" s="880">
        <f>[30]MW!J1018</f>
        <v>0</v>
      </c>
      <c r="K1455" s="880">
        <f>[30]MW!K1018</f>
        <v>0</v>
      </c>
      <c r="L1455" s="880">
        <f>[30]MW!L1018</f>
        <v>0</v>
      </c>
      <c r="M1455" s="880">
        <f>[30]MW!M1018</f>
        <v>0</v>
      </c>
      <c r="N1455" s="25">
        <f t="shared" si="671"/>
        <v>0</v>
      </c>
      <c r="O1455"/>
    </row>
    <row r="1456" spans="1:156">
      <c r="A1456" s="2">
        <f t="shared" si="670"/>
        <v>2023</v>
      </c>
      <c r="B1456" s="880">
        <f>[30]MW!B1019</f>
        <v>0</v>
      </c>
      <c r="C1456" s="880">
        <f>[30]MW!C1019</f>
        <v>0</v>
      </c>
      <c r="D1456" s="880">
        <f>[30]MW!D1019</f>
        <v>0</v>
      </c>
      <c r="E1456" s="880">
        <f>[30]MW!E1019</f>
        <v>0</v>
      </c>
      <c r="F1456" s="880">
        <f>[30]MW!F1019</f>
        <v>0</v>
      </c>
      <c r="G1456" s="880">
        <f>[30]MW!G1019</f>
        <v>0</v>
      </c>
      <c r="H1456" s="880">
        <f>[30]MW!H1019</f>
        <v>0</v>
      </c>
      <c r="I1456" s="880">
        <f>[30]MW!I1019</f>
        <v>0</v>
      </c>
      <c r="J1456" s="880">
        <f>[30]MW!J1019</f>
        <v>0</v>
      </c>
      <c r="K1456" s="880">
        <f>[30]MW!K1019</f>
        <v>0</v>
      </c>
      <c r="L1456" s="880">
        <f>[30]MW!L1019</f>
        <v>0</v>
      </c>
      <c r="M1456" s="880">
        <f>[30]MW!M1019</f>
        <v>0</v>
      </c>
      <c r="N1456" s="25">
        <f t="shared" si="671"/>
        <v>0</v>
      </c>
      <c r="O1456"/>
    </row>
    <row r="1457" spans="1:15">
      <c r="A1457" s="2">
        <f t="shared" si="670"/>
        <v>2024</v>
      </c>
      <c r="B1457" s="880">
        <f>[30]MW!B1020</f>
        <v>0</v>
      </c>
      <c r="C1457" s="880">
        <f>[30]MW!C1020</f>
        <v>0</v>
      </c>
      <c r="D1457" s="880">
        <f>[30]MW!D1020</f>
        <v>0</v>
      </c>
      <c r="E1457" s="880">
        <f>[30]MW!E1020</f>
        <v>0</v>
      </c>
      <c r="F1457" s="880">
        <f>[30]MW!F1020</f>
        <v>0</v>
      </c>
      <c r="G1457" s="880">
        <f>[30]MW!G1020</f>
        <v>0</v>
      </c>
      <c r="H1457" s="880">
        <f>[30]MW!H1020</f>
        <v>0</v>
      </c>
      <c r="I1457" s="880">
        <f>[30]MW!I1020</f>
        <v>0</v>
      </c>
      <c r="J1457" s="880">
        <f>[30]MW!J1020</f>
        <v>0</v>
      </c>
      <c r="K1457" s="880">
        <f>[30]MW!K1020</f>
        <v>0</v>
      </c>
      <c r="L1457" s="880">
        <f>[30]MW!L1020</f>
        <v>0</v>
      </c>
      <c r="M1457" s="880">
        <f>[30]MW!M1020</f>
        <v>0</v>
      </c>
      <c r="N1457" s="25">
        <f t="shared" si="671"/>
        <v>0</v>
      </c>
      <c r="O1457"/>
    </row>
    <row r="1458" spans="1:15">
      <c r="A1458" s="2">
        <f t="shared" si="670"/>
        <v>2025</v>
      </c>
      <c r="B1458" s="880">
        <f>[30]MW!B1021</f>
        <v>0</v>
      </c>
      <c r="C1458" s="880">
        <f>[30]MW!C1021</f>
        <v>0</v>
      </c>
      <c r="D1458" s="880">
        <f>[30]MW!D1021</f>
        <v>0</v>
      </c>
      <c r="E1458" s="880">
        <f>[30]MW!E1021</f>
        <v>0</v>
      </c>
      <c r="F1458" s="880">
        <f>[30]MW!F1021</f>
        <v>0</v>
      </c>
      <c r="G1458" s="880">
        <f>[30]MW!G1021</f>
        <v>0</v>
      </c>
      <c r="H1458" s="880">
        <f>[30]MW!H1021</f>
        <v>0</v>
      </c>
      <c r="I1458" s="880">
        <f>[30]MW!I1021</f>
        <v>0</v>
      </c>
      <c r="J1458" s="880">
        <f>[30]MW!J1021</f>
        <v>0</v>
      </c>
      <c r="K1458" s="880">
        <f>[30]MW!K1021</f>
        <v>0</v>
      </c>
      <c r="L1458" s="880">
        <f>[30]MW!L1021</f>
        <v>0</v>
      </c>
      <c r="M1458" s="880">
        <f>[30]MW!M1021</f>
        <v>0</v>
      </c>
      <c r="N1458" s="25">
        <f t="shared" si="671"/>
        <v>0</v>
      </c>
      <c r="O1458"/>
    </row>
    <row r="1459" spans="1:15">
      <c r="A1459" s="2">
        <f t="shared" si="670"/>
        <v>2026</v>
      </c>
      <c r="B1459" s="880">
        <f>[30]MW!B1022</f>
        <v>0</v>
      </c>
      <c r="C1459" s="880">
        <f>[30]MW!C1022</f>
        <v>0</v>
      </c>
      <c r="D1459" s="880">
        <f>[30]MW!D1022</f>
        <v>0</v>
      </c>
      <c r="E1459" s="880">
        <f>[30]MW!E1022</f>
        <v>0</v>
      </c>
      <c r="F1459" s="880">
        <f>[30]MW!F1022</f>
        <v>0</v>
      </c>
      <c r="G1459" s="880">
        <f>[30]MW!G1022</f>
        <v>0</v>
      </c>
      <c r="H1459" s="880">
        <f>[30]MW!H1022</f>
        <v>0</v>
      </c>
      <c r="I1459" s="880">
        <f>[30]MW!I1022</f>
        <v>0</v>
      </c>
      <c r="J1459" s="880">
        <f>[30]MW!J1022</f>
        <v>0</v>
      </c>
      <c r="K1459" s="880">
        <f>[30]MW!K1022</f>
        <v>0</v>
      </c>
      <c r="L1459" s="880">
        <f>[30]MW!L1022</f>
        <v>0</v>
      </c>
      <c r="M1459" s="880">
        <f>[30]MW!M1022</f>
        <v>0</v>
      </c>
      <c r="N1459" s="25">
        <f t="shared" si="671"/>
        <v>0</v>
      </c>
      <c r="O1459"/>
    </row>
    <row r="1460" spans="1:15">
      <c r="A1460" s="2">
        <f t="shared" si="670"/>
        <v>2027</v>
      </c>
      <c r="B1460" s="880">
        <f>[30]MW!B1023</f>
        <v>0</v>
      </c>
      <c r="C1460" s="880">
        <f>[30]MW!C1023</f>
        <v>0</v>
      </c>
      <c r="D1460" s="880">
        <f>[30]MW!D1023</f>
        <v>0</v>
      </c>
      <c r="E1460" s="880">
        <f>[30]MW!E1023</f>
        <v>0</v>
      </c>
      <c r="F1460" s="880">
        <f>[30]MW!F1023</f>
        <v>0</v>
      </c>
      <c r="G1460" s="880">
        <f>[30]MW!G1023</f>
        <v>0</v>
      </c>
      <c r="H1460" s="880">
        <f>[30]MW!H1023</f>
        <v>0</v>
      </c>
      <c r="I1460" s="880">
        <f>[30]MW!I1023</f>
        <v>0</v>
      </c>
      <c r="J1460" s="880">
        <f>[30]MW!J1023</f>
        <v>0</v>
      </c>
      <c r="K1460" s="880">
        <f>[30]MW!K1023</f>
        <v>0</v>
      </c>
      <c r="L1460" s="880">
        <f>[30]MW!L1023</f>
        <v>0</v>
      </c>
      <c r="M1460" s="880">
        <f>[30]MW!M1023</f>
        <v>0</v>
      </c>
      <c r="N1460" s="25">
        <f>SUM(B1460:M1460)</f>
        <v>0</v>
      </c>
      <c r="O1460"/>
    </row>
    <row r="1461" spans="1:15">
      <c r="A1461" s="2">
        <f t="shared" si="670"/>
        <v>2028</v>
      </c>
      <c r="B1461" s="880">
        <f>[30]MW!B1024</f>
        <v>0</v>
      </c>
      <c r="C1461" s="880">
        <f>[30]MW!C1024</f>
        <v>0</v>
      </c>
      <c r="D1461" s="880">
        <f>[30]MW!D1024</f>
        <v>0</v>
      </c>
      <c r="E1461" s="880">
        <f>[30]MW!E1024</f>
        <v>0</v>
      </c>
      <c r="F1461" s="880">
        <f>[30]MW!F1024</f>
        <v>0</v>
      </c>
      <c r="G1461" s="880">
        <f>[30]MW!G1024</f>
        <v>0</v>
      </c>
      <c r="H1461" s="880">
        <f>[30]MW!H1024</f>
        <v>0</v>
      </c>
      <c r="I1461" s="880">
        <f>[30]MW!I1024</f>
        <v>0</v>
      </c>
      <c r="J1461" s="880">
        <f>[30]MW!J1024</f>
        <v>0</v>
      </c>
      <c r="K1461" s="880">
        <f>[30]MW!K1024</f>
        <v>0</v>
      </c>
      <c r="L1461" s="880">
        <f>[30]MW!L1024</f>
        <v>0</v>
      </c>
      <c r="M1461" s="880">
        <f>[30]MW!M1024</f>
        <v>0</v>
      </c>
      <c r="N1461" s="25">
        <f>SUM(B1461:M1461)</f>
        <v>0</v>
      </c>
      <c r="O1461"/>
    </row>
    <row r="1462" spans="1:15">
      <c r="A1462" s="2">
        <f t="shared" si="670"/>
        <v>2029</v>
      </c>
      <c r="B1462" s="880">
        <f>[30]MW!B1025</f>
        <v>0</v>
      </c>
      <c r="C1462" s="880">
        <f>[30]MW!C1025</f>
        <v>0</v>
      </c>
      <c r="D1462" s="880">
        <f>[30]MW!D1025</f>
        <v>0</v>
      </c>
      <c r="E1462" s="880">
        <f>[30]MW!E1025</f>
        <v>0</v>
      </c>
      <c r="F1462" s="880">
        <f>[30]MW!F1025</f>
        <v>0</v>
      </c>
      <c r="G1462" s="880">
        <f>[30]MW!G1025</f>
        <v>0</v>
      </c>
      <c r="H1462" s="880">
        <f>[30]MW!H1025</f>
        <v>0</v>
      </c>
      <c r="I1462" s="880">
        <f>[30]MW!I1025</f>
        <v>0</v>
      </c>
      <c r="J1462" s="880">
        <f>[30]MW!J1025</f>
        <v>0</v>
      </c>
      <c r="K1462" s="880">
        <f>[30]MW!K1025</f>
        <v>0</v>
      </c>
      <c r="L1462" s="880">
        <f>[30]MW!L1025</f>
        <v>0</v>
      </c>
      <c r="M1462" s="880">
        <f>[30]MW!M1025</f>
        <v>0</v>
      </c>
      <c r="N1462" s="25">
        <f>SUM(B1462:M1462)</f>
        <v>0</v>
      </c>
      <c r="O1462"/>
    </row>
    <row r="1463" spans="1:15">
      <c r="A1463" s="2">
        <f t="shared" si="670"/>
        <v>2030</v>
      </c>
      <c r="B1463" s="880">
        <f>[30]MW!B1026</f>
        <v>0</v>
      </c>
      <c r="C1463" s="880">
        <f>[30]MW!C1026</f>
        <v>0</v>
      </c>
      <c r="D1463" s="880">
        <f>[30]MW!D1026</f>
        <v>0</v>
      </c>
      <c r="E1463" s="880">
        <f>[30]MW!E1026</f>
        <v>0</v>
      </c>
      <c r="F1463" s="880">
        <f>[30]MW!F1026</f>
        <v>0</v>
      </c>
      <c r="G1463" s="880">
        <f>[30]MW!G1026</f>
        <v>0</v>
      </c>
      <c r="H1463" s="880">
        <f>[30]MW!H1026</f>
        <v>0</v>
      </c>
      <c r="I1463" s="880">
        <f>[30]MW!I1026</f>
        <v>0</v>
      </c>
      <c r="J1463" s="880">
        <f>[30]MW!J1026</f>
        <v>0</v>
      </c>
      <c r="K1463" s="880">
        <f>[30]MW!K1026</f>
        <v>0</v>
      </c>
      <c r="L1463" s="880">
        <f>[30]MW!L1026</f>
        <v>0</v>
      </c>
      <c r="M1463" s="880">
        <f>[30]MW!M1026</f>
        <v>0</v>
      </c>
      <c r="N1463" s="25">
        <f>SUM(B1463:M1463)</f>
        <v>0</v>
      </c>
      <c r="O1463"/>
    </row>
    <row r="1464" spans="1:15">
      <c r="A1464" s="2">
        <f t="shared" si="670"/>
        <v>2031</v>
      </c>
      <c r="B1464" s="880">
        <f>[30]MW!B1027</f>
        <v>0</v>
      </c>
      <c r="C1464" s="880">
        <f>[30]MW!C1027</f>
        <v>0</v>
      </c>
      <c r="D1464" s="880">
        <f>[30]MW!D1027</f>
        <v>0</v>
      </c>
      <c r="E1464" s="880">
        <f>[30]MW!E1027</f>
        <v>0</v>
      </c>
      <c r="F1464" s="880">
        <f>[30]MW!F1027</f>
        <v>0</v>
      </c>
      <c r="G1464" s="880">
        <f>[30]MW!G1027</f>
        <v>0</v>
      </c>
      <c r="H1464" s="880">
        <f>[30]MW!H1027</f>
        <v>0</v>
      </c>
      <c r="I1464" s="880">
        <f>[30]MW!I1027</f>
        <v>0</v>
      </c>
      <c r="J1464" s="880">
        <f>[30]MW!J1027</f>
        <v>0</v>
      </c>
      <c r="K1464" s="880">
        <f>[30]MW!K1027</f>
        <v>0</v>
      </c>
      <c r="L1464" s="880">
        <f>[30]MW!L1027</f>
        <v>0</v>
      </c>
      <c r="M1464" s="880">
        <f>[30]MW!M1027</f>
        <v>0</v>
      </c>
      <c r="N1464" s="25">
        <f t="shared" ref="N1464:N1473" si="672">SUM(B1464:M1464)</f>
        <v>0</v>
      </c>
      <c r="O1464"/>
    </row>
    <row r="1465" spans="1:15">
      <c r="A1465" s="2">
        <f t="shared" si="670"/>
        <v>2032</v>
      </c>
      <c r="B1465" s="880">
        <f>[30]MW!B1028</f>
        <v>0</v>
      </c>
      <c r="C1465" s="880">
        <f>[30]MW!C1028</f>
        <v>0</v>
      </c>
      <c r="D1465" s="880">
        <f>[30]MW!D1028</f>
        <v>0</v>
      </c>
      <c r="E1465" s="880">
        <f>[30]MW!E1028</f>
        <v>0</v>
      </c>
      <c r="F1465" s="880">
        <f>[30]MW!F1028</f>
        <v>0</v>
      </c>
      <c r="G1465" s="880">
        <f>[30]MW!G1028</f>
        <v>0</v>
      </c>
      <c r="H1465" s="880">
        <f>[30]MW!H1028</f>
        <v>0</v>
      </c>
      <c r="I1465" s="880">
        <f>[30]MW!I1028</f>
        <v>0</v>
      </c>
      <c r="J1465" s="880">
        <f>[30]MW!J1028</f>
        <v>0</v>
      </c>
      <c r="K1465" s="880">
        <f>[30]MW!K1028</f>
        <v>0</v>
      </c>
      <c r="L1465" s="880">
        <f>[30]MW!L1028</f>
        <v>0</v>
      </c>
      <c r="M1465" s="880">
        <f>[30]MW!M1028</f>
        <v>0</v>
      </c>
      <c r="N1465" s="25">
        <f t="shared" si="672"/>
        <v>0</v>
      </c>
      <c r="O1465"/>
    </row>
    <row r="1466" spans="1:15">
      <c r="A1466" s="2">
        <f t="shared" si="670"/>
        <v>2033</v>
      </c>
      <c r="B1466" s="880">
        <f>[30]MW!B1029</f>
        <v>0</v>
      </c>
      <c r="C1466" s="880">
        <f>[30]MW!C1029</f>
        <v>0</v>
      </c>
      <c r="D1466" s="880">
        <f>[30]MW!D1029</f>
        <v>0</v>
      </c>
      <c r="E1466" s="880">
        <f>[30]MW!E1029</f>
        <v>0</v>
      </c>
      <c r="F1466" s="880">
        <f>[30]MW!F1029</f>
        <v>0</v>
      </c>
      <c r="G1466" s="880">
        <f>[30]MW!G1029</f>
        <v>0</v>
      </c>
      <c r="H1466" s="880">
        <f>[30]MW!H1029</f>
        <v>0</v>
      </c>
      <c r="I1466" s="880">
        <f>[30]MW!I1029</f>
        <v>0</v>
      </c>
      <c r="J1466" s="880">
        <f>[30]MW!J1029</f>
        <v>0</v>
      </c>
      <c r="K1466" s="880">
        <f>[30]MW!K1029</f>
        <v>0</v>
      </c>
      <c r="L1466" s="880">
        <f>[30]MW!L1029</f>
        <v>0</v>
      </c>
      <c r="M1466" s="880">
        <f>[30]MW!M1029</f>
        <v>0</v>
      </c>
      <c r="N1466" s="25">
        <f t="shared" si="672"/>
        <v>0</v>
      </c>
      <c r="O1466"/>
    </row>
    <row r="1467" spans="1:15">
      <c r="A1467" s="2">
        <f t="shared" si="670"/>
        <v>2034</v>
      </c>
      <c r="B1467" s="880">
        <f>[30]MW!B1030</f>
        <v>0</v>
      </c>
      <c r="C1467" s="880">
        <f>[30]MW!C1030</f>
        <v>0</v>
      </c>
      <c r="D1467" s="880">
        <f>[30]MW!D1030</f>
        <v>0</v>
      </c>
      <c r="E1467" s="880">
        <f>[30]MW!E1030</f>
        <v>0</v>
      </c>
      <c r="F1467" s="880">
        <f>[30]MW!F1030</f>
        <v>0</v>
      </c>
      <c r="G1467" s="880">
        <f>[30]MW!G1030</f>
        <v>0</v>
      </c>
      <c r="H1467" s="880">
        <f>[30]MW!H1030</f>
        <v>0</v>
      </c>
      <c r="I1467" s="880">
        <f>[30]MW!I1030</f>
        <v>0</v>
      </c>
      <c r="J1467" s="880">
        <f>[30]MW!J1030</f>
        <v>0</v>
      </c>
      <c r="K1467" s="880">
        <f>[30]MW!K1030</f>
        <v>0</v>
      </c>
      <c r="L1467" s="880">
        <f>[30]MW!L1030</f>
        <v>0</v>
      </c>
      <c r="M1467" s="880">
        <f>[30]MW!M1030</f>
        <v>0</v>
      </c>
      <c r="N1467" s="25">
        <f t="shared" si="672"/>
        <v>0</v>
      </c>
      <c r="O1467"/>
    </row>
    <row r="1468" spans="1:15">
      <c r="A1468" s="2">
        <f t="shared" si="670"/>
        <v>2035</v>
      </c>
      <c r="B1468" s="880">
        <f>[30]MW!B1031</f>
        <v>0</v>
      </c>
      <c r="C1468" s="880">
        <f>[30]MW!C1031</f>
        <v>0</v>
      </c>
      <c r="D1468" s="880">
        <f>[30]MW!D1031</f>
        <v>0</v>
      </c>
      <c r="E1468" s="880">
        <f>[30]MW!E1031</f>
        <v>0</v>
      </c>
      <c r="F1468" s="880">
        <f>[30]MW!F1031</f>
        <v>0</v>
      </c>
      <c r="G1468" s="880">
        <f>[30]MW!G1031</f>
        <v>0</v>
      </c>
      <c r="H1468" s="880">
        <f>[30]MW!H1031</f>
        <v>0</v>
      </c>
      <c r="I1468" s="880">
        <f>[30]MW!I1031</f>
        <v>0</v>
      </c>
      <c r="J1468" s="880">
        <f>[30]MW!J1031</f>
        <v>0</v>
      </c>
      <c r="K1468" s="880">
        <f>[30]MW!K1031</f>
        <v>0</v>
      </c>
      <c r="L1468" s="880">
        <f>[30]MW!L1031</f>
        <v>0</v>
      </c>
      <c r="M1468" s="880">
        <f>[30]MW!M1031</f>
        <v>0</v>
      </c>
      <c r="N1468" s="25">
        <f t="shared" si="672"/>
        <v>0</v>
      </c>
      <c r="O1468"/>
    </row>
    <row r="1469" spans="1:15">
      <c r="A1469" s="2">
        <f t="shared" si="670"/>
        <v>2036</v>
      </c>
      <c r="B1469" s="880">
        <f>[30]MW!B1032</f>
        <v>0</v>
      </c>
      <c r="C1469" s="880">
        <f>[30]MW!C1032</f>
        <v>0</v>
      </c>
      <c r="D1469" s="880">
        <f>[30]MW!D1032</f>
        <v>0</v>
      </c>
      <c r="E1469" s="880">
        <f>[30]MW!E1032</f>
        <v>0</v>
      </c>
      <c r="F1469" s="880">
        <f>[30]MW!F1032</f>
        <v>0</v>
      </c>
      <c r="G1469" s="880">
        <f>[30]MW!G1032</f>
        <v>0</v>
      </c>
      <c r="H1469" s="880">
        <f>[30]MW!H1032</f>
        <v>0</v>
      </c>
      <c r="I1469" s="880">
        <f>[30]MW!I1032</f>
        <v>0</v>
      </c>
      <c r="J1469" s="880">
        <f>[30]MW!J1032</f>
        <v>0</v>
      </c>
      <c r="K1469" s="880">
        <f>[30]MW!K1032</f>
        <v>0</v>
      </c>
      <c r="L1469" s="880">
        <f>[30]MW!L1032</f>
        <v>0</v>
      </c>
      <c r="M1469" s="880">
        <f>[30]MW!M1032</f>
        <v>0</v>
      </c>
      <c r="N1469" s="25">
        <f t="shared" si="672"/>
        <v>0</v>
      </c>
      <c r="O1469"/>
    </row>
    <row r="1470" spans="1:15">
      <c r="A1470" s="2">
        <f t="shared" si="670"/>
        <v>2037</v>
      </c>
      <c r="B1470" s="880">
        <f>[30]MW!B1033</f>
        <v>0</v>
      </c>
      <c r="C1470" s="880">
        <f>[30]MW!C1033</f>
        <v>0</v>
      </c>
      <c r="D1470" s="880">
        <f>[30]MW!D1033</f>
        <v>0</v>
      </c>
      <c r="E1470" s="880">
        <f>[30]MW!E1033</f>
        <v>0</v>
      </c>
      <c r="F1470" s="880">
        <f>[30]MW!F1033</f>
        <v>0</v>
      </c>
      <c r="G1470" s="880">
        <f>[30]MW!G1033</f>
        <v>0</v>
      </c>
      <c r="H1470" s="880">
        <f>[30]MW!H1033</f>
        <v>0</v>
      </c>
      <c r="I1470" s="880">
        <f>[30]MW!I1033</f>
        <v>0</v>
      </c>
      <c r="J1470" s="880">
        <f>[30]MW!J1033</f>
        <v>0</v>
      </c>
      <c r="K1470" s="880">
        <f>[30]MW!K1033</f>
        <v>0</v>
      </c>
      <c r="L1470" s="880">
        <f>[30]MW!L1033</f>
        <v>0</v>
      </c>
      <c r="M1470" s="880">
        <f>[30]MW!M1033</f>
        <v>0</v>
      </c>
      <c r="N1470" s="25">
        <f t="shared" si="672"/>
        <v>0</v>
      </c>
      <c r="O1470"/>
    </row>
    <row r="1471" spans="1:15">
      <c r="A1471" s="2">
        <f t="shared" si="670"/>
        <v>2038</v>
      </c>
      <c r="B1471" s="880">
        <f>[30]MW!B1034</f>
        <v>0</v>
      </c>
      <c r="C1471" s="880">
        <f>[30]MW!C1034</f>
        <v>0</v>
      </c>
      <c r="D1471" s="880">
        <f>[30]MW!D1034</f>
        <v>0</v>
      </c>
      <c r="E1471" s="880">
        <f>[30]MW!E1034</f>
        <v>0</v>
      </c>
      <c r="F1471" s="880">
        <f>[30]MW!F1034</f>
        <v>0</v>
      </c>
      <c r="G1471" s="880">
        <f>[30]MW!G1034</f>
        <v>0</v>
      </c>
      <c r="H1471" s="880">
        <f>[30]MW!H1034</f>
        <v>0</v>
      </c>
      <c r="I1471" s="880">
        <f>[30]MW!I1034</f>
        <v>0</v>
      </c>
      <c r="J1471" s="880">
        <f>[30]MW!J1034</f>
        <v>0</v>
      </c>
      <c r="K1471" s="880">
        <f>[30]MW!K1034</f>
        <v>0</v>
      </c>
      <c r="L1471" s="880">
        <f>[30]MW!L1034</f>
        <v>0</v>
      </c>
      <c r="M1471" s="880">
        <f>[30]MW!M1034</f>
        <v>0</v>
      </c>
      <c r="N1471" s="25">
        <f t="shared" si="672"/>
        <v>0</v>
      </c>
      <c r="O1471"/>
    </row>
    <row r="1472" spans="1:15">
      <c r="A1472" s="2">
        <f t="shared" si="670"/>
        <v>2039</v>
      </c>
      <c r="B1472" s="880">
        <f>[30]MW!B1035</f>
        <v>0</v>
      </c>
      <c r="C1472" s="880">
        <f>[30]MW!C1035</f>
        <v>0</v>
      </c>
      <c r="D1472" s="880">
        <f>[30]MW!D1035</f>
        <v>0</v>
      </c>
      <c r="E1472" s="880">
        <f>[30]MW!E1035</f>
        <v>0</v>
      </c>
      <c r="F1472" s="880">
        <f>[30]MW!F1035</f>
        <v>0</v>
      </c>
      <c r="G1472" s="880">
        <f>[30]MW!G1035</f>
        <v>0</v>
      </c>
      <c r="H1472" s="880">
        <f>[30]MW!H1035</f>
        <v>0</v>
      </c>
      <c r="I1472" s="880">
        <f>[30]MW!I1035</f>
        <v>0</v>
      </c>
      <c r="J1472" s="880">
        <f>[30]MW!J1035</f>
        <v>0</v>
      </c>
      <c r="K1472" s="880">
        <f>[30]MW!K1035</f>
        <v>0</v>
      </c>
      <c r="L1472" s="880">
        <f>[30]MW!L1035</f>
        <v>0</v>
      </c>
      <c r="M1472" s="880">
        <f>[30]MW!M1035</f>
        <v>0</v>
      </c>
      <c r="N1472" s="25">
        <f t="shared" si="672"/>
        <v>0</v>
      </c>
      <c r="O1472"/>
    </row>
    <row r="1473" spans="1:29">
      <c r="A1473" s="2">
        <f t="shared" si="670"/>
        <v>2040</v>
      </c>
      <c r="B1473" s="880">
        <f>[30]MW!B1036</f>
        <v>0</v>
      </c>
      <c r="C1473" s="880">
        <f>[30]MW!C1036</f>
        <v>0</v>
      </c>
      <c r="D1473" s="880">
        <f>[30]MW!D1036</f>
        <v>0</v>
      </c>
      <c r="E1473" s="880">
        <f>[30]MW!E1036</f>
        <v>0</v>
      </c>
      <c r="F1473" s="880">
        <f>[30]MW!F1036</f>
        <v>0</v>
      </c>
      <c r="G1473" s="880">
        <f>[30]MW!G1036</f>
        <v>0</v>
      </c>
      <c r="H1473" s="880">
        <f>[30]MW!H1036</f>
        <v>0</v>
      </c>
      <c r="I1473" s="880">
        <f>[30]MW!I1036</f>
        <v>0</v>
      </c>
      <c r="J1473" s="880">
        <f>[30]MW!J1036</f>
        <v>0</v>
      </c>
      <c r="K1473" s="880">
        <f>[30]MW!K1036</f>
        <v>0</v>
      </c>
      <c r="L1473" s="880">
        <f>[30]MW!L1036</f>
        <v>0</v>
      </c>
      <c r="M1473" s="880">
        <f>[30]MW!M1036</f>
        <v>0</v>
      </c>
      <c r="N1473" s="25">
        <f t="shared" si="672"/>
        <v>0</v>
      </c>
      <c r="O1473"/>
    </row>
    <row r="1474" spans="1:29">
      <c r="A1474" s="2">
        <f t="shared" si="670"/>
        <v>2041</v>
      </c>
      <c r="O1474"/>
    </row>
    <row r="1475" spans="1:29">
      <c r="A1475" s="2">
        <f t="shared" si="670"/>
        <v>2042</v>
      </c>
      <c r="O1475"/>
    </row>
    <row r="1476" spans="1:29">
      <c r="A1476" s="2">
        <f t="shared" si="670"/>
        <v>2043</v>
      </c>
      <c r="O1476"/>
    </row>
    <row r="1477" spans="1:29">
      <c r="A1477" s="2">
        <f t="shared" si="670"/>
        <v>2044</v>
      </c>
      <c r="O1477"/>
    </row>
    <row r="1478" spans="1:29">
      <c r="A1478" s="2">
        <f>A1438</f>
        <v>2045</v>
      </c>
      <c r="P1478" s="25"/>
      <c r="AC1478" s="37"/>
    </row>
    <row r="1479" spans="1:29">
      <c r="B1479"/>
      <c r="C1479"/>
      <c r="D1479"/>
      <c r="E1479"/>
      <c r="F1479"/>
      <c r="G1479"/>
      <c r="H1479"/>
      <c r="I1479"/>
      <c r="J1479"/>
      <c r="K1479"/>
      <c r="L1479"/>
      <c r="M1479"/>
      <c r="P1479" s="25"/>
      <c r="AC1479" s="37"/>
    </row>
    <row r="1480" spans="1:29">
      <c r="P1480" s="25"/>
      <c r="AC1480" s="37"/>
    </row>
    <row r="1481" spans="1:29">
      <c r="A1481" s="1105" t="s">
        <v>621</v>
      </c>
      <c r="B1481" s="518"/>
      <c r="K1481" s="30" t="s">
        <v>311</v>
      </c>
      <c r="M1481" s="442"/>
    </row>
    <row r="1482" spans="1:29">
      <c r="A1482" s="27" t="s">
        <v>9</v>
      </c>
      <c r="B1482" s="27" t="s">
        <v>28</v>
      </c>
      <c r="C1482" s="27" t="s">
        <v>29</v>
      </c>
      <c r="D1482" s="27" t="s">
        <v>30</v>
      </c>
      <c r="E1482" s="27" t="s">
        <v>31</v>
      </c>
      <c r="F1482" s="27" t="s">
        <v>32</v>
      </c>
      <c r="G1482" s="27" t="s">
        <v>33</v>
      </c>
      <c r="H1482" s="27" t="s">
        <v>34</v>
      </c>
      <c r="I1482" s="27" t="s">
        <v>35</v>
      </c>
      <c r="J1482" s="27" t="s">
        <v>36</v>
      </c>
      <c r="K1482" s="27" t="s">
        <v>37</v>
      </c>
      <c r="L1482" s="27" t="s">
        <v>38</v>
      </c>
      <c r="M1482" s="27" t="s">
        <v>39</v>
      </c>
      <c r="N1482" s="33" t="s">
        <v>56</v>
      </c>
    </row>
    <row r="1483" spans="1:29">
      <c r="A1483" s="2">
        <f t="shared" ref="A1483:A1518" si="673">A1363</f>
        <v>2010</v>
      </c>
      <c r="B1483" s="34">
        <f>[30]MW!B1046</f>
        <v>0</v>
      </c>
      <c r="C1483" s="34">
        <f>[30]MW!C1046</f>
        <v>0</v>
      </c>
      <c r="D1483" s="34">
        <f>[30]MW!D1046</f>
        <v>0</v>
      </c>
      <c r="E1483" s="34">
        <f>[30]MW!E1046</f>
        <v>0</v>
      </c>
      <c r="F1483" s="34">
        <f>[30]MW!F1046</f>
        <v>0</v>
      </c>
      <c r="G1483" s="34">
        <f>[30]MW!G1046</f>
        <v>0</v>
      </c>
      <c r="H1483" s="34">
        <f>[30]MW!H1046</f>
        <v>0</v>
      </c>
      <c r="I1483" s="34">
        <f>[30]MW!I1046</f>
        <v>0</v>
      </c>
      <c r="J1483" s="34">
        <f>[30]MW!J1046</f>
        <v>0</v>
      </c>
      <c r="K1483" s="34">
        <f>[30]MW!K1046</f>
        <v>0</v>
      </c>
      <c r="L1483" s="34">
        <f>[30]MW!L1046</f>
        <v>0</v>
      </c>
      <c r="M1483" s="34">
        <f>[30]MW!M1046</f>
        <v>0</v>
      </c>
      <c r="N1483" s="25">
        <f t="shared" ref="N1483:N1493" si="674">SUM(B1483:M1483)</f>
        <v>0</v>
      </c>
    </row>
    <row r="1484" spans="1:29">
      <c r="A1484" s="2">
        <f t="shared" si="673"/>
        <v>2011</v>
      </c>
      <c r="B1484" s="880">
        <f>ROUND([30]MW!B1047,0)</f>
        <v>23</v>
      </c>
      <c r="C1484" s="880">
        <f>ROUND([30]MW!C1047,0)</f>
        <v>23</v>
      </c>
      <c r="D1484" s="880">
        <f>ROUND([30]MW!D1047,0)</f>
        <v>23</v>
      </c>
      <c r="E1484" s="880">
        <f>ROUND([30]MW!E1047,0)</f>
        <v>23</v>
      </c>
      <c r="F1484" s="880">
        <f>ROUND([30]MW!F1047,0)</f>
        <v>23</v>
      </c>
      <c r="G1484" s="880">
        <f>ROUND([30]MW!G1047,0)</f>
        <v>23</v>
      </c>
      <c r="H1484" s="880">
        <f>ROUND([30]MW!H1047,0)</f>
        <v>23</v>
      </c>
      <c r="I1484" s="880">
        <f>ROUND([30]MW!I1047,0)</f>
        <v>23</v>
      </c>
      <c r="J1484" s="880">
        <f>ROUND([30]MW!J1047,0)</f>
        <v>23</v>
      </c>
      <c r="K1484" s="880">
        <f>ROUND([30]MW!K1047,0)</f>
        <v>23</v>
      </c>
      <c r="L1484" s="880">
        <f>ROUND([30]MW!L1047,0)</f>
        <v>23</v>
      </c>
      <c r="M1484" s="880">
        <f>ROUND([30]MW!M1047,0)</f>
        <v>23</v>
      </c>
      <c r="N1484" s="25">
        <f t="shared" si="674"/>
        <v>276</v>
      </c>
    </row>
    <row r="1485" spans="1:29">
      <c r="A1485" s="2">
        <f t="shared" si="673"/>
        <v>2012</v>
      </c>
      <c r="B1485" s="880">
        <f>ROUND([30]MW!B1048,0)</f>
        <v>24</v>
      </c>
      <c r="C1485" s="880">
        <f>ROUND([30]MW!C1048,0)</f>
        <v>24</v>
      </c>
      <c r="D1485" s="880">
        <f>ROUND([30]MW!D1048,0)</f>
        <v>24</v>
      </c>
      <c r="E1485" s="880">
        <f>ROUND([30]MW!E1048,0)</f>
        <v>24</v>
      </c>
      <c r="F1485" s="880">
        <f>ROUND([30]MW!F1048,0)</f>
        <v>24</v>
      </c>
      <c r="G1485" s="880">
        <f>ROUND([30]MW!G1048,0)</f>
        <v>24</v>
      </c>
      <c r="H1485" s="880">
        <f>ROUND([30]MW!H1048,0)</f>
        <v>24</v>
      </c>
      <c r="I1485" s="880">
        <f>ROUND([30]MW!I1048,0)</f>
        <v>24</v>
      </c>
      <c r="J1485" s="880">
        <f>ROUND([30]MW!J1048,0)</f>
        <v>24</v>
      </c>
      <c r="K1485" s="880">
        <f>ROUND([30]MW!K1048,0)</f>
        <v>24</v>
      </c>
      <c r="L1485" s="880">
        <f>ROUND([30]MW!L1048,0)</f>
        <v>24</v>
      </c>
      <c r="M1485" s="880">
        <f>ROUND([30]MW!M1048,0)</f>
        <v>24</v>
      </c>
      <c r="N1485" s="25">
        <f t="shared" si="674"/>
        <v>288</v>
      </c>
    </row>
    <row r="1486" spans="1:29">
      <c r="A1486" s="2">
        <f t="shared" si="673"/>
        <v>2013</v>
      </c>
      <c r="B1486" s="880">
        <f>ROUND([30]MW!B1049,0)</f>
        <v>60</v>
      </c>
      <c r="C1486" s="880">
        <f>ROUND([30]MW!C1049,0)</f>
        <v>60</v>
      </c>
      <c r="D1486" s="880">
        <f>ROUND([30]MW!D1049,0)</f>
        <v>60</v>
      </c>
      <c r="E1486" s="880">
        <f>ROUND([30]MW!E1049,0)</f>
        <v>60</v>
      </c>
      <c r="F1486" s="880">
        <f>ROUND([30]MW!F1049,0)</f>
        <v>60</v>
      </c>
      <c r="G1486" s="880">
        <f>ROUND([30]MW!G1049,0)</f>
        <v>60</v>
      </c>
      <c r="H1486" s="880">
        <f>ROUND([30]MW!H1049,0)</f>
        <v>60</v>
      </c>
      <c r="I1486" s="880">
        <f>ROUND([30]MW!I1049,0)</f>
        <v>60</v>
      </c>
      <c r="J1486" s="880">
        <f>ROUND([30]MW!J1049,0)</f>
        <v>60</v>
      </c>
      <c r="K1486" s="880">
        <f>ROUND([30]MW!K1049,0)</f>
        <v>60</v>
      </c>
      <c r="L1486" s="880">
        <f>ROUND([30]MW!L1049,0)</f>
        <v>60</v>
      </c>
      <c r="M1486" s="880">
        <f>ROUND([30]MW!M1049,0)</f>
        <v>60</v>
      </c>
      <c r="N1486" s="25">
        <f t="shared" si="674"/>
        <v>720</v>
      </c>
    </row>
    <row r="1487" spans="1:29">
      <c r="A1487" s="2">
        <f t="shared" si="673"/>
        <v>2014</v>
      </c>
      <c r="B1487" s="880">
        <f>ROUND([30]MW!B1050,0)</f>
        <v>60</v>
      </c>
      <c r="C1487" s="880">
        <f>ROUND([30]MW!C1050,0)</f>
        <v>60</v>
      </c>
      <c r="D1487" s="880">
        <f>ROUND([30]MW!D1050,0)</f>
        <v>60</v>
      </c>
      <c r="E1487" s="880">
        <f>ROUND([30]MW!E1050,0)</f>
        <v>60</v>
      </c>
      <c r="F1487" s="880">
        <f>ROUND([30]MW!F1050,0)</f>
        <v>60</v>
      </c>
      <c r="G1487" s="880">
        <f>ROUND([30]MW!G1050,0)</f>
        <v>60</v>
      </c>
      <c r="H1487" s="880">
        <f>ROUND([30]MW!H1050,0)</f>
        <v>60</v>
      </c>
      <c r="I1487" s="880">
        <f>ROUND([30]MW!I1050,0)</f>
        <v>60</v>
      </c>
      <c r="J1487" s="880">
        <f>ROUND([30]MW!J1050,0)</f>
        <v>60</v>
      </c>
      <c r="K1487" s="880">
        <f>ROUND([30]MW!K1050,0)</f>
        <v>60</v>
      </c>
      <c r="L1487" s="880">
        <f>ROUND([30]MW!L1050,0)</f>
        <v>60</v>
      </c>
      <c r="M1487" s="880">
        <f>ROUND([30]MW!M1050,0)</f>
        <v>60</v>
      </c>
      <c r="N1487" s="25">
        <f t="shared" si="674"/>
        <v>720</v>
      </c>
    </row>
    <row r="1488" spans="1:29">
      <c r="A1488" s="2">
        <f t="shared" si="673"/>
        <v>2015</v>
      </c>
      <c r="B1488" s="880">
        <f>ROUND([30]MW!B1051,0)</f>
        <v>60</v>
      </c>
      <c r="C1488" s="880">
        <f>ROUND([30]MW!C1051,0)</f>
        <v>60</v>
      </c>
      <c r="D1488" s="880">
        <f>ROUND([30]MW!D1051,0)</f>
        <v>60</v>
      </c>
      <c r="E1488" s="880">
        <f>ROUND([30]MW!E1051,0)</f>
        <v>60</v>
      </c>
      <c r="F1488" s="880">
        <f>ROUND([30]MW!F1051,0)</f>
        <v>60</v>
      </c>
      <c r="G1488" s="880">
        <f>ROUND([30]MW!G1051,0)</f>
        <v>60</v>
      </c>
      <c r="H1488" s="880">
        <f>ROUND([30]MW!H1051,0)</f>
        <v>60</v>
      </c>
      <c r="I1488" s="880">
        <f>ROUND([30]MW!I1051,0)</f>
        <v>60</v>
      </c>
      <c r="J1488" s="880">
        <f>ROUND([30]MW!J1051,0)</f>
        <v>60</v>
      </c>
      <c r="K1488" s="880">
        <f>ROUND([30]MW!K1051,0)</f>
        <v>60</v>
      </c>
      <c r="L1488" s="880">
        <f>ROUND([30]MW!L1051,0)</f>
        <v>60</v>
      </c>
      <c r="M1488" s="880">
        <f>ROUND([30]MW!M1051,0)</f>
        <v>60</v>
      </c>
      <c r="N1488" s="25">
        <f t="shared" si="674"/>
        <v>720</v>
      </c>
    </row>
    <row r="1489" spans="1:14">
      <c r="A1489" s="2">
        <f t="shared" si="673"/>
        <v>2016</v>
      </c>
      <c r="B1489" s="880">
        <f>ROUND([30]MW!B1052,0)</f>
        <v>60</v>
      </c>
      <c r="C1489" s="880">
        <f>ROUND([30]MW!C1052,0)</f>
        <v>60</v>
      </c>
      <c r="D1489" s="880">
        <f>ROUND([30]MW!D1052,0)</f>
        <v>60</v>
      </c>
      <c r="E1489" s="880">
        <f>ROUND([30]MW!E1052,0)</f>
        <v>60</v>
      </c>
      <c r="F1489" s="880">
        <f>ROUND([30]MW!F1052,0)</f>
        <v>60</v>
      </c>
      <c r="G1489" s="880">
        <f>ROUND([30]MW!G1052,0)</f>
        <v>60</v>
      </c>
      <c r="H1489" s="880">
        <f>ROUND([30]MW!H1052,0)</f>
        <v>60</v>
      </c>
      <c r="I1489" s="880">
        <f>ROUND([30]MW!I1052,0)</f>
        <v>60</v>
      </c>
      <c r="J1489" s="880">
        <f>ROUND([30]MW!J1052,0)</f>
        <v>60</v>
      </c>
      <c r="K1489" s="880">
        <f>ROUND([30]MW!K1052,0)</f>
        <v>60</v>
      </c>
      <c r="L1489" s="880">
        <f>ROUND([30]MW!L1052,0)</f>
        <v>60</v>
      </c>
      <c r="M1489" s="880">
        <f>ROUND([30]MW!M1052,0)</f>
        <v>60</v>
      </c>
      <c r="N1489" s="25">
        <f t="shared" si="674"/>
        <v>720</v>
      </c>
    </row>
    <row r="1490" spans="1:14">
      <c r="A1490" s="2">
        <f t="shared" si="673"/>
        <v>2017</v>
      </c>
      <c r="B1490" s="880">
        <f>ROUND([30]MW!B1053,0)</f>
        <v>0</v>
      </c>
      <c r="C1490" s="880">
        <f>ROUND([30]MW!C1053,0)</f>
        <v>0</v>
      </c>
      <c r="D1490" s="880">
        <f>ROUND([30]MW!D1053,0)</f>
        <v>0</v>
      </c>
      <c r="E1490" s="880">
        <f>ROUND([30]MW!E1053,0)</f>
        <v>0</v>
      </c>
      <c r="F1490" s="880">
        <f>ROUND([30]MW!F1053,0)</f>
        <v>0</v>
      </c>
      <c r="G1490" s="880">
        <f>ROUND([30]MW!G1053,0)</f>
        <v>0</v>
      </c>
      <c r="H1490" s="880">
        <f>ROUND([30]MW!H1053,0)</f>
        <v>0</v>
      </c>
      <c r="I1490" s="880">
        <f>ROUND([30]MW!I1053,0)</f>
        <v>0</v>
      </c>
      <c r="J1490" s="880">
        <f>ROUND([30]MW!J1053,0)</f>
        <v>0</v>
      </c>
      <c r="K1490" s="880">
        <f>ROUND([30]MW!K1053,0)</f>
        <v>0</v>
      </c>
      <c r="L1490" s="880">
        <f>ROUND([30]MW!L1053,0)</f>
        <v>0</v>
      </c>
      <c r="M1490" s="880">
        <f>ROUND([30]MW!M1053,0)</f>
        <v>0</v>
      </c>
      <c r="N1490" s="25">
        <f t="shared" si="674"/>
        <v>0</v>
      </c>
    </row>
    <row r="1491" spans="1:14">
      <c r="A1491" s="2">
        <f t="shared" si="673"/>
        <v>2018</v>
      </c>
      <c r="B1491" s="880">
        <f>ROUND([30]MW!B1054,0)</f>
        <v>0</v>
      </c>
      <c r="C1491" s="880">
        <f>ROUND([30]MW!C1054,0)</f>
        <v>0</v>
      </c>
      <c r="D1491" s="880">
        <f>ROUND([30]MW!D1054,0)</f>
        <v>0</v>
      </c>
      <c r="E1491" s="880">
        <f>ROUND([30]MW!E1054,0)</f>
        <v>0</v>
      </c>
      <c r="F1491" s="880">
        <f>ROUND([30]MW!F1054,0)</f>
        <v>0</v>
      </c>
      <c r="G1491" s="880">
        <f>ROUND([30]MW!G1054,0)</f>
        <v>0</v>
      </c>
      <c r="H1491" s="880">
        <f>ROUND([30]MW!H1054,0)</f>
        <v>0</v>
      </c>
      <c r="I1491" s="880">
        <f>ROUND([30]MW!I1054,0)</f>
        <v>0</v>
      </c>
      <c r="J1491" s="880">
        <f>ROUND([30]MW!J1054,0)</f>
        <v>0</v>
      </c>
      <c r="K1491" s="880">
        <f>ROUND([30]MW!K1054,0)</f>
        <v>0</v>
      </c>
      <c r="L1491" s="880">
        <f>ROUND([30]MW!L1054,0)</f>
        <v>0</v>
      </c>
      <c r="M1491" s="880">
        <f>ROUND([30]MW!M1054,0)</f>
        <v>0</v>
      </c>
      <c r="N1491" s="25">
        <f t="shared" si="674"/>
        <v>0</v>
      </c>
    </row>
    <row r="1492" spans="1:14">
      <c r="A1492" s="2">
        <f t="shared" si="673"/>
        <v>2019</v>
      </c>
      <c r="B1492" s="880">
        <f>ROUND([30]MW!B1055,0)</f>
        <v>0</v>
      </c>
      <c r="C1492" s="880">
        <f>ROUND([30]MW!C1055,0)</f>
        <v>0</v>
      </c>
      <c r="D1492" s="880">
        <f>ROUND([30]MW!D1055,0)</f>
        <v>0</v>
      </c>
      <c r="E1492" s="880">
        <f>ROUND([30]MW!E1055,0)</f>
        <v>0</v>
      </c>
      <c r="F1492" s="880">
        <f>ROUND([30]MW!F1055,0)</f>
        <v>0</v>
      </c>
      <c r="G1492" s="880">
        <f>ROUND([30]MW!G1055,0)</f>
        <v>0</v>
      </c>
      <c r="H1492" s="880">
        <f>ROUND([30]MW!H1055,0)</f>
        <v>0</v>
      </c>
      <c r="I1492" s="880">
        <f>ROUND([30]MW!I1055,0)</f>
        <v>0</v>
      </c>
      <c r="J1492" s="880">
        <f>ROUND([30]MW!J1055,0)</f>
        <v>0</v>
      </c>
      <c r="K1492" s="880">
        <f>ROUND([30]MW!K1055,0)</f>
        <v>0</v>
      </c>
      <c r="L1492" s="880">
        <f>ROUND([30]MW!L1055,0)</f>
        <v>0</v>
      </c>
      <c r="M1492" s="880">
        <f>ROUND([30]MW!M1055,0)</f>
        <v>0</v>
      </c>
      <c r="N1492" s="25">
        <f t="shared" si="674"/>
        <v>0</v>
      </c>
    </row>
    <row r="1493" spans="1:14">
      <c r="A1493" s="2">
        <f t="shared" si="673"/>
        <v>2020</v>
      </c>
      <c r="B1493" s="880">
        <f>ROUND([30]MW!B1056,0)</f>
        <v>0</v>
      </c>
      <c r="C1493" s="880">
        <f>ROUND([30]MW!C1056,0)</f>
        <v>0</v>
      </c>
      <c r="D1493" s="880">
        <f>ROUND([30]MW!D1056,0)</f>
        <v>0</v>
      </c>
      <c r="E1493" s="880">
        <f>ROUND([30]MW!E1056,0)</f>
        <v>0</v>
      </c>
      <c r="F1493" s="880">
        <f>ROUND([30]MW!F1056,0)</f>
        <v>0</v>
      </c>
      <c r="G1493" s="880">
        <f>ROUND([30]MW!G1056,0)</f>
        <v>0</v>
      </c>
      <c r="H1493" s="880">
        <f>ROUND([30]MW!H1056,0)</f>
        <v>0</v>
      </c>
      <c r="I1493" s="880">
        <f>ROUND([30]MW!I1056,0)</f>
        <v>0</v>
      </c>
      <c r="J1493" s="880">
        <f>ROUND([30]MW!J1056,0)</f>
        <v>0</v>
      </c>
      <c r="K1493" s="880">
        <f>ROUND([30]MW!K1056,0)</f>
        <v>0</v>
      </c>
      <c r="L1493" s="880">
        <f>ROUND([30]MW!L1056,0)</f>
        <v>0</v>
      </c>
      <c r="M1493" s="880">
        <f>ROUND([30]MW!M1056,0)</f>
        <v>0</v>
      </c>
      <c r="N1493" s="25">
        <f t="shared" si="674"/>
        <v>0</v>
      </c>
    </row>
    <row r="1494" spans="1:14">
      <c r="A1494" s="2">
        <f t="shared" si="673"/>
        <v>2021</v>
      </c>
      <c r="B1494" s="880">
        <f>ROUND([30]MW!B1057,0)</f>
        <v>0</v>
      </c>
      <c r="C1494" s="880">
        <f>ROUND([30]MW!C1057,0)</f>
        <v>0</v>
      </c>
      <c r="D1494" s="880">
        <f>ROUND([30]MW!D1057,0)</f>
        <v>0</v>
      </c>
      <c r="E1494" s="880">
        <f>ROUND([30]MW!E1057,0)</f>
        <v>0</v>
      </c>
      <c r="F1494" s="880">
        <f>ROUND([30]MW!F1057,0)</f>
        <v>0</v>
      </c>
      <c r="G1494" s="880">
        <f>ROUND([30]MW!G1057,0)</f>
        <v>0</v>
      </c>
      <c r="H1494" s="880">
        <f>ROUND([30]MW!H1057,0)</f>
        <v>0</v>
      </c>
      <c r="I1494" s="880">
        <f>ROUND([30]MW!I1057,0)</f>
        <v>0</v>
      </c>
      <c r="J1494" s="880">
        <f>ROUND([30]MW!J1057,0)</f>
        <v>0</v>
      </c>
      <c r="K1494" s="880">
        <f>ROUND([30]MW!K1057,0)</f>
        <v>0</v>
      </c>
      <c r="L1494" s="880">
        <f>ROUND([30]MW!L1057,0)</f>
        <v>0</v>
      </c>
      <c r="M1494" s="880">
        <f>ROUND([30]MW!M1057,0)</f>
        <v>0</v>
      </c>
      <c r="N1494" s="25">
        <f t="shared" ref="N1494:N1499" si="675">SUM(B1494:M1494)</f>
        <v>0</v>
      </c>
    </row>
    <row r="1495" spans="1:14">
      <c r="A1495" s="2">
        <f t="shared" si="673"/>
        <v>2022</v>
      </c>
      <c r="B1495" s="880">
        <f>ROUND([30]MW!B1058,0)</f>
        <v>0</v>
      </c>
      <c r="C1495" s="880">
        <f>ROUND([30]MW!C1058,0)</f>
        <v>0</v>
      </c>
      <c r="D1495" s="880">
        <f>ROUND([30]MW!D1058,0)</f>
        <v>0</v>
      </c>
      <c r="E1495" s="880">
        <f>ROUND([30]MW!E1058,0)</f>
        <v>0</v>
      </c>
      <c r="F1495" s="880">
        <f>ROUND([30]MW!F1058,0)</f>
        <v>0</v>
      </c>
      <c r="G1495" s="880">
        <f>ROUND([30]MW!G1058,0)</f>
        <v>0</v>
      </c>
      <c r="H1495" s="880">
        <f>ROUND([30]MW!H1058,0)</f>
        <v>0</v>
      </c>
      <c r="I1495" s="880">
        <f>ROUND([30]MW!I1058,0)</f>
        <v>0</v>
      </c>
      <c r="J1495" s="880">
        <f>ROUND([30]MW!J1058,0)</f>
        <v>0</v>
      </c>
      <c r="K1495" s="880">
        <f>ROUND([30]MW!K1058,0)</f>
        <v>0</v>
      </c>
      <c r="L1495" s="880">
        <f>ROUND([30]MW!L1058,0)</f>
        <v>0</v>
      </c>
      <c r="M1495" s="880">
        <f>ROUND([30]MW!M1058,0)</f>
        <v>0</v>
      </c>
      <c r="N1495" s="25">
        <f t="shared" si="675"/>
        <v>0</v>
      </c>
    </row>
    <row r="1496" spans="1:14">
      <c r="A1496" s="2">
        <f t="shared" si="673"/>
        <v>2023</v>
      </c>
      <c r="B1496" s="880">
        <f>ROUND([30]MW!B1059,0)</f>
        <v>0</v>
      </c>
      <c r="C1496" s="880">
        <f>ROUND([30]MW!C1059,0)</f>
        <v>0</v>
      </c>
      <c r="D1496" s="880">
        <f>ROUND([30]MW!D1059,0)</f>
        <v>0</v>
      </c>
      <c r="E1496" s="880">
        <f>ROUND([30]MW!E1059,0)</f>
        <v>0</v>
      </c>
      <c r="F1496" s="880">
        <f>ROUND([30]MW!F1059,0)</f>
        <v>0</v>
      </c>
      <c r="G1496" s="880">
        <f>ROUND([30]MW!G1059,0)</f>
        <v>0</v>
      </c>
      <c r="H1496" s="880">
        <f>ROUND([30]MW!H1059,0)</f>
        <v>0</v>
      </c>
      <c r="I1496" s="880">
        <f>ROUND([30]MW!I1059,0)</f>
        <v>0</v>
      </c>
      <c r="J1496" s="880">
        <f>ROUND([30]MW!J1059,0)</f>
        <v>0</v>
      </c>
      <c r="K1496" s="880">
        <f>ROUND([30]MW!K1059,0)</f>
        <v>0</v>
      </c>
      <c r="L1496" s="880">
        <f>ROUND([30]MW!L1059,0)</f>
        <v>0</v>
      </c>
      <c r="M1496" s="880">
        <f>ROUND([30]MW!M1059,0)</f>
        <v>0</v>
      </c>
      <c r="N1496" s="25">
        <f t="shared" si="675"/>
        <v>0</v>
      </c>
    </row>
    <row r="1497" spans="1:14">
      <c r="A1497" s="2">
        <f t="shared" si="673"/>
        <v>2024</v>
      </c>
      <c r="B1497" s="880">
        <f>ROUND([30]MW!B1060,0)</f>
        <v>0</v>
      </c>
      <c r="C1497" s="880">
        <f>ROUND([30]MW!C1060,0)</f>
        <v>0</v>
      </c>
      <c r="D1497" s="880">
        <f>ROUND([30]MW!D1060,0)</f>
        <v>0</v>
      </c>
      <c r="E1497" s="880">
        <f>ROUND([30]MW!E1060,0)</f>
        <v>0</v>
      </c>
      <c r="F1497" s="880">
        <f>ROUND([30]MW!F1060,0)</f>
        <v>0</v>
      </c>
      <c r="G1497" s="880">
        <f>ROUND([30]MW!G1060,0)</f>
        <v>0</v>
      </c>
      <c r="H1497" s="880">
        <f>ROUND([30]MW!H1060,0)</f>
        <v>0</v>
      </c>
      <c r="I1497" s="880">
        <f>ROUND([30]MW!I1060,0)</f>
        <v>0</v>
      </c>
      <c r="J1497" s="880">
        <f>ROUND([30]MW!J1060,0)</f>
        <v>0</v>
      </c>
      <c r="K1497" s="880">
        <f>ROUND([30]MW!K1060,0)</f>
        <v>0</v>
      </c>
      <c r="L1497" s="880">
        <f>ROUND([30]MW!L1060,0)</f>
        <v>0</v>
      </c>
      <c r="M1497" s="880">
        <f>ROUND([30]MW!M1060,0)</f>
        <v>0</v>
      </c>
      <c r="N1497" s="25">
        <f t="shared" si="675"/>
        <v>0</v>
      </c>
    </row>
    <row r="1498" spans="1:14">
      <c r="A1498" s="518">
        <f t="shared" si="673"/>
        <v>2025</v>
      </c>
      <c r="B1498" s="880">
        <f>ROUND([30]MW!B1061,0)</f>
        <v>0</v>
      </c>
      <c r="C1498" s="880">
        <f>ROUND([30]MW!C1061,0)</f>
        <v>0</v>
      </c>
      <c r="D1498" s="880">
        <f>ROUND([30]MW!D1061,0)</f>
        <v>0</v>
      </c>
      <c r="E1498" s="880">
        <f>ROUND([30]MW!E1061,0)</f>
        <v>0</v>
      </c>
      <c r="F1498" s="880">
        <f>ROUND([30]MW!F1061,0)</f>
        <v>0</v>
      </c>
      <c r="G1498" s="880">
        <f>ROUND([30]MW!G1061,0)</f>
        <v>0</v>
      </c>
      <c r="H1498" s="880">
        <f>ROUND([30]MW!H1061,0)</f>
        <v>0</v>
      </c>
      <c r="I1498" s="880">
        <f>ROUND([30]MW!I1061,0)</f>
        <v>0</v>
      </c>
      <c r="J1498" s="880">
        <f>ROUND([30]MW!J1061,0)</f>
        <v>0</v>
      </c>
      <c r="K1498" s="880">
        <f>ROUND([30]MW!K1061,0)</f>
        <v>0</v>
      </c>
      <c r="L1498" s="880">
        <f>ROUND([30]MW!L1061,0)</f>
        <v>0</v>
      </c>
      <c r="M1498" s="880">
        <f>ROUND([30]MW!M1061,0)</f>
        <v>0</v>
      </c>
      <c r="N1498" s="25">
        <f t="shared" si="675"/>
        <v>0</v>
      </c>
    </row>
    <row r="1499" spans="1:14">
      <c r="A1499" s="518">
        <f t="shared" si="673"/>
        <v>2026</v>
      </c>
      <c r="B1499" s="880">
        <f>ROUND([30]MW!B1062,0)</f>
        <v>0</v>
      </c>
      <c r="C1499" s="880">
        <f>ROUND([30]MW!C1062,0)</f>
        <v>0</v>
      </c>
      <c r="D1499" s="880">
        <f>ROUND([30]MW!D1062,0)</f>
        <v>0</v>
      </c>
      <c r="E1499" s="880">
        <f>ROUND([30]MW!E1062,0)</f>
        <v>0</v>
      </c>
      <c r="F1499" s="880">
        <f>ROUND([30]MW!F1062,0)</f>
        <v>0</v>
      </c>
      <c r="G1499" s="880">
        <f>ROUND([30]MW!G1062,0)</f>
        <v>0</v>
      </c>
      <c r="H1499" s="880">
        <f>ROUND([30]MW!H1062,0)</f>
        <v>0</v>
      </c>
      <c r="I1499" s="880">
        <f>ROUND([30]MW!I1062,0)</f>
        <v>0</v>
      </c>
      <c r="J1499" s="880">
        <f>ROUND([30]MW!J1062,0)</f>
        <v>0</v>
      </c>
      <c r="K1499" s="880">
        <f>ROUND([30]MW!K1062,0)</f>
        <v>0</v>
      </c>
      <c r="L1499" s="880">
        <f>ROUND([30]MW!L1062,0)</f>
        <v>0</v>
      </c>
      <c r="M1499" s="880">
        <f>ROUND([30]MW!M1062,0)</f>
        <v>0</v>
      </c>
      <c r="N1499" s="25">
        <f t="shared" si="675"/>
        <v>0</v>
      </c>
    </row>
    <row r="1500" spans="1:14">
      <c r="A1500" s="2">
        <f t="shared" si="673"/>
        <v>2027</v>
      </c>
      <c r="B1500" s="880">
        <f>ROUND([30]MW!B1063,0)</f>
        <v>0</v>
      </c>
      <c r="C1500" s="880">
        <f>ROUND([30]MW!C1063,0)</f>
        <v>0</v>
      </c>
      <c r="D1500" s="880">
        <f>ROUND([30]MW!D1063,0)</f>
        <v>0</v>
      </c>
      <c r="E1500" s="880">
        <f>ROUND([30]MW!E1063,0)</f>
        <v>0</v>
      </c>
      <c r="F1500" s="880">
        <f>ROUND([30]MW!F1063,0)</f>
        <v>0</v>
      </c>
      <c r="G1500" s="880">
        <f>ROUND([30]MW!G1063,0)</f>
        <v>0</v>
      </c>
      <c r="H1500" s="880">
        <f>ROUND([30]MW!H1063,0)</f>
        <v>0</v>
      </c>
      <c r="I1500" s="880">
        <f>ROUND([30]MW!I1063,0)</f>
        <v>0</v>
      </c>
      <c r="J1500" s="880">
        <f>ROUND([30]MW!J1063,0)</f>
        <v>0</v>
      </c>
      <c r="K1500" s="880">
        <f>ROUND([30]MW!K1063,0)</f>
        <v>0</v>
      </c>
      <c r="L1500" s="880">
        <f>ROUND([30]MW!L1063,0)</f>
        <v>0</v>
      </c>
      <c r="M1500" s="880">
        <f>ROUND([30]MW!M1063,0)</f>
        <v>0</v>
      </c>
      <c r="N1500" s="25">
        <f>SUM(B1500:M1500)</f>
        <v>0</v>
      </c>
    </row>
    <row r="1501" spans="1:14">
      <c r="A1501" s="2">
        <f t="shared" si="673"/>
        <v>2028</v>
      </c>
      <c r="B1501" s="880">
        <f>ROUND([30]MW!B1064,0)</f>
        <v>0</v>
      </c>
      <c r="C1501" s="880">
        <f>ROUND([30]MW!C1064,0)</f>
        <v>0</v>
      </c>
      <c r="D1501" s="880">
        <f>ROUND([30]MW!D1064,0)</f>
        <v>0</v>
      </c>
      <c r="E1501" s="880">
        <f>ROUND([30]MW!E1064,0)</f>
        <v>0</v>
      </c>
      <c r="F1501" s="880">
        <f>ROUND([30]MW!F1064,0)</f>
        <v>0</v>
      </c>
      <c r="G1501" s="880">
        <f>ROUND([30]MW!G1064,0)</f>
        <v>0</v>
      </c>
      <c r="H1501" s="880">
        <f>ROUND([30]MW!H1064,0)</f>
        <v>0</v>
      </c>
      <c r="I1501" s="880">
        <f>ROUND([30]MW!I1064,0)</f>
        <v>0</v>
      </c>
      <c r="J1501" s="880">
        <f>ROUND([30]MW!J1064,0)</f>
        <v>0</v>
      </c>
      <c r="K1501" s="880">
        <f>ROUND([30]MW!K1064,0)</f>
        <v>0</v>
      </c>
      <c r="L1501" s="880">
        <f>ROUND([30]MW!L1064,0)</f>
        <v>0</v>
      </c>
      <c r="M1501" s="880">
        <f>ROUND([30]MW!M1064,0)</f>
        <v>0</v>
      </c>
      <c r="N1501" s="25">
        <f>SUM(B1501:M1501)</f>
        <v>0</v>
      </c>
    </row>
    <row r="1502" spans="1:14">
      <c r="A1502" s="2">
        <f t="shared" si="673"/>
        <v>2029</v>
      </c>
      <c r="B1502" s="880">
        <f>ROUND([30]MW!B1065,0)</f>
        <v>0</v>
      </c>
      <c r="C1502" s="880">
        <f>ROUND([30]MW!C1065,0)</f>
        <v>0</v>
      </c>
      <c r="D1502" s="880">
        <f>ROUND([30]MW!D1065,0)</f>
        <v>0</v>
      </c>
      <c r="E1502" s="880">
        <f>ROUND([30]MW!E1065,0)</f>
        <v>0</v>
      </c>
      <c r="F1502" s="880">
        <f>ROUND([30]MW!F1065,0)</f>
        <v>0</v>
      </c>
      <c r="G1502" s="880">
        <f>ROUND([30]MW!G1065,0)</f>
        <v>0</v>
      </c>
      <c r="H1502" s="880">
        <f>ROUND([30]MW!H1065,0)</f>
        <v>0</v>
      </c>
      <c r="I1502" s="880">
        <f>ROUND([30]MW!I1065,0)</f>
        <v>0</v>
      </c>
      <c r="J1502" s="880">
        <f>ROUND([30]MW!J1065,0)</f>
        <v>0</v>
      </c>
      <c r="K1502" s="880">
        <f>ROUND([30]MW!K1065,0)</f>
        <v>0</v>
      </c>
      <c r="L1502" s="880">
        <f>ROUND([30]MW!L1065,0)</f>
        <v>0</v>
      </c>
      <c r="M1502" s="880">
        <f>ROUND([30]MW!M1065,0)</f>
        <v>0</v>
      </c>
      <c r="N1502" s="25">
        <f>SUM(B1502:M1502)</f>
        <v>0</v>
      </c>
    </row>
    <row r="1503" spans="1:14">
      <c r="A1503" s="2">
        <f t="shared" si="673"/>
        <v>2030</v>
      </c>
      <c r="B1503" s="880">
        <f>ROUND([30]MW!B1066,0)</f>
        <v>0</v>
      </c>
      <c r="C1503" s="880">
        <f>ROUND([30]MW!C1066,0)</f>
        <v>0</v>
      </c>
      <c r="D1503" s="880">
        <f>ROUND([30]MW!D1066,0)</f>
        <v>0</v>
      </c>
      <c r="E1503" s="880">
        <f>ROUND([30]MW!E1066,0)</f>
        <v>0</v>
      </c>
      <c r="F1503" s="880">
        <f>ROUND([30]MW!F1066,0)</f>
        <v>0</v>
      </c>
      <c r="G1503" s="880">
        <f>ROUND([30]MW!G1066,0)</f>
        <v>0</v>
      </c>
      <c r="H1503" s="880">
        <f>ROUND([30]MW!H1066,0)</f>
        <v>0</v>
      </c>
      <c r="I1503" s="880">
        <f>ROUND([30]MW!I1066,0)</f>
        <v>0</v>
      </c>
      <c r="J1503" s="880">
        <f>ROUND([30]MW!J1066,0)</f>
        <v>0</v>
      </c>
      <c r="K1503" s="880">
        <f>ROUND([30]MW!K1066,0)</f>
        <v>0</v>
      </c>
      <c r="L1503" s="880">
        <f>ROUND([30]MW!L1066,0)</f>
        <v>0</v>
      </c>
      <c r="M1503" s="880">
        <f>ROUND([30]MW!M1066,0)</f>
        <v>0</v>
      </c>
      <c r="N1503" s="25">
        <f>SUM(B1503:M1503)</f>
        <v>0</v>
      </c>
    </row>
    <row r="1504" spans="1:14">
      <c r="A1504" s="2">
        <f t="shared" si="673"/>
        <v>2031</v>
      </c>
      <c r="B1504" s="880">
        <f>ROUND([30]MW!B1067,0)</f>
        <v>0</v>
      </c>
      <c r="C1504" s="880">
        <f>ROUND([30]MW!C1067,0)</f>
        <v>0</v>
      </c>
      <c r="D1504" s="880">
        <f>ROUND([30]MW!D1067,0)</f>
        <v>0</v>
      </c>
      <c r="E1504" s="880">
        <f>ROUND([30]MW!E1067,0)</f>
        <v>0</v>
      </c>
      <c r="F1504" s="880">
        <f>ROUND([30]MW!F1067,0)</f>
        <v>0</v>
      </c>
      <c r="G1504" s="880">
        <f>ROUND([30]MW!G1067,0)</f>
        <v>0</v>
      </c>
      <c r="H1504" s="880">
        <f>ROUND([30]MW!H1067,0)</f>
        <v>0</v>
      </c>
      <c r="I1504" s="880">
        <f>ROUND([30]MW!I1067,0)</f>
        <v>0</v>
      </c>
      <c r="J1504" s="880">
        <f>ROUND([30]MW!J1067,0)</f>
        <v>0</v>
      </c>
      <c r="K1504" s="880">
        <f>ROUND([30]MW!K1067,0)</f>
        <v>0</v>
      </c>
      <c r="L1504" s="880">
        <f>ROUND([30]MW!L1067,0)</f>
        <v>0</v>
      </c>
      <c r="M1504" s="880">
        <f>ROUND([30]MW!M1067,0)</f>
        <v>0</v>
      </c>
      <c r="N1504" s="25">
        <f t="shared" ref="N1504:N1513" si="676">SUM(B1504:M1504)</f>
        <v>0</v>
      </c>
    </row>
    <row r="1505" spans="1:14">
      <c r="A1505" s="2">
        <f t="shared" si="673"/>
        <v>2032</v>
      </c>
      <c r="B1505" s="880">
        <f>ROUND([30]MW!B1068,0)</f>
        <v>0</v>
      </c>
      <c r="C1505" s="880">
        <f>ROUND([30]MW!C1068,0)</f>
        <v>0</v>
      </c>
      <c r="D1505" s="880">
        <f>ROUND([30]MW!D1068,0)</f>
        <v>0</v>
      </c>
      <c r="E1505" s="880">
        <f>ROUND([30]MW!E1068,0)</f>
        <v>0</v>
      </c>
      <c r="F1505" s="880">
        <f>ROUND([30]MW!F1068,0)</f>
        <v>0</v>
      </c>
      <c r="G1505" s="880">
        <f>ROUND([30]MW!G1068,0)</f>
        <v>0</v>
      </c>
      <c r="H1505" s="880">
        <f>ROUND([30]MW!H1068,0)</f>
        <v>0</v>
      </c>
      <c r="I1505" s="880">
        <f>ROUND([30]MW!I1068,0)</f>
        <v>0</v>
      </c>
      <c r="J1505" s="880">
        <f>ROUND([30]MW!J1068,0)</f>
        <v>0</v>
      </c>
      <c r="K1505" s="880">
        <f>ROUND([30]MW!K1068,0)</f>
        <v>0</v>
      </c>
      <c r="L1505" s="880">
        <f>ROUND([30]MW!L1068,0)</f>
        <v>0</v>
      </c>
      <c r="M1505" s="880">
        <f>ROUND([30]MW!M1068,0)</f>
        <v>0</v>
      </c>
      <c r="N1505" s="25">
        <f t="shared" si="676"/>
        <v>0</v>
      </c>
    </row>
    <row r="1506" spans="1:14">
      <c r="A1506" s="2">
        <f t="shared" si="673"/>
        <v>2033</v>
      </c>
      <c r="B1506" s="880">
        <f>ROUND([30]MW!B1069,0)</f>
        <v>0</v>
      </c>
      <c r="C1506" s="880">
        <f>ROUND([30]MW!C1069,0)</f>
        <v>0</v>
      </c>
      <c r="D1506" s="880">
        <f>ROUND([30]MW!D1069,0)</f>
        <v>0</v>
      </c>
      <c r="E1506" s="880">
        <f>ROUND([30]MW!E1069,0)</f>
        <v>0</v>
      </c>
      <c r="F1506" s="880">
        <f>ROUND([30]MW!F1069,0)</f>
        <v>0</v>
      </c>
      <c r="G1506" s="880">
        <f>ROUND([30]MW!G1069,0)</f>
        <v>0</v>
      </c>
      <c r="H1506" s="880">
        <f>ROUND([30]MW!H1069,0)</f>
        <v>0</v>
      </c>
      <c r="I1506" s="880">
        <f>ROUND([30]MW!I1069,0)</f>
        <v>0</v>
      </c>
      <c r="J1506" s="880">
        <f>ROUND([30]MW!J1069,0)</f>
        <v>0</v>
      </c>
      <c r="K1506" s="880">
        <f>ROUND([30]MW!K1069,0)</f>
        <v>0</v>
      </c>
      <c r="L1506" s="880">
        <f>ROUND([30]MW!L1069,0)</f>
        <v>0</v>
      </c>
      <c r="M1506" s="880">
        <f>ROUND([30]MW!M1069,0)</f>
        <v>0</v>
      </c>
      <c r="N1506" s="25">
        <f t="shared" si="676"/>
        <v>0</v>
      </c>
    </row>
    <row r="1507" spans="1:14">
      <c r="A1507" s="2">
        <f t="shared" si="673"/>
        <v>2034</v>
      </c>
      <c r="B1507" s="880">
        <f>ROUND([30]MW!B1070,0)</f>
        <v>0</v>
      </c>
      <c r="C1507" s="880">
        <f>ROUND([30]MW!C1070,0)</f>
        <v>0</v>
      </c>
      <c r="D1507" s="880">
        <f>ROUND([30]MW!D1070,0)</f>
        <v>0</v>
      </c>
      <c r="E1507" s="880">
        <f>ROUND([30]MW!E1070,0)</f>
        <v>0</v>
      </c>
      <c r="F1507" s="880">
        <f>ROUND([30]MW!F1070,0)</f>
        <v>0</v>
      </c>
      <c r="G1507" s="880">
        <f>ROUND([30]MW!G1070,0)</f>
        <v>0</v>
      </c>
      <c r="H1507" s="880">
        <f>ROUND([30]MW!H1070,0)</f>
        <v>0</v>
      </c>
      <c r="I1507" s="880">
        <f>ROUND([30]MW!I1070,0)</f>
        <v>0</v>
      </c>
      <c r="J1507" s="880">
        <f>ROUND([30]MW!J1070,0)</f>
        <v>0</v>
      </c>
      <c r="K1507" s="880">
        <f>ROUND([30]MW!K1070,0)</f>
        <v>0</v>
      </c>
      <c r="L1507" s="880">
        <f>ROUND([30]MW!L1070,0)</f>
        <v>0</v>
      </c>
      <c r="M1507" s="880">
        <f>ROUND([30]MW!M1070,0)</f>
        <v>0</v>
      </c>
      <c r="N1507" s="25">
        <f t="shared" si="676"/>
        <v>0</v>
      </c>
    </row>
    <row r="1508" spans="1:14">
      <c r="A1508" s="2">
        <f t="shared" si="673"/>
        <v>2035</v>
      </c>
      <c r="B1508" s="880">
        <f>ROUND([30]MW!B1071,0)</f>
        <v>0</v>
      </c>
      <c r="C1508" s="880">
        <f>ROUND([30]MW!C1071,0)</f>
        <v>0</v>
      </c>
      <c r="D1508" s="880">
        <f>ROUND([30]MW!D1071,0)</f>
        <v>0</v>
      </c>
      <c r="E1508" s="880">
        <f>ROUND([30]MW!E1071,0)</f>
        <v>0</v>
      </c>
      <c r="F1508" s="880">
        <f>ROUND([30]MW!F1071,0)</f>
        <v>0</v>
      </c>
      <c r="G1508" s="880">
        <f>ROUND([30]MW!G1071,0)</f>
        <v>0</v>
      </c>
      <c r="H1508" s="880">
        <f>ROUND([30]MW!H1071,0)</f>
        <v>0</v>
      </c>
      <c r="I1508" s="880">
        <f>ROUND([30]MW!I1071,0)</f>
        <v>0</v>
      </c>
      <c r="J1508" s="880">
        <f>ROUND([30]MW!J1071,0)</f>
        <v>0</v>
      </c>
      <c r="K1508" s="880">
        <f>ROUND([30]MW!K1071,0)</f>
        <v>0</v>
      </c>
      <c r="L1508" s="880">
        <f>ROUND([30]MW!L1071,0)</f>
        <v>0</v>
      </c>
      <c r="M1508" s="880">
        <f>ROUND([30]MW!M1071,0)</f>
        <v>0</v>
      </c>
      <c r="N1508" s="25">
        <f t="shared" si="676"/>
        <v>0</v>
      </c>
    </row>
    <row r="1509" spans="1:14">
      <c r="A1509" s="2">
        <f t="shared" si="673"/>
        <v>2036</v>
      </c>
      <c r="B1509" s="880">
        <f>ROUND([30]MW!B1072,0)</f>
        <v>0</v>
      </c>
      <c r="C1509" s="880">
        <f>ROUND([30]MW!C1072,0)</f>
        <v>0</v>
      </c>
      <c r="D1509" s="880">
        <f>ROUND([30]MW!D1072,0)</f>
        <v>0</v>
      </c>
      <c r="E1509" s="880">
        <f>ROUND([30]MW!E1072,0)</f>
        <v>0</v>
      </c>
      <c r="F1509" s="880">
        <f>ROUND([30]MW!F1072,0)</f>
        <v>0</v>
      </c>
      <c r="G1509" s="880">
        <f>ROUND([30]MW!G1072,0)</f>
        <v>0</v>
      </c>
      <c r="H1509" s="880">
        <f>ROUND([30]MW!H1072,0)</f>
        <v>0</v>
      </c>
      <c r="I1509" s="880">
        <f>ROUND([30]MW!I1072,0)</f>
        <v>0</v>
      </c>
      <c r="J1509" s="880">
        <f>ROUND([30]MW!J1072,0)</f>
        <v>0</v>
      </c>
      <c r="K1509" s="880">
        <f>ROUND([30]MW!K1072,0)</f>
        <v>0</v>
      </c>
      <c r="L1509" s="880">
        <f>ROUND([30]MW!L1072,0)</f>
        <v>0</v>
      </c>
      <c r="M1509" s="880">
        <f>ROUND([30]MW!M1072,0)</f>
        <v>0</v>
      </c>
      <c r="N1509" s="25">
        <f t="shared" si="676"/>
        <v>0</v>
      </c>
    </row>
    <row r="1510" spans="1:14">
      <c r="A1510" s="2">
        <f t="shared" si="673"/>
        <v>2037</v>
      </c>
      <c r="B1510" s="880">
        <f>ROUND([30]MW!B1073,0)</f>
        <v>0</v>
      </c>
      <c r="C1510" s="880">
        <f>ROUND([30]MW!C1073,0)</f>
        <v>0</v>
      </c>
      <c r="D1510" s="880">
        <f>ROUND([30]MW!D1073,0)</f>
        <v>0</v>
      </c>
      <c r="E1510" s="880">
        <f>ROUND([30]MW!E1073,0)</f>
        <v>0</v>
      </c>
      <c r="F1510" s="880">
        <f>ROUND([30]MW!F1073,0)</f>
        <v>0</v>
      </c>
      <c r="G1510" s="880">
        <f>ROUND([30]MW!G1073,0)</f>
        <v>0</v>
      </c>
      <c r="H1510" s="880">
        <f>ROUND([30]MW!H1073,0)</f>
        <v>0</v>
      </c>
      <c r="I1510" s="880">
        <f>ROUND([30]MW!I1073,0)</f>
        <v>0</v>
      </c>
      <c r="J1510" s="880">
        <f>ROUND([30]MW!J1073,0)</f>
        <v>0</v>
      </c>
      <c r="K1510" s="880">
        <f>ROUND([30]MW!K1073,0)</f>
        <v>0</v>
      </c>
      <c r="L1510" s="880">
        <f>ROUND([30]MW!L1073,0)</f>
        <v>0</v>
      </c>
      <c r="M1510" s="880">
        <f>ROUND([30]MW!M1073,0)</f>
        <v>0</v>
      </c>
      <c r="N1510" s="25">
        <f t="shared" si="676"/>
        <v>0</v>
      </c>
    </row>
    <row r="1511" spans="1:14">
      <c r="A1511" s="2">
        <f t="shared" si="673"/>
        <v>2038</v>
      </c>
      <c r="B1511" s="880">
        <f>ROUND([30]MW!B1074,0)</f>
        <v>0</v>
      </c>
      <c r="C1511" s="880">
        <f>ROUND([30]MW!C1074,0)</f>
        <v>0</v>
      </c>
      <c r="D1511" s="880">
        <f>ROUND([30]MW!D1074,0)</f>
        <v>0</v>
      </c>
      <c r="E1511" s="880">
        <f>ROUND([30]MW!E1074,0)</f>
        <v>0</v>
      </c>
      <c r="F1511" s="880">
        <f>ROUND([30]MW!F1074,0)</f>
        <v>0</v>
      </c>
      <c r="G1511" s="880">
        <f>ROUND([30]MW!G1074,0)</f>
        <v>0</v>
      </c>
      <c r="H1511" s="880">
        <f>ROUND([30]MW!H1074,0)</f>
        <v>0</v>
      </c>
      <c r="I1511" s="880">
        <f>ROUND([30]MW!I1074,0)</f>
        <v>0</v>
      </c>
      <c r="J1511" s="880">
        <f>ROUND([30]MW!J1074,0)</f>
        <v>0</v>
      </c>
      <c r="K1511" s="880">
        <f>ROUND([30]MW!K1074,0)</f>
        <v>0</v>
      </c>
      <c r="L1511" s="880">
        <f>ROUND([30]MW!L1074,0)</f>
        <v>0</v>
      </c>
      <c r="M1511" s="880">
        <f>ROUND([30]MW!M1074,0)</f>
        <v>0</v>
      </c>
      <c r="N1511" s="25">
        <f t="shared" si="676"/>
        <v>0</v>
      </c>
    </row>
    <row r="1512" spans="1:14">
      <c r="A1512" s="2">
        <f t="shared" si="673"/>
        <v>2039</v>
      </c>
      <c r="B1512" s="880">
        <f>ROUND([30]MW!B1075,0)</f>
        <v>0</v>
      </c>
      <c r="C1512" s="880">
        <f>ROUND([30]MW!C1075,0)</f>
        <v>0</v>
      </c>
      <c r="D1512" s="880">
        <f>ROUND([30]MW!D1075,0)</f>
        <v>0</v>
      </c>
      <c r="E1512" s="880">
        <f>ROUND([30]MW!E1075,0)</f>
        <v>0</v>
      </c>
      <c r="F1512" s="880">
        <f>ROUND([30]MW!F1075,0)</f>
        <v>0</v>
      </c>
      <c r="G1512" s="880">
        <f>ROUND([30]MW!G1075,0)</f>
        <v>0</v>
      </c>
      <c r="H1512" s="880">
        <f>ROUND([30]MW!H1075,0)</f>
        <v>0</v>
      </c>
      <c r="I1512" s="880">
        <f>ROUND([30]MW!I1075,0)</f>
        <v>0</v>
      </c>
      <c r="J1512" s="880">
        <f>ROUND([30]MW!J1075,0)</f>
        <v>0</v>
      </c>
      <c r="K1512" s="880">
        <f>ROUND([30]MW!K1075,0)</f>
        <v>0</v>
      </c>
      <c r="L1512" s="880">
        <f>ROUND([30]MW!L1075,0)</f>
        <v>0</v>
      </c>
      <c r="M1512" s="880">
        <f>ROUND([30]MW!M1075,0)</f>
        <v>0</v>
      </c>
      <c r="N1512" s="25">
        <f t="shared" si="676"/>
        <v>0</v>
      </c>
    </row>
    <row r="1513" spans="1:14">
      <c r="A1513" s="2">
        <f t="shared" si="673"/>
        <v>2040</v>
      </c>
      <c r="B1513" s="880">
        <f>ROUND([30]MW!B1076,0)</f>
        <v>0</v>
      </c>
      <c r="C1513" s="880">
        <f>ROUND([30]MW!C1076,0)</f>
        <v>0</v>
      </c>
      <c r="D1513" s="880">
        <f>ROUND([30]MW!D1076,0)</f>
        <v>0</v>
      </c>
      <c r="E1513" s="880">
        <f>ROUND([30]MW!E1076,0)</f>
        <v>0</v>
      </c>
      <c r="F1513" s="880">
        <f>ROUND([30]MW!F1076,0)</f>
        <v>0</v>
      </c>
      <c r="G1513" s="880">
        <f>ROUND([30]MW!G1076,0)</f>
        <v>0</v>
      </c>
      <c r="H1513" s="880">
        <f>ROUND([30]MW!H1076,0)</f>
        <v>0</v>
      </c>
      <c r="I1513" s="880">
        <f>ROUND([30]MW!I1076,0)</f>
        <v>0</v>
      </c>
      <c r="J1513" s="880">
        <f>ROUND([30]MW!J1076,0)</f>
        <v>0</v>
      </c>
      <c r="K1513" s="880">
        <f>ROUND([30]MW!K1076,0)</f>
        <v>0</v>
      </c>
      <c r="L1513" s="880">
        <f>ROUND([30]MW!L1076,0)</f>
        <v>0</v>
      </c>
      <c r="M1513" s="880">
        <f>ROUND([30]MW!M1076,0)</f>
        <v>0</v>
      </c>
      <c r="N1513" s="25">
        <f t="shared" si="676"/>
        <v>0</v>
      </c>
    </row>
    <row r="1514" spans="1:14">
      <c r="A1514" s="2">
        <f t="shared" si="673"/>
        <v>2041</v>
      </c>
    </row>
    <row r="1515" spans="1:14">
      <c r="A1515" s="2">
        <f t="shared" si="673"/>
        <v>2042</v>
      </c>
    </row>
    <row r="1516" spans="1:14">
      <c r="A1516" s="2">
        <f t="shared" si="673"/>
        <v>2043</v>
      </c>
    </row>
    <row r="1517" spans="1:14">
      <c r="A1517" s="2">
        <f t="shared" si="673"/>
        <v>2044</v>
      </c>
    </row>
    <row r="1518" spans="1:14">
      <c r="A1518" s="2">
        <f t="shared" si="673"/>
        <v>2045</v>
      </c>
    </row>
    <row r="1521" spans="1:29" ht="16.5">
      <c r="A1521" s="1183" t="s">
        <v>511</v>
      </c>
      <c r="K1521" s="30" t="s">
        <v>311</v>
      </c>
      <c r="P1521" s="882"/>
      <c r="Q1521" s="37"/>
      <c r="R1521" s="37"/>
      <c r="S1521" s="37"/>
      <c r="T1521" s="37"/>
      <c r="U1521" s="37"/>
      <c r="V1521" s="37"/>
      <c r="W1521" s="37"/>
      <c r="X1521" s="37"/>
      <c r="Y1521" s="37"/>
      <c r="Z1521" s="37"/>
      <c r="AA1521" s="37"/>
      <c r="AB1521" s="37"/>
      <c r="AC1521" s="37"/>
    </row>
    <row r="1522" spans="1:29">
      <c r="A1522" s="27" t="s">
        <v>9</v>
      </c>
      <c r="B1522" s="27" t="s">
        <v>28</v>
      </c>
      <c r="C1522" s="27" t="s">
        <v>29</v>
      </c>
      <c r="D1522" s="27" t="s">
        <v>30</v>
      </c>
      <c r="E1522" s="27" t="s">
        <v>31</v>
      </c>
      <c r="F1522" s="27" t="s">
        <v>32</v>
      </c>
      <c r="G1522" s="27" t="s">
        <v>33</v>
      </c>
      <c r="H1522" s="27" t="s">
        <v>34</v>
      </c>
      <c r="I1522" s="27" t="s">
        <v>35</v>
      </c>
      <c r="J1522" s="27" t="s">
        <v>36</v>
      </c>
      <c r="K1522" s="27" t="s">
        <v>37</v>
      </c>
      <c r="L1522" s="27" t="s">
        <v>38</v>
      </c>
      <c r="M1522" s="27" t="s">
        <v>39</v>
      </c>
      <c r="N1522" s="33" t="s">
        <v>56</v>
      </c>
      <c r="P1522" s="25"/>
      <c r="Q1522" s="37"/>
      <c r="R1522" s="37"/>
      <c r="S1522" s="37"/>
      <c r="T1522" s="37"/>
      <c r="U1522" s="37"/>
      <c r="V1522" s="37"/>
      <c r="W1522" s="37"/>
      <c r="X1522" s="37"/>
      <c r="Y1522" s="37"/>
      <c r="Z1522" s="37"/>
      <c r="AA1522" s="37"/>
      <c r="AB1522" s="37"/>
      <c r="AC1522" s="1121"/>
    </row>
    <row r="1523" spans="1:29">
      <c r="A1523" s="2">
        <f>A1483</f>
        <v>2010</v>
      </c>
      <c r="B1523" s="34">
        <f>[30]MW!B1086</f>
        <v>109.902</v>
      </c>
      <c r="C1523" s="34">
        <f>[30]MW!C1086</f>
        <v>78.301000000000002</v>
      </c>
      <c r="D1523" s="34">
        <f>[30]MW!D1086</f>
        <v>74.426000000000002</v>
      </c>
      <c r="E1523" s="34">
        <f>[30]MW!E1086</f>
        <v>65.510999999999996</v>
      </c>
      <c r="F1523" s="34">
        <f>[30]MW!F1086</f>
        <v>88.697999999999993</v>
      </c>
      <c r="G1523" s="34">
        <f>[30]MW!G1086</f>
        <v>96.388999999999996</v>
      </c>
      <c r="H1523" s="34">
        <f>[30]MW!H1086</f>
        <v>94.801000000000002</v>
      </c>
      <c r="I1523" s="34">
        <f>[30]MW!I1086</f>
        <v>95.34</v>
      </c>
      <c r="J1523" s="34">
        <f>[30]MW!J1086</f>
        <v>89.353999999999999</v>
      </c>
      <c r="K1523" s="34">
        <f>[30]MW!K1086</f>
        <v>80.275999999999996</v>
      </c>
      <c r="L1523" s="34">
        <f>[30]MW!L1086</f>
        <v>65.622</v>
      </c>
      <c r="M1523" s="34">
        <f>[30]MW!M1086</f>
        <v>94.01</v>
      </c>
      <c r="N1523" s="25">
        <f t="shared" ref="N1523:N1533" si="677">SUM(B1523:M1523)</f>
        <v>1032.6300000000001</v>
      </c>
      <c r="Q1523" s="335"/>
      <c r="R1523" s="335"/>
      <c r="S1523" s="335"/>
      <c r="T1523" s="335"/>
      <c r="U1523" s="335"/>
      <c r="V1523" s="335"/>
      <c r="W1523" s="335"/>
      <c r="X1523" s="335"/>
      <c r="Y1523" s="335"/>
      <c r="Z1523" s="335"/>
      <c r="AA1523" s="335"/>
      <c r="AB1523" s="335"/>
      <c r="AC1523" s="37"/>
    </row>
    <row r="1524" spans="1:29">
      <c r="A1524" s="2">
        <f t="shared" ref="A1524:A1558" si="678">A1484</f>
        <v>2011</v>
      </c>
      <c r="B1524" s="880">
        <f>ROUND([30]MW!B1087,0)</f>
        <v>41</v>
      </c>
      <c r="C1524" s="880">
        <f>ROUND([30]MW!C1087,0)</f>
        <v>41</v>
      </c>
      <c r="D1524" s="880">
        <f>ROUND([30]MW!D1087,0)</f>
        <v>41</v>
      </c>
      <c r="E1524" s="880">
        <f>ROUND([30]MW!E1087,0)</f>
        <v>41</v>
      </c>
      <c r="F1524" s="880">
        <f>ROUND([30]MW!F1087,0)</f>
        <v>41</v>
      </c>
      <c r="G1524" s="880">
        <f>ROUND([30]MW!G1087,0)</f>
        <v>41</v>
      </c>
      <c r="H1524" s="880">
        <f>ROUND([30]MW!H1087,0)</f>
        <v>41</v>
      </c>
      <c r="I1524" s="880">
        <f>ROUND([30]MW!I1087,0)</f>
        <v>41</v>
      </c>
      <c r="J1524" s="880">
        <f>ROUND([30]MW!J1087,0)</f>
        <v>41</v>
      </c>
      <c r="K1524" s="880">
        <f>ROUND([30]MW!K1087,0)</f>
        <v>41</v>
      </c>
      <c r="L1524" s="880">
        <f>ROUND([30]MW!L1087,0)</f>
        <v>41</v>
      </c>
      <c r="M1524" s="880">
        <f>ROUND([30]MW!M1087,0)</f>
        <v>41</v>
      </c>
      <c r="N1524" s="25">
        <f t="shared" si="677"/>
        <v>492</v>
      </c>
      <c r="Q1524" s="335"/>
      <c r="R1524" s="335"/>
      <c r="S1524" s="335"/>
      <c r="T1524" s="335"/>
      <c r="U1524" s="335"/>
      <c r="V1524" s="335"/>
      <c r="W1524" s="335"/>
      <c r="X1524" s="335"/>
      <c r="Y1524" s="335"/>
      <c r="Z1524" s="335"/>
      <c r="AA1524" s="335"/>
      <c r="AB1524" s="335"/>
      <c r="AC1524" s="37"/>
    </row>
    <row r="1525" spans="1:29">
      <c r="A1525" s="2">
        <f t="shared" si="678"/>
        <v>2012</v>
      </c>
      <c r="B1525" s="880">
        <f>ROUND([30]MW!B1088,0)</f>
        <v>41</v>
      </c>
      <c r="C1525" s="880">
        <f>ROUND([30]MW!C1088,0)</f>
        <v>41</v>
      </c>
      <c r="D1525" s="880">
        <f>ROUND([30]MW!D1088,0)</f>
        <v>41</v>
      </c>
      <c r="E1525" s="880">
        <f>ROUND([30]MW!E1088,0)</f>
        <v>41</v>
      </c>
      <c r="F1525" s="880">
        <f>ROUND([30]MW!F1088,0)</f>
        <v>41</v>
      </c>
      <c r="G1525" s="880">
        <f>ROUND([30]MW!G1088,0)</f>
        <v>41</v>
      </c>
      <c r="H1525" s="880">
        <f>ROUND([30]MW!H1088,0)</f>
        <v>41</v>
      </c>
      <c r="I1525" s="880">
        <f>ROUND([30]MW!I1088,0)</f>
        <v>41</v>
      </c>
      <c r="J1525" s="880">
        <f>ROUND([30]MW!J1088,0)</f>
        <v>41</v>
      </c>
      <c r="K1525" s="880">
        <f>ROUND([30]MW!K1088,0)</f>
        <v>41</v>
      </c>
      <c r="L1525" s="880">
        <f>ROUND([30]MW!L1088,0)</f>
        <v>41</v>
      </c>
      <c r="M1525" s="880">
        <f>ROUND([30]MW!M1088,0)</f>
        <v>41</v>
      </c>
      <c r="N1525" s="25">
        <f t="shared" si="677"/>
        <v>492</v>
      </c>
      <c r="Q1525" s="335"/>
      <c r="R1525" s="335"/>
      <c r="S1525" s="335"/>
      <c r="T1525" s="335"/>
      <c r="U1525" s="335"/>
      <c r="V1525" s="335"/>
      <c r="W1525" s="335"/>
      <c r="X1525" s="335"/>
      <c r="Y1525" s="335"/>
      <c r="Z1525" s="335"/>
      <c r="AA1525" s="335"/>
      <c r="AB1525" s="335"/>
      <c r="AC1525" s="37"/>
    </row>
    <row r="1526" spans="1:29">
      <c r="A1526" s="2">
        <f t="shared" si="678"/>
        <v>2013</v>
      </c>
      <c r="B1526" s="880">
        <f>ROUND([30]MW!B1089,0)</f>
        <v>41</v>
      </c>
      <c r="C1526" s="880">
        <f>ROUND([30]MW!C1089,0)</f>
        <v>41</v>
      </c>
      <c r="D1526" s="880">
        <f>ROUND([30]MW!D1089,0)</f>
        <v>41</v>
      </c>
      <c r="E1526" s="880">
        <f>ROUND([30]MW!E1089,0)</f>
        <v>41</v>
      </c>
      <c r="F1526" s="880">
        <f>ROUND([30]MW!F1089,0)</f>
        <v>41</v>
      </c>
      <c r="G1526" s="880">
        <f>ROUND([30]MW!G1089,0)</f>
        <v>41</v>
      </c>
      <c r="H1526" s="880">
        <f>ROUND([30]MW!H1089,0)</f>
        <v>41</v>
      </c>
      <c r="I1526" s="880">
        <f>ROUND([30]MW!I1089,0)</f>
        <v>41</v>
      </c>
      <c r="J1526" s="880">
        <f>ROUND([30]MW!J1089,0)</f>
        <v>41</v>
      </c>
      <c r="K1526" s="880">
        <f>ROUND([30]MW!K1089,0)</f>
        <v>41</v>
      </c>
      <c r="L1526" s="880">
        <f>ROUND([30]MW!L1089,0)</f>
        <v>41</v>
      </c>
      <c r="M1526" s="880">
        <f>ROUND([30]MW!M1089,0)</f>
        <v>41</v>
      </c>
      <c r="N1526" s="25">
        <f t="shared" si="677"/>
        <v>492</v>
      </c>
      <c r="Q1526" s="335"/>
      <c r="R1526" s="335"/>
      <c r="S1526" s="335"/>
      <c r="T1526" s="335"/>
      <c r="U1526" s="335"/>
      <c r="V1526" s="335"/>
      <c r="W1526" s="335"/>
      <c r="X1526" s="335"/>
      <c r="Y1526" s="335"/>
      <c r="Z1526" s="335"/>
      <c r="AA1526" s="335"/>
      <c r="AB1526" s="335"/>
      <c r="AC1526" s="37"/>
    </row>
    <row r="1527" spans="1:29">
      <c r="A1527" s="2">
        <f t="shared" si="678"/>
        <v>2014</v>
      </c>
      <c r="B1527" s="880">
        <f>ROUND([30]MW!B1090,0)</f>
        <v>0</v>
      </c>
      <c r="C1527" s="880">
        <f>ROUND([30]MW!C1090,0)</f>
        <v>0</v>
      </c>
      <c r="D1527" s="880">
        <f>ROUND([30]MW!D1090,0)</f>
        <v>0</v>
      </c>
      <c r="E1527" s="880">
        <f>ROUND([30]MW!E1090,0)</f>
        <v>0</v>
      </c>
      <c r="F1527" s="880">
        <f>ROUND([30]MW!F1090,0)</f>
        <v>0</v>
      </c>
      <c r="G1527" s="880">
        <f>ROUND([30]MW!G1090,0)</f>
        <v>0</v>
      </c>
      <c r="H1527" s="880">
        <f>ROUND([30]MW!H1090,0)</f>
        <v>0</v>
      </c>
      <c r="I1527" s="880">
        <f>ROUND([30]MW!I1090,0)</f>
        <v>0</v>
      </c>
      <c r="J1527" s="880">
        <f>ROUND([30]MW!J1090,0)</f>
        <v>0</v>
      </c>
      <c r="K1527" s="880">
        <f>ROUND([30]MW!K1090,0)</f>
        <v>0</v>
      </c>
      <c r="L1527" s="880">
        <f>ROUND([30]MW!L1090,0)</f>
        <v>0</v>
      </c>
      <c r="M1527" s="880">
        <f>ROUND([30]MW!M1090,0)</f>
        <v>0</v>
      </c>
      <c r="N1527" s="25">
        <f t="shared" si="677"/>
        <v>0</v>
      </c>
      <c r="Q1527" s="335"/>
      <c r="R1527" s="335"/>
      <c r="S1527" s="335"/>
      <c r="T1527" s="335"/>
      <c r="U1527" s="335"/>
      <c r="V1527" s="335"/>
      <c r="W1527" s="335"/>
      <c r="X1527" s="335"/>
      <c r="Y1527" s="335"/>
      <c r="Z1527" s="335"/>
      <c r="AA1527" s="335"/>
      <c r="AB1527" s="335"/>
      <c r="AC1527" s="37"/>
    </row>
    <row r="1528" spans="1:29">
      <c r="A1528" s="2">
        <f t="shared" si="678"/>
        <v>2015</v>
      </c>
      <c r="B1528" s="880">
        <f>ROUND([30]MW!B1091,0)</f>
        <v>0</v>
      </c>
      <c r="C1528" s="880">
        <f>ROUND([30]MW!C1091,0)</f>
        <v>0</v>
      </c>
      <c r="D1528" s="880">
        <f>ROUND([30]MW!D1091,0)</f>
        <v>0</v>
      </c>
      <c r="E1528" s="880">
        <f>ROUND([30]MW!E1091,0)</f>
        <v>0</v>
      </c>
      <c r="F1528" s="880">
        <f>ROUND([30]MW!F1091,0)</f>
        <v>0</v>
      </c>
      <c r="G1528" s="880">
        <f>ROUND([30]MW!G1091,0)</f>
        <v>0</v>
      </c>
      <c r="H1528" s="880">
        <f>ROUND([30]MW!H1091,0)</f>
        <v>0</v>
      </c>
      <c r="I1528" s="880">
        <f>ROUND([30]MW!I1091,0)</f>
        <v>0</v>
      </c>
      <c r="J1528" s="880">
        <f>ROUND([30]MW!J1091,0)</f>
        <v>0</v>
      </c>
      <c r="K1528" s="880">
        <f>ROUND([30]MW!K1091,0)</f>
        <v>0</v>
      </c>
      <c r="L1528" s="880">
        <f>ROUND([30]MW!L1091,0)</f>
        <v>0</v>
      </c>
      <c r="M1528" s="880">
        <f>ROUND([30]MW!M1091,0)</f>
        <v>0</v>
      </c>
      <c r="N1528" s="25">
        <f t="shared" si="677"/>
        <v>0</v>
      </c>
      <c r="Q1528" s="335"/>
      <c r="R1528" s="335"/>
      <c r="S1528" s="335"/>
      <c r="T1528" s="335"/>
      <c r="U1528" s="335"/>
      <c r="V1528" s="335"/>
      <c r="W1528" s="335"/>
      <c r="X1528" s="335"/>
      <c r="Y1528" s="335"/>
      <c r="Z1528" s="335"/>
      <c r="AA1528" s="335"/>
      <c r="AB1528" s="335"/>
      <c r="AC1528" s="37"/>
    </row>
    <row r="1529" spans="1:29">
      <c r="A1529" s="2">
        <f t="shared" si="678"/>
        <v>2016</v>
      </c>
      <c r="B1529" s="880">
        <f>ROUND([30]MW!B1092,0)</f>
        <v>0</v>
      </c>
      <c r="C1529" s="880">
        <f>ROUND([30]MW!C1092,0)</f>
        <v>0</v>
      </c>
      <c r="D1529" s="880">
        <f>ROUND([30]MW!D1092,0)</f>
        <v>0</v>
      </c>
      <c r="E1529" s="880">
        <f>ROUND([30]MW!E1092,0)</f>
        <v>0</v>
      </c>
      <c r="F1529" s="880">
        <f>ROUND([30]MW!F1092,0)</f>
        <v>0</v>
      </c>
      <c r="G1529" s="880">
        <f>ROUND([30]MW!G1092,0)</f>
        <v>0</v>
      </c>
      <c r="H1529" s="880">
        <f>ROUND([30]MW!H1092,0)</f>
        <v>0</v>
      </c>
      <c r="I1529" s="880">
        <f>ROUND([30]MW!I1092,0)</f>
        <v>0</v>
      </c>
      <c r="J1529" s="880">
        <f>ROUND([30]MW!J1092,0)</f>
        <v>0</v>
      </c>
      <c r="K1529" s="880">
        <f>ROUND([30]MW!K1092,0)</f>
        <v>0</v>
      </c>
      <c r="L1529" s="880">
        <f>ROUND([30]MW!L1092,0)</f>
        <v>0</v>
      </c>
      <c r="M1529" s="880">
        <f>ROUND([30]MW!M1092,0)</f>
        <v>0</v>
      </c>
      <c r="N1529" s="25">
        <f t="shared" si="677"/>
        <v>0</v>
      </c>
      <c r="Q1529" s="335"/>
      <c r="R1529" s="335"/>
      <c r="S1529" s="335"/>
      <c r="T1529" s="335"/>
      <c r="U1529" s="335"/>
      <c r="V1529" s="335"/>
      <c r="W1529" s="335"/>
      <c r="X1529" s="335"/>
      <c r="Y1529" s="335"/>
      <c r="Z1529" s="335"/>
      <c r="AA1529" s="335"/>
      <c r="AB1529" s="335"/>
      <c r="AC1529" s="37"/>
    </row>
    <row r="1530" spans="1:29">
      <c r="A1530" s="2">
        <f t="shared" si="678"/>
        <v>2017</v>
      </c>
      <c r="B1530" s="880">
        <f>ROUND([30]MW!B1093,0)</f>
        <v>0</v>
      </c>
      <c r="C1530" s="880">
        <f>ROUND([30]MW!C1093,0)</f>
        <v>0</v>
      </c>
      <c r="D1530" s="880">
        <f>ROUND([30]MW!D1093,0)</f>
        <v>0</v>
      </c>
      <c r="E1530" s="880">
        <f>ROUND([30]MW!E1093,0)</f>
        <v>0</v>
      </c>
      <c r="F1530" s="880">
        <f>ROUND([30]MW!F1093,0)</f>
        <v>0</v>
      </c>
      <c r="G1530" s="880">
        <f>ROUND([30]MW!G1093,0)</f>
        <v>0</v>
      </c>
      <c r="H1530" s="880">
        <f>ROUND([30]MW!H1093,0)</f>
        <v>0</v>
      </c>
      <c r="I1530" s="880">
        <f>ROUND([30]MW!I1093,0)</f>
        <v>0</v>
      </c>
      <c r="J1530" s="880">
        <f>ROUND([30]MW!J1093,0)</f>
        <v>0</v>
      </c>
      <c r="K1530" s="880">
        <f>ROUND([30]MW!K1093,0)</f>
        <v>0</v>
      </c>
      <c r="L1530" s="880">
        <f>ROUND([30]MW!L1093,0)</f>
        <v>0</v>
      </c>
      <c r="M1530" s="880">
        <f>ROUND([30]MW!M1093,0)</f>
        <v>0</v>
      </c>
      <c r="N1530" s="25">
        <f t="shared" si="677"/>
        <v>0</v>
      </c>
      <c r="Q1530" s="335"/>
      <c r="R1530" s="335"/>
      <c r="S1530" s="335"/>
      <c r="T1530" s="335"/>
      <c r="U1530" s="335"/>
      <c r="V1530" s="335"/>
      <c r="W1530" s="335"/>
      <c r="X1530" s="335"/>
      <c r="Y1530" s="335"/>
      <c r="Z1530" s="335"/>
      <c r="AA1530" s="335"/>
      <c r="AB1530" s="335"/>
      <c r="AC1530" s="37"/>
    </row>
    <row r="1531" spans="1:29">
      <c r="A1531" s="2">
        <f t="shared" si="678"/>
        <v>2018</v>
      </c>
      <c r="B1531" s="880">
        <f>ROUND([30]MW!B1094,0)</f>
        <v>0</v>
      </c>
      <c r="C1531" s="880">
        <f>ROUND([30]MW!C1094,0)</f>
        <v>0</v>
      </c>
      <c r="D1531" s="880">
        <f>ROUND([30]MW!D1094,0)</f>
        <v>0</v>
      </c>
      <c r="E1531" s="880">
        <f>ROUND([30]MW!E1094,0)</f>
        <v>0</v>
      </c>
      <c r="F1531" s="880">
        <f>ROUND([30]MW!F1094,0)</f>
        <v>0</v>
      </c>
      <c r="G1531" s="880">
        <f>ROUND([30]MW!G1094,0)</f>
        <v>0</v>
      </c>
      <c r="H1531" s="880">
        <f>ROUND([30]MW!H1094,0)</f>
        <v>0</v>
      </c>
      <c r="I1531" s="880">
        <f>ROUND([30]MW!I1094,0)</f>
        <v>0</v>
      </c>
      <c r="J1531" s="880">
        <f>ROUND([30]MW!J1094,0)</f>
        <v>0</v>
      </c>
      <c r="K1531" s="880">
        <f>ROUND([30]MW!K1094,0)</f>
        <v>0</v>
      </c>
      <c r="L1531" s="880">
        <f>ROUND([30]MW!L1094,0)</f>
        <v>0</v>
      </c>
      <c r="M1531" s="880">
        <f>ROUND([30]MW!M1094,0)</f>
        <v>0</v>
      </c>
      <c r="N1531" s="25">
        <f t="shared" si="677"/>
        <v>0</v>
      </c>
      <c r="Q1531" s="335"/>
      <c r="R1531" s="335"/>
      <c r="S1531" s="335"/>
      <c r="T1531" s="335"/>
      <c r="U1531" s="335"/>
      <c r="V1531" s="335"/>
      <c r="W1531" s="335"/>
      <c r="X1531" s="335"/>
      <c r="Y1531" s="335"/>
      <c r="Z1531" s="335"/>
      <c r="AA1531" s="335"/>
      <c r="AB1531" s="335"/>
      <c r="AC1531" s="37"/>
    </row>
    <row r="1532" spans="1:29">
      <c r="A1532" s="2">
        <f t="shared" si="678"/>
        <v>2019</v>
      </c>
      <c r="B1532" s="880">
        <f>ROUND([30]MW!B1095,0)</f>
        <v>0</v>
      </c>
      <c r="C1532" s="880">
        <f>ROUND([30]MW!C1095,0)</f>
        <v>0</v>
      </c>
      <c r="D1532" s="880">
        <f>ROUND([30]MW!D1095,0)</f>
        <v>0</v>
      </c>
      <c r="E1532" s="880">
        <f>ROUND([30]MW!E1095,0)</f>
        <v>0</v>
      </c>
      <c r="F1532" s="880">
        <f>ROUND([30]MW!F1095,0)</f>
        <v>0</v>
      </c>
      <c r="G1532" s="880">
        <f>ROUND([30]MW!G1095,0)</f>
        <v>0</v>
      </c>
      <c r="H1532" s="880">
        <f>ROUND([30]MW!H1095,0)</f>
        <v>0</v>
      </c>
      <c r="I1532" s="880">
        <f>ROUND([30]MW!I1095,0)</f>
        <v>0</v>
      </c>
      <c r="J1532" s="880">
        <f>ROUND([30]MW!J1095,0)</f>
        <v>0</v>
      </c>
      <c r="K1532" s="880">
        <f>ROUND([30]MW!K1095,0)</f>
        <v>0</v>
      </c>
      <c r="L1532" s="880">
        <f>ROUND([30]MW!L1095,0)</f>
        <v>0</v>
      </c>
      <c r="M1532" s="880">
        <f>ROUND([30]MW!M1095,0)</f>
        <v>0</v>
      </c>
      <c r="N1532" s="25">
        <f t="shared" si="677"/>
        <v>0</v>
      </c>
      <c r="Q1532" s="335"/>
      <c r="R1532" s="335"/>
      <c r="S1532" s="335"/>
      <c r="T1532" s="335"/>
      <c r="U1532" s="335"/>
      <c r="V1532" s="335"/>
      <c r="W1532" s="335"/>
      <c r="X1532" s="335"/>
      <c r="Y1532" s="335"/>
      <c r="Z1532" s="335"/>
      <c r="AA1532" s="335"/>
      <c r="AB1532" s="335"/>
      <c r="AC1532" s="37"/>
    </row>
    <row r="1533" spans="1:29">
      <c r="A1533" s="2">
        <f t="shared" si="678"/>
        <v>2020</v>
      </c>
      <c r="B1533" s="880">
        <f>ROUND([30]MW!B1096,0)</f>
        <v>0</v>
      </c>
      <c r="C1533" s="880">
        <f>ROUND([30]MW!C1096,0)</f>
        <v>0</v>
      </c>
      <c r="D1533" s="880">
        <f>ROUND([30]MW!D1096,0)</f>
        <v>0</v>
      </c>
      <c r="E1533" s="880">
        <f>ROUND([30]MW!E1096,0)</f>
        <v>0</v>
      </c>
      <c r="F1533" s="880">
        <f>ROUND([30]MW!F1096,0)</f>
        <v>0</v>
      </c>
      <c r="G1533" s="880">
        <f>ROUND([30]MW!G1096,0)</f>
        <v>0</v>
      </c>
      <c r="H1533" s="880">
        <f>ROUND([30]MW!H1096,0)</f>
        <v>0</v>
      </c>
      <c r="I1533" s="880">
        <f>ROUND([30]MW!I1096,0)</f>
        <v>0</v>
      </c>
      <c r="J1533" s="880">
        <f>ROUND([30]MW!J1096,0)</f>
        <v>0</v>
      </c>
      <c r="K1533" s="880">
        <f>ROUND([30]MW!K1096,0)</f>
        <v>0</v>
      </c>
      <c r="L1533" s="880">
        <f>ROUND([30]MW!L1096,0)</f>
        <v>0</v>
      </c>
      <c r="M1533" s="880">
        <f>ROUND([30]MW!M1096,0)</f>
        <v>0</v>
      </c>
      <c r="N1533" s="25">
        <f t="shared" si="677"/>
        <v>0</v>
      </c>
      <c r="Q1533" s="335"/>
      <c r="R1533" s="335"/>
      <c r="S1533" s="335"/>
      <c r="T1533" s="335"/>
      <c r="U1533" s="335"/>
      <c r="V1533" s="335"/>
      <c r="W1533" s="335"/>
      <c r="X1533" s="335"/>
      <c r="Y1533" s="335"/>
      <c r="Z1533" s="335"/>
      <c r="AA1533" s="335"/>
      <c r="AB1533" s="335"/>
      <c r="AC1533" s="37"/>
    </row>
    <row r="1534" spans="1:29">
      <c r="A1534" s="2">
        <f t="shared" si="678"/>
        <v>2021</v>
      </c>
      <c r="B1534" s="880">
        <f>ROUND([30]MW!B1097,0)</f>
        <v>0</v>
      </c>
      <c r="C1534" s="880">
        <f>ROUND([30]MW!C1097,0)</f>
        <v>0</v>
      </c>
      <c r="D1534" s="880">
        <f>ROUND([30]MW!D1097,0)</f>
        <v>0</v>
      </c>
      <c r="E1534" s="880">
        <f>ROUND([30]MW!E1097,0)</f>
        <v>0</v>
      </c>
      <c r="F1534" s="880">
        <f>ROUND([30]MW!F1097,0)</f>
        <v>0</v>
      </c>
      <c r="G1534" s="880">
        <f>ROUND([30]MW!G1097,0)</f>
        <v>0</v>
      </c>
      <c r="H1534" s="880">
        <f>ROUND([30]MW!H1097,0)</f>
        <v>0</v>
      </c>
      <c r="I1534" s="880">
        <f>ROUND([30]MW!I1097,0)</f>
        <v>0</v>
      </c>
      <c r="J1534" s="880">
        <f>ROUND([30]MW!J1097,0)</f>
        <v>0</v>
      </c>
      <c r="K1534" s="880">
        <f>ROUND([30]MW!K1097,0)</f>
        <v>0</v>
      </c>
      <c r="L1534" s="880">
        <f>ROUND([30]MW!L1097,0)</f>
        <v>0</v>
      </c>
      <c r="M1534" s="880">
        <f>ROUND([30]MW!M1097,0)</f>
        <v>0</v>
      </c>
      <c r="N1534" s="25">
        <f t="shared" ref="N1534:N1539" si="679">SUM(B1534:M1534)</f>
        <v>0</v>
      </c>
      <c r="Q1534" s="335"/>
      <c r="R1534" s="335"/>
      <c r="S1534" s="335"/>
      <c r="T1534" s="335"/>
      <c r="U1534" s="335"/>
      <c r="V1534" s="335"/>
      <c r="W1534" s="335"/>
      <c r="X1534" s="335"/>
      <c r="Y1534" s="335"/>
      <c r="Z1534" s="335"/>
      <c r="AA1534" s="335"/>
      <c r="AB1534" s="335"/>
      <c r="AC1534" s="37"/>
    </row>
    <row r="1535" spans="1:29">
      <c r="A1535" s="2">
        <f t="shared" si="678"/>
        <v>2022</v>
      </c>
      <c r="B1535" s="880">
        <f>ROUND([30]MW!B1098,0)</f>
        <v>0</v>
      </c>
      <c r="C1535" s="880">
        <f>ROUND([30]MW!C1098,0)</f>
        <v>0</v>
      </c>
      <c r="D1535" s="880">
        <f>ROUND([30]MW!D1098,0)</f>
        <v>0</v>
      </c>
      <c r="E1535" s="880">
        <f>ROUND([30]MW!E1098,0)</f>
        <v>0</v>
      </c>
      <c r="F1535" s="880">
        <f>ROUND([30]MW!F1098,0)</f>
        <v>0</v>
      </c>
      <c r="G1535" s="880">
        <f>ROUND([30]MW!G1098,0)</f>
        <v>0</v>
      </c>
      <c r="H1535" s="880">
        <f>ROUND([30]MW!H1098,0)</f>
        <v>0</v>
      </c>
      <c r="I1535" s="880">
        <f>ROUND([30]MW!I1098,0)</f>
        <v>0</v>
      </c>
      <c r="J1535" s="880">
        <f>ROUND([30]MW!J1098,0)</f>
        <v>0</v>
      </c>
      <c r="K1535" s="880">
        <f>ROUND([30]MW!K1098,0)</f>
        <v>0</v>
      </c>
      <c r="L1535" s="880">
        <f>ROUND([30]MW!L1098,0)</f>
        <v>0</v>
      </c>
      <c r="M1535" s="880">
        <f>ROUND([30]MW!M1098,0)</f>
        <v>0</v>
      </c>
      <c r="N1535" s="25">
        <f t="shared" si="679"/>
        <v>0</v>
      </c>
      <c r="Q1535" s="335"/>
      <c r="R1535" s="335"/>
      <c r="S1535" s="335"/>
      <c r="T1535" s="335"/>
      <c r="U1535" s="335"/>
      <c r="V1535" s="335"/>
      <c r="W1535" s="335"/>
      <c r="X1535" s="335"/>
      <c r="Y1535" s="335"/>
      <c r="Z1535" s="335"/>
      <c r="AA1535" s="335"/>
      <c r="AB1535" s="335"/>
      <c r="AC1535" s="37"/>
    </row>
    <row r="1536" spans="1:29">
      <c r="A1536" s="2">
        <f t="shared" si="678"/>
        <v>2023</v>
      </c>
      <c r="B1536" s="880">
        <f>ROUND([30]MW!B1099,0)</f>
        <v>0</v>
      </c>
      <c r="C1536" s="880">
        <f>ROUND([30]MW!C1099,0)</f>
        <v>0</v>
      </c>
      <c r="D1536" s="880">
        <f>ROUND([30]MW!D1099,0)</f>
        <v>0</v>
      </c>
      <c r="E1536" s="880">
        <f>ROUND([30]MW!E1099,0)</f>
        <v>0</v>
      </c>
      <c r="F1536" s="880">
        <f>ROUND([30]MW!F1099,0)</f>
        <v>0</v>
      </c>
      <c r="G1536" s="880">
        <f>ROUND([30]MW!G1099,0)</f>
        <v>0</v>
      </c>
      <c r="H1536" s="880">
        <f>ROUND([30]MW!H1099,0)</f>
        <v>0</v>
      </c>
      <c r="I1536" s="880">
        <f>ROUND([30]MW!I1099,0)</f>
        <v>0</v>
      </c>
      <c r="J1536" s="880">
        <f>ROUND([30]MW!J1099,0)</f>
        <v>0</v>
      </c>
      <c r="K1536" s="880">
        <f>ROUND([30]MW!K1099,0)</f>
        <v>0</v>
      </c>
      <c r="L1536" s="880">
        <f>ROUND([30]MW!L1099,0)</f>
        <v>0</v>
      </c>
      <c r="M1536" s="880">
        <f>ROUND([30]MW!M1099,0)</f>
        <v>0</v>
      </c>
      <c r="N1536" s="25">
        <f t="shared" si="679"/>
        <v>0</v>
      </c>
      <c r="Q1536" s="881"/>
      <c r="R1536" s="881"/>
      <c r="S1536" s="881"/>
      <c r="T1536" s="881"/>
      <c r="U1536" s="881"/>
      <c r="V1536" s="881"/>
      <c r="W1536" s="881"/>
      <c r="X1536" s="881"/>
      <c r="Y1536" s="881"/>
      <c r="Z1536" s="881"/>
      <c r="AA1536" s="881"/>
      <c r="AB1536" s="881"/>
      <c r="AC1536" s="37"/>
    </row>
    <row r="1537" spans="1:29">
      <c r="A1537" s="2">
        <f t="shared" si="678"/>
        <v>2024</v>
      </c>
      <c r="B1537" s="880">
        <f>ROUND([30]MW!B1100,0)</f>
        <v>0</v>
      </c>
      <c r="C1537" s="880">
        <f>ROUND([30]MW!C1100,0)</f>
        <v>0</v>
      </c>
      <c r="D1537" s="880">
        <f>ROUND([30]MW!D1100,0)</f>
        <v>0</v>
      </c>
      <c r="E1537" s="880">
        <f>ROUND([30]MW!E1100,0)</f>
        <v>0</v>
      </c>
      <c r="F1537" s="880">
        <f>ROUND([30]MW!F1100,0)</f>
        <v>0</v>
      </c>
      <c r="G1537" s="880">
        <f>ROUND([30]MW!G1100,0)</f>
        <v>0</v>
      </c>
      <c r="H1537" s="880">
        <f>ROUND([30]MW!H1100,0)</f>
        <v>0</v>
      </c>
      <c r="I1537" s="880">
        <f>ROUND([30]MW!I1100,0)</f>
        <v>0</v>
      </c>
      <c r="J1537" s="880">
        <f>ROUND([30]MW!J1100,0)</f>
        <v>0</v>
      </c>
      <c r="K1537" s="880">
        <f>ROUND([30]MW!K1100,0)</f>
        <v>0</v>
      </c>
      <c r="L1537" s="880">
        <f>ROUND([30]MW!L1100,0)</f>
        <v>0</v>
      </c>
      <c r="M1537" s="880">
        <f>ROUND([30]MW!M1100,0)</f>
        <v>0</v>
      </c>
      <c r="N1537" s="25">
        <f t="shared" si="679"/>
        <v>0</v>
      </c>
      <c r="Q1537" s="881"/>
      <c r="R1537" s="881"/>
      <c r="S1537" s="881"/>
      <c r="T1537" s="881"/>
      <c r="U1537" s="881"/>
      <c r="V1537" s="881"/>
      <c r="W1537" s="881"/>
      <c r="X1537" s="881"/>
      <c r="Y1537" s="881"/>
      <c r="Z1537" s="881"/>
      <c r="AA1537" s="881"/>
      <c r="AB1537" s="881"/>
      <c r="AC1537" s="37"/>
    </row>
    <row r="1538" spans="1:29">
      <c r="A1538" s="2">
        <f t="shared" si="678"/>
        <v>2025</v>
      </c>
      <c r="B1538" s="880">
        <f>ROUND([30]MW!B1101,0)</f>
        <v>0</v>
      </c>
      <c r="C1538" s="880">
        <f>ROUND([30]MW!C1101,0)</f>
        <v>0</v>
      </c>
      <c r="D1538" s="880">
        <f>ROUND([30]MW!D1101,0)</f>
        <v>0</v>
      </c>
      <c r="E1538" s="880">
        <f>ROUND([30]MW!E1101,0)</f>
        <v>0</v>
      </c>
      <c r="F1538" s="880">
        <f>ROUND([30]MW!F1101,0)</f>
        <v>0</v>
      </c>
      <c r="G1538" s="880">
        <f>ROUND([30]MW!G1101,0)</f>
        <v>0</v>
      </c>
      <c r="H1538" s="880">
        <f>ROUND([30]MW!H1101,0)</f>
        <v>0</v>
      </c>
      <c r="I1538" s="880">
        <f>ROUND([30]MW!I1101,0)</f>
        <v>0</v>
      </c>
      <c r="J1538" s="880">
        <f>ROUND([30]MW!J1101,0)</f>
        <v>0</v>
      </c>
      <c r="K1538" s="880">
        <f>ROUND([30]MW!K1101,0)</f>
        <v>0</v>
      </c>
      <c r="L1538" s="880">
        <f>ROUND([30]MW!L1101,0)</f>
        <v>0</v>
      </c>
      <c r="M1538" s="880">
        <f>ROUND([30]MW!M1101,0)</f>
        <v>0</v>
      </c>
      <c r="N1538" s="25">
        <f t="shared" si="679"/>
        <v>0</v>
      </c>
      <c r="Q1538" s="881"/>
      <c r="R1538" s="881"/>
      <c r="S1538" s="881"/>
      <c r="T1538" s="881"/>
      <c r="U1538" s="881"/>
      <c r="V1538" s="881"/>
      <c r="W1538" s="881"/>
      <c r="X1538" s="881"/>
      <c r="Y1538" s="881"/>
      <c r="Z1538" s="881"/>
      <c r="AA1538" s="881"/>
      <c r="AB1538" s="881"/>
      <c r="AC1538" s="37"/>
    </row>
    <row r="1539" spans="1:29">
      <c r="A1539" s="2">
        <f t="shared" si="678"/>
        <v>2026</v>
      </c>
      <c r="B1539" s="880">
        <f>ROUND([30]MW!B1102,0)</f>
        <v>0</v>
      </c>
      <c r="C1539" s="880">
        <f>ROUND([30]MW!C1102,0)</f>
        <v>0</v>
      </c>
      <c r="D1539" s="880">
        <f>ROUND([30]MW!D1102,0)</f>
        <v>0</v>
      </c>
      <c r="E1539" s="880">
        <f>ROUND([30]MW!E1102,0)</f>
        <v>0</v>
      </c>
      <c r="F1539" s="880">
        <f>ROUND([30]MW!F1102,0)</f>
        <v>0</v>
      </c>
      <c r="G1539" s="880">
        <f>ROUND([30]MW!G1102,0)</f>
        <v>0</v>
      </c>
      <c r="H1539" s="880">
        <f>ROUND([30]MW!H1102,0)</f>
        <v>0</v>
      </c>
      <c r="I1539" s="880">
        <f>ROUND([30]MW!I1102,0)</f>
        <v>0</v>
      </c>
      <c r="J1539" s="880">
        <f>ROUND([30]MW!J1102,0)</f>
        <v>0</v>
      </c>
      <c r="K1539" s="880">
        <f>ROUND([30]MW!K1102,0)</f>
        <v>0</v>
      </c>
      <c r="L1539" s="880">
        <f>ROUND([30]MW!L1102,0)</f>
        <v>0</v>
      </c>
      <c r="M1539" s="880">
        <f>ROUND([30]MW!M1102,0)</f>
        <v>0</v>
      </c>
      <c r="N1539" s="25">
        <f t="shared" si="679"/>
        <v>0</v>
      </c>
      <c r="Q1539" s="881"/>
      <c r="R1539" s="881"/>
      <c r="S1539" s="881"/>
      <c r="T1539" s="881"/>
      <c r="U1539" s="881"/>
      <c r="V1539" s="881"/>
      <c r="W1539" s="881"/>
      <c r="X1539" s="881"/>
      <c r="Y1539" s="881"/>
      <c r="Z1539" s="881"/>
      <c r="AA1539" s="881"/>
      <c r="AB1539" s="881"/>
      <c r="AC1539" s="37"/>
    </row>
    <row r="1540" spans="1:29">
      <c r="A1540" s="2">
        <f t="shared" si="678"/>
        <v>2027</v>
      </c>
      <c r="B1540" s="880">
        <f>ROUND([30]MW!B1103,0)</f>
        <v>0</v>
      </c>
      <c r="C1540" s="880">
        <f>ROUND([30]MW!C1103,0)</f>
        <v>0</v>
      </c>
      <c r="D1540" s="880">
        <f>ROUND([30]MW!D1103,0)</f>
        <v>0</v>
      </c>
      <c r="E1540" s="880">
        <f>ROUND([30]MW!E1103,0)</f>
        <v>0</v>
      </c>
      <c r="F1540" s="880">
        <f>ROUND([30]MW!F1103,0)</f>
        <v>0</v>
      </c>
      <c r="G1540" s="880">
        <f>ROUND([30]MW!G1103,0)</f>
        <v>0</v>
      </c>
      <c r="H1540" s="880">
        <f>ROUND([30]MW!H1103,0)</f>
        <v>0</v>
      </c>
      <c r="I1540" s="880">
        <f>ROUND([30]MW!I1103,0)</f>
        <v>0</v>
      </c>
      <c r="J1540" s="880">
        <f>ROUND([30]MW!J1103,0)</f>
        <v>0</v>
      </c>
      <c r="K1540" s="880">
        <f>ROUND([30]MW!K1103,0)</f>
        <v>0</v>
      </c>
      <c r="L1540" s="880">
        <f>ROUND([30]MW!L1103,0)</f>
        <v>0</v>
      </c>
      <c r="M1540" s="880">
        <f>ROUND([30]MW!M1103,0)</f>
        <v>0</v>
      </c>
      <c r="N1540" s="25">
        <f>SUM(B1540:M1540)</f>
        <v>0</v>
      </c>
      <c r="Q1540" s="881"/>
      <c r="R1540" s="881"/>
      <c r="S1540" s="881"/>
      <c r="T1540" s="881"/>
      <c r="U1540" s="881"/>
      <c r="V1540" s="881"/>
      <c r="W1540" s="881"/>
      <c r="X1540" s="881"/>
      <c r="Y1540" s="881"/>
      <c r="Z1540" s="881"/>
      <c r="AA1540" s="881"/>
      <c r="AB1540" s="881"/>
      <c r="AC1540" s="37"/>
    </row>
    <row r="1541" spans="1:29">
      <c r="A1541" s="2">
        <f t="shared" si="678"/>
        <v>2028</v>
      </c>
      <c r="B1541" s="880">
        <f>ROUND([30]MW!B1104,0)</f>
        <v>0</v>
      </c>
      <c r="C1541" s="880">
        <f>ROUND([30]MW!C1104,0)</f>
        <v>0</v>
      </c>
      <c r="D1541" s="880">
        <f>ROUND([30]MW!D1104,0)</f>
        <v>0</v>
      </c>
      <c r="E1541" s="880">
        <f>ROUND([30]MW!E1104,0)</f>
        <v>0</v>
      </c>
      <c r="F1541" s="880">
        <f>ROUND([30]MW!F1104,0)</f>
        <v>0</v>
      </c>
      <c r="G1541" s="880">
        <f>ROUND([30]MW!G1104,0)</f>
        <v>0</v>
      </c>
      <c r="H1541" s="880">
        <f>ROUND([30]MW!H1104,0)</f>
        <v>0</v>
      </c>
      <c r="I1541" s="880">
        <f>ROUND([30]MW!I1104,0)</f>
        <v>0</v>
      </c>
      <c r="J1541" s="880">
        <f>ROUND([30]MW!J1104,0)</f>
        <v>0</v>
      </c>
      <c r="K1541" s="880">
        <f>ROUND([30]MW!K1104,0)</f>
        <v>0</v>
      </c>
      <c r="L1541" s="880">
        <f>ROUND([30]MW!L1104,0)</f>
        <v>0</v>
      </c>
      <c r="M1541" s="880">
        <f>ROUND([30]MW!M1104,0)</f>
        <v>0</v>
      </c>
      <c r="N1541" s="25">
        <f>SUM(B1541:M1541)</f>
        <v>0</v>
      </c>
      <c r="Q1541" s="881"/>
      <c r="R1541" s="881"/>
      <c r="S1541" s="881"/>
      <c r="T1541" s="881"/>
      <c r="U1541" s="881"/>
      <c r="V1541" s="881"/>
      <c r="W1541" s="881"/>
      <c r="X1541" s="881"/>
      <c r="Y1541" s="881"/>
      <c r="Z1541" s="881"/>
      <c r="AA1541" s="881"/>
      <c r="AB1541" s="881"/>
      <c r="AC1541" s="37"/>
    </row>
    <row r="1542" spans="1:29">
      <c r="A1542" s="2">
        <f t="shared" si="678"/>
        <v>2029</v>
      </c>
      <c r="B1542" s="880">
        <f>ROUND([30]MW!B1105,0)</f>
        <v>0</v>
      </c>
      <c r="C1542" s="880">
        <f>ROUND([30]MW!C1105,0)</f>
        <v>0</v>
      </c>
      <c r="D1542" s="880">
        <f>ROUND([30]MW!D1105,0)</f>
        <v>0</v>
      </c>
      <c r="E1542" s="880">
        <f>ROUND([30]MW!E1105,0)</f>
        <v>0</v>
      </c>
      <c r="F1542" s="880">
        <f>ROUND([30]MW!F1105,0)</f>
        <v>0</v>
      </c>
      <c r="G1542" s="880">
        <f>ROUND([30]MW!G1105,0)</f>
        <v>0</v>
      </c>
      <c r="H1542" s="880">
        <f>ROUND([30]MW!H1105,0)</f>
        <v>0</v>
      </c>
      <c r="I1542" s="880">
        <f>ROUND([30]MW!I1105,0)</f>
        <v>0</v>
      </c>
      <c r="J1542" s="880">
        <f>ROUND([30]MW!J1105,0)</f>
        <v>0</v>
      </c>
      <c r="K1542" s="880">
        <f>ROUND([30]MW!K1105,0)</f>
        <v>0</v>
      </c>
      <c r="L1542" s="880">
        <f>ROUND([30]MW!L1105,0)</f>
        <v>0</v>
      </c>
      <c r="M1542" s="880">
        <f>ROUND([30]MW!M1105,0)</f>
        <v>0</v>
      </c>
      <c r="N1542" s="25">
        <f>SUM(B1542:M1542)</f>
        <v>0</v>
      </c>
      <c r="Q1542" s="881"/>
      <c r="R1542" s="881"/>
      <c r="S1542" s="881"/>
      <c r="T1542" s="881"/>
      <c r="U1542" s="881"/>
      <c r="V1542" s="881"/>
      <c r="W1542" s="881"/>
      <c r="X1542" s="881"/>
      <c r="Y1542" s="881"/>
      <c r="Z1542" s="881"/>
      <c r="AA1542" s="881"/>
      <c r="AB1542" s="881"/>
      <c r="AC1542" s="37"/>
    </row>
    <row r="1543" spans="1:29">
      <c r="A1543" s="2">
        <f t="shared" si="678"/>
        <v>2030</v>
      </c>
      <c r="B1543" s="880">
        <f>ROUND([30]MW!B1106,0)</f>
        <v>0</v>
      </c>
      <c r="C1543" s="880">
        <f>ROUND([30]MW!C1106,0)</f>
        <v>0</v>
      </c>
      <c r="D1543" s="880">
        <f>ROUND([30]MW!D1106,0)</f>
        <v>0</v>
      </c>
      <c r="E1543" s="880">
        <f>ROUND([30]MW!E1106,0)</f>
        <v>0</v>
      </c>
      <c r="F1543" s="880">
        <f>ROUND([30]MW!F1106,0)</f>
        <v>0</v>
      </c>
      <c r="G1543" s="880">
        <f>ROUND([30]MW!G1106,0)</f>
        <v>0</v>
      </c>
      <c r="H1543" s="880">
        <f>ROUND([30]MW!H1106,0)</f>
        <v>0</v>
      </c>
      <c r="I1543" s="880">
        <f>ROUND([30]MW!I1106,0)</f>
        <v>0</v>
      </c>
      <c r="J1543" s="880">
        <f>ROUND([30]MW!J1106,0)</f>
        <v>0</v>
      </c>
      <c r="K1543" s="880">
        <f>ROUND([30]MW!K1106,0)</f>
        <v>0</v>
      </c>
      <c r="L1543" s="880">
        <f>ROUND([30]MW!L1106,0)</f>
        <v>0</v>
      </c>
      <c r="M1543" s="880">
        <f>ROUND([30]MW!M1106,0)</f>
        <v>0</v>
      </c>
      <c r="N1543" s="25">
        <f>SUM(B1543:M1543)</f>
        <v>0</v>
      </c>
      <c r="Q1543" s="881"/>
      <c r="R1543" s="881"/>
      <c r="S1543" s="881"/>
      <c r="T1543" s="881"/>
      <c r="U1543" s="881"/>
      <c r="V1543" s="881"/>
      <c r="W1543" s="881"/>
      <c r="X1543" s="881"/>
      <c r="Y1543" s="881"/>
      <c r="Z1543" s="881"/>
      <c r="AA1543" s="881"/>
      <c r="AB1543" s="881"/>
      <c r="AC1543" s="37"/>
    </row>
    <row r="1544" spans="1:29">
      <c r="A1544" s="2">
        <f t="shared" si="678"/>
        <v>2031</v>
      </c>
      <c r="B1544" s="880">
        <f>ROUND([30]MW!B1107,0)</f>
        <v>0</v>
      </c>
      <c r="C1544" s="880">
        <f>ROUND([30]MW!C1107,0)</f>
        <v>0</v>
      </c>
      <c r="D1544" s="880">
        <f>ROUND([30]MW!D1107,0)</f>
        <v>0</v>
      </c>
      <c r="E1544" s="880">
        <f>ROUND([30]MW!E1107,0)</f>
        <v>0</v>
      </c>
      <c r="F1544" s="880">
        <f>ROUND([30]MW!F1107,0)</f>
        <v>0</v>
      </c>
      <c r="G1544" s="880">
        <f>ROUND([30]MW!G1107,0)</f>
        <v>0</v>
      </c>
      <c r="H1544" s="880">
        <f>ROUND([30]MW!H1107,0)</f>
        <v>0</v>
      </c>
      <c r="I1544" s="880">
        <f>ROUND([30]MW!I1107,0)</f>
        <v>0</v>
      </c>
      <c r="J1544" s="880">
        <f>ROUND([30]MW!J1107,0)</f>
        <v>0</v>
      </c>
      <c r="K1544" s="880">
        <f>ROUND([30]MW!K1107,0)</f>
        <v>0</v>
      </c>
      <c r="L1544" s="880">
        <f>ROUND([30]MW!L1107,0)</f>
        <v>0</v>
      </c>
      <c r="M1544" s="880">
        <f>ROUND([30]MW!M1107,0)</f>
        <v>0</v>
      </c>
      <c r="N1544" s="25">
        <f t="shared" ref="N1544:N1553" si="680">SUM(B1544:M1544)</f>
        <v>0</v>
      </c>
      <c r="Q1544" s="881"/>
      <c r="R1544" s="881"/>
      <c r="S1544" s="881"/>
      <c r="T1544" s="881"/>
      <c r="U1544" s="881"/>
      <c r="V1544" s="881"/>
      <c r="W1544" s="881"/>
      <c r="X1544" s="881"/>
      <c r="Y1544" s="881"/>
      <c r="Z1544" s="881"/>
      <c r="AA1544" s="881"/>
      <c r="AB1544" s="881"/>
      <c r="AC1544" s="37"/>
    </row>
    <row r="1545" spans="1:29">
      <c r="A1545" s="2">
        <f t="shared" si="678"/>
        <v>2032</v>
      </c>
      <c r="B1545" s="880">
        <f>ROUND([30]MW!B1108,0)</f>
        <v>0</v>
      </c>
      <c r="C1545" s="880">
        <f>ROUND([30]MW!C1108,0)</f>
        <v>0</v>
      </c>
      <c r="D1545" s="880">
        <f>ROUND([30]MW!D1108,0)</f>
        <v>0</v>
      </c>
      <c r="E1545" s="880">
        <f>ROUND([30]MW!E1108,0)</f>
        <v>0</v>
      </c>
      <c r="F1545" s="880">
        <f>ROUND([30]MW!F1108,0)</f>
        <v>0</v>
      </c>
      <c r="G1545" s="880">
        <f>ROUND([30]MW!G1108,0)</f>
        <v>0</v>
      </c>
      <c r="H1545" s="880">
        <f>ROUND([30]MW!H1108,0)</f>
        <v>0</v>
      </c>
      <c r="I1545" s="880">
        <f>ROUND([30]MW!I1108,0)</f>
        <v>0</v>
      </c>
      <c r="J1545" s="880">
        <f>ROUND([30]MW!J1108,0)</f>
        <v>0</v>
      </c>
      <c r="K1545" s="880">
        <f>ROUND([30]MW!K1108,0)</f>
        <v>0</v>
      </c>
      <c r="L1545" s="880">
        <f>ROUND([30]MW!L1108,0)</f>
        <v>0</v>
      </c>
      <c r="M1545" s="880">
        <f>ROUND([30]MW!M1108,0)</f>
        <v>0</v>
      </c>
      <c r="N1545" s="25">
        <f t="shared" si="680"/>
        <v>0</v>
      </c>
      <c r="Q1545" s="881"/>
      <c r="R1545" s="881"/>
      <c r="S1545" s="881"/>
      <c r="T1545" s="881"/>
      <c r="U1545" s="881"/>
      <c r="V1545" s="881"/>
      <c r="W1545" s="881"/>
      <c r="X1545" s="881"/>
      <c r="Y1545" s="881"/>
      <c r="Z1545" s="881"/>
      <c r="AA1545" s="881"/>
      <c r="AB1545" s="881"/>
      <c r="AC1545" s="37"/>
    </row>
    <row r="1546" spans="1:29">
      <c r="A1546" s="2">
        <f t="shared" si="678"/>
        <v>2033</v>
      </c>
      <c r="B1546" s="880">
        <f>ROUND([30]MW!B1109,0)</f>
        <v>0</v>
      </c>
      <c r="C1546" s="880">
        <f>ROUND([30]MW!C1109,0)</f>
        <v>0</v>
      </c>
      <c r="D1546" s="880">
        <f>ROUND([30]MW!D1109,0)</f>
        <v>0</v>
      </c>
      <c r="E1546" s="880">
        <f>ROUND([30]MW!E1109,0)</f>
        <v>0</v>
      </c>
      <c r="F1546" s="880">
        <f>ROUND([30]MW!F1109,0)</f>
        <v>0</v>
      </c>
      <c r="G1546" s="880">
        <f>ROUND([30]MW!G1109,0)</f>
        <v>0</v>
      </c>
      <c r="H1546" s="880">
        <f>ROUND([30]MW!H1109,0)</f>
        <v>0</v>
      </c>
      <c r="I1546" s="880">
        <f>ROUND([30]MW!I1109,0)</f>
        <v>0</v>
      </c>
      <c r="J1546" s="880">
        <f>ROUND([30]MW!J1109,0)</f>
        <v>0</v>
      </c>
      <c r="K1546" s="880">
        <f>ROUND([30]MW!K1109,0)</f>
        <v>0</v>
      </c>
      <c r="L1546" s="880">
        <f>ROUND([30]MW!L1109,0)</f>
        <v>0</v>
      </c>
      <c r="M1546" s="880">
        <f>ROUND([30]MW!M1109,0)</f>
        <v>0</v>
      </c>
      <c r="N1546" s="25">
        <f t="shared" si="680"/>
        <v>0</v>
      </c>
      <c r="Q1546" s="881"/>
      <c r="R1546" s="881"/>
      <c r="S1546" s="881"/>
      <c r="T1546" s="881"/>
      <c r="U1546" s="881"/>
      <c r="V1546" s="881"/>
      <c r="W1546" s="881"/>
      <c r="X1546" s="881"/>
      <c r="Y1546" s="881"/>
      <c r="Z1546" s="881"/>
      <c r="AA1546" s="881"/>
      <c r="AB1546" s="881"/>
      <c r="AC1546" s="37"/>
    </row>
    <row r="1547" spans="1:29">
      <c r="A1547" s="2">
        <f t="shared" si="678"/>
        <v>2034</v>
      </c>
      <c r="B1547" s="880">
        <f>ROUND([30]MW!B1110,0)</f>
        <v>0</v>
      </c>
      <c r="C1547" s="880">
        <f>ROUND([30]MW!C1110,0)</f>
        <v>0</v>
      </c>
      <c r="D1547" s="880">
        <f>ROUND([30]MW!D1110,0)</f>
        <v>0</v>
      </c>
      <c r="E1547" s="880">
        <f>ROUND([30]MW!E1110,0)</f>
        <v>0</v>
      </c>
      <c r="F1547" s="880">
        <f>ROUND([30]MW!F1110,0)</f>
        <v>0</v>
      </c>
      <c r="G1547" s="880">
        <f>ROUND([30]MW!G1110,0)</f>
        <v>0</v>
      </c>
      <c r="H1547" s="880">
        <f>ROUND([30]MW!H1110,0)</f>
        <v>0</v>
      </c>
      <c r="I1547" s="880">
        <f>ROUND([30]MW!I1110,0)</f>
        <v>0</v>
      </c>
      <c r="J1547" s="880">
        <f>ROUND([30]MW!J1110,0)</f>
        <v>0</v>
      </c>
      <c r="K1547" s="880">
        <f>ROUND([30]MW!K1110,0)</f>
        <v>0</v>
      </c>
      <c r="L1547" s="880">
        <f>ROUND([30]MW!L1110,0)</f>
        <v>0</v>
      </c>
      <c r="M1547" s="880">
        <f>ROUND([30]MW!M1110,0)</f>
        <v>0</v>
      </c>
      <c r="N1547" s="25">
        <f t="shared" si="680"/>
        <v>0</v>
      </c>
      <c r="Q1547" s="881"/>
      <c r="R1547" s="881"/>
      <c r="S1547" s="881"/>
      <c r="T1547" s="881"/>
      <c r="U1547" s="881"/>
      <c r="V1547" s="881"/>
      <c r="W1547" s="881"/>
      <c r="X1547" s="881"/>
      <c r="Y1547" s="881"/>
      <c r="Z1547" s="881"/>
      <c r="AA1547" s="881"/>
      <c r="AB1547" s="881"/>
      <c r="AC1547" s="37"/>
    </row>
    <row r="1548" spans="1:29">
      <c r="A1548" s="2">
        <f t="shared" si="678"/>
        <v>2035</v>
      </c>
      <c r="B1548" s="880">
        <f>ROUND([30]MW!B1111,0)</f>
        <v>0</v>
      </c>
      <c r="C1548" s="880">
        <f>ROUND([30]MW!C1111,0)</f>
        <v>0</v>
      </c>
      <c r="D1548" s="880">
        <f>ROUND([30]MW!D1111,0)</f>
        <v>0</v>
      </c>
      <c r="E1548" s="880">
        <f>ROUND([30]MW!E1111,0)</f>
        <v>0</v>
      </c>
      <c r="F1548" s="880">
        <f>ROUND([30]MW!F1111,0)</f>
        <v>0</v>
      </c>
      <c r="G1548" s="880">
        <f>ROUND([30]MW!G1111,0)</f>
        <v>0</v>
      </c>
      <c r="H1548" s="880">
        <f>ROUND([30]MW!H1111,0)</f>
        <v>0</v>
      </c>
      <c r="I1548" s="880">
        <f>ROUND([30]MW!I1111,0)</f>
        <v>0</v>
      </c>
      <c r="J1548" s="880">
        <f>ROUND([30]MW!J1111,0)</f>
        <v>0</v>
      </c>
      <c r="K1548" s="880">
        <f>ROUND([30]MW!K1111,0)</f>
        <v>0</v>
      </c>
      <c r="L1548" s="880">
        <f>ROUND([30]MW!L1111,0)</f>
        <v>0</v>
      </c>
      <c r="M1548" s="880">
        <f>ROUND([30]MW!M1111,0)</f>
        <v>0</v>
      </c>
      <c r="N1548" s="25">
        <f t="shared" si="680"/>
        <v>0</v>
      </c>
      <c r="Q1548" s="881"/>
      <c r="R1548" s="881"/>
      <c r="S1548" s="881"/>
      <c r="T1548" s="881"/>
      <c r="U1548" s="881"/>
      <c r="V1548" s="881"/>
      <c r="W1548" s="881"/>
      <c r="X1548" s="881"/>
      <c r="Y1548" s="881"/>
      <c r="Z1548" s="881"/>
      <c r="AA1548" s="881"/>
      <c r="AB1548" s="881"/>
      <c r="AC1548" s="37"/>
    </row>
    <row r="1549" spans="1:29">
      <c r="A1549" s="2">
        <f t="shared" si="678"/>
        <v>2036</v>
      </c>
      <c r="B1549" s="880">
        <f>ROUND([30]MW!B1112,0)</f>
        <v>0</v>
      </c>
      <c r="C1549" s="880">
        <f>ROUND([30]MW!C1112,0)</f>
        <v>0</v>
      </c>
      <c r="D1549" s="880">
        <f>ROUND([30]MW!D1112,0)</f>
        <v>0</v>
      </c>
      <c r="E1549" s="880">
        <f>ROUND([30]MW!E1112,0)</f>
        <v>0</v>
      </c>
      <c r="F1549" s="880">
        <f>ROUND([30]MW!F1112,0)</f>
        <v>0</v>
      </c>
      <c r="G1549" s="880">
        <f>ROUND([30]MW!G1112,0)</f>
        <v>0</v>
      </c>
      <c r="H1549" s="880">
        <f>ROUND([30]MW!H1112,0)</f>
        <v>0</v>
      </c>
      <c r="I1549" s="880">
        <f>ROUND([30]MW!I1112,0)</f>
        <v>0</v>
      </c>
      <c r="J1549" s="880">
        <f>ROUND([30]MW!J1112,0)</f>
        <v>0</v>
      </c>
      <c r="K1549" s="880">
        <f>ROUND([30]MW!K1112,0)</f>
        <v>0</v>
      </c>
      <c r="L1549" s="880">
        <f>ROUND([30]MW!L1112,0)</f>
        <v>0</v>
      </c>
      <c r="M1549" s="880">
        <f>ROUND([30]MW!M1112,0)</f>
        <v>0</v>
      </c>
      <c r="N1549" s="25">
        <f t="shared" si="680"/>
        <v>0</v>
      </c>
      <c r="Q1549" s="881"/>
      <c r="R1549" s="881"/>
      <c r="S1549" s="881"/>
      <c r="T1549" s="881"/>
      <c r="U1549" s="881"/>
      <c r="V1549" s="881"/>
      <c r="W1549" s="881"/>
      <c r="X1549" s="881"/>
      <c r="Y1549" s="881"/>
      <c r="Z1549" s="881"/>
      <c r="AA1549" s="881"/>
      <c r="AB1549" s="881"/>
      <c r="AC1549" s="37"/>
    </row>
    <row r="1550" spans="1:29">
      <c r="A1550" s="2">
        <f t="shared" si="678"/>
        <v>2037</v>
      </c>
      <c r="B1550" s="880">
        <f>ROUND([30]MW!B1113,0)</f>
        <v>0</v>
      </c>
      <c r="C1550" s="880">
        <f>ROUND([30]MW!C1113,0)</f>
        <v>0</v>
      </c>
      <c r="D1550" s="880">
        <f>ROUND([30]MW!D1113,0)</f>
        <v>0</v>
      </c>
      <c r="E1550" s="880">
        <f>ROUND([30]MW!E1113,0)</f>
        <v>0</v>
      </c>
      <c r="F1550" s="880">
        <f>ROUND([30]MW!F1113,0)</f>
        <v>0</v>
      </c>
      <c r="G1550" s="880">
        <f>ROUND([30]MW!G1113,0)</f>
        <v>0</v>
      </c>
      <c r="H1550" s="880">
        <f>ROUND([30]MW!H1113,0)</f>
        <v>0</v>
      </c>
      <c r="I1550" s="880">
        <f>ROUND([30]MW!I1113,0)</f>
        <v>0</v>
      </c>
      <c r="J1550" s="880">
        <f>ROUND([30]MW!J1113,0)</f>
        <v>0</v>
      </c>
      <c r="K1550" s="880">
        <f>ROUND([30]MW!K1113,0)</f>
        <v>0</v>
      </c>
      <c r="L1550" s="880">
        <f>ROUND([30]MW!L1113,0)</f>
        <v>0</v>
      </c>
      <c r="M1550" s="880">
        <f>ROUND([30]MW!M1113,0)</f>
        <v>0</v>
      </c>
      <c r="N1550" s="25">
        <f t="shared" si="680"/>
        <v>0</v>
      </c>
      <c r="Q1550" s="881"/>
      <c r="R1550" s="881"/>
      <c r="S1550" s="881"/>
      <c r="T1550" s="881"/>
      <c r="U1550" s="881"/>
      <c r="V1550" s="881"/>
      <c r="W1550" s="881"/>
      <c r="X1550" s="881"/>
      <c r="Y1550" s="881"/>
      <c r="Z1550" s="881"/>
      <c r="AA1550" s="881"/>
      <c r="AB1550" s="881"/>
      <c r="AC1550" s="37"/>
    </row>
    <row r="1551" spans="1:29">
      <c r="A1551" s="2">
        <f t="shared" si="678"/>
        <v>2038</v>
      </c>
      <c r="B1551" s="880">
        <f>ROUND([30]MW!B1114,0)</f>
        <v>0</v>
      </c>
      <c r="C1551" s="880">
        <f>ROUND([30]MW!C1114,0)</f>
        <v>0</v>
      </c>
      <c r="D1551" s="880">
        <f>ROUND([30]MW!D1114,0)</f>
        <v>0</v>
      </c>
      <c r="E1551" s="880">
        <f>ROUND([30]MW!E1114,0)</f>
        <v>0</v>
      </c>
      <c r="F1551" s="880">
        <f>ROUND([30]MW!F1114,0)</f>
        <v>0</v>
      </c>
      <c r="G1551" s="880">
        <f>ROUND([30]MW!G1114,0)</f>
        <v>0</v>
      </c>
      <c r="H1551" s="880">
        <f>ROUND([30]MW!H1114,0)</f>
        <v>0</v>
      </c>
      <c r="I1551" s="880">
        <f>ROUND([30]MW!I1114,0)</f>
        <v>0</v>
      </c>
      <c r="J1551" s="880">
        <f>ROUND([30]MW!J1114,0)</f>
        <v>0</v>
      </c>
      <c r="K1551" s="880">
        <f>ROUND([30]MW!K1114,0)</f>
        <v>0</v>
      </c>
      <c r="L1551" s="880">
        <f>ROUND([30]MW!L1114,0)</f>
        <v>0</v>
      </c>
      <c r="M1551" s="880">
        <f>ROUND([30]MW!M1114,0)</f>
        <v>0</v>
      </c>
      <c r="N1551" s="25">
        <f t="shared" si="680"/>
        <v>0</v>
      </c>
      <c r="Q1551" s="881"/>
      <c r="R1551" s="881"/>
      <c r="S1551" s="881"/>
      <c r="T1551" s="881"/>
      <c r="U1551" s="881"/>
      <c r="V1551" s="881"/>
      <c r="W1551" s="881"/>
      <c r="X1551" s="881"/>
      <c r="Y1551" s="881"/>
      <c r="Z1551" s="881"/>
      <c r="AA1551" s="881"/>
      <c r="AB1551" s="881"/>
      <c r="AC1551" s="37"/>
    </row>
    <row r="1552" spans="1:29">
      <c r="A1552" s="2">
        <f t="shared" si="678"/>
        <v>2039</v>
      </c>
      <c r="B1552" s="880">
        <f>ROUND([30]MW!B1115,0)</f>
        <v>0</v>
      </c>
      <c r="C1552" s="880">
        <f>ROUND([30]MW!C1115,0)</f>
        <v>0</v>
      </c>
      <c r="D1552" s="880">
        <f>ROUND([30]MW!D1115,0)</f>
        <v>0</v>
      </c>
      <c r="E1552" s="880">
        <f>ROUND([30]MW!E1115,0)</f>
        <v>0</v>
      </c>
      <c r="F1552" s="880">
        <f>ROUND([30]MW!F1115,0)</f>
        <v>0</v>
      </c>
      <c r="G1552" s="880">
        <f>ROUND([30]MW!G1115,0)</f>
        <v>0</v>
      </c>
      <c r="H1552" s="880">
        <f>ROUND([30]MW!H1115,0)</f>
        <v>0</v>
      </c>
      <c r="I1552" s="880">
        <f>ROUND([30]MW!I1115,0)</f>
        <v>0</v>
      </c>
      <c r="J1552" s="880">
        <f>ROUND([30]MW!J1115,0)</f>
        <v>0</v>
      </c>
      <c r="K1552" s="880">
        <f>ROUND([30]MW!K1115,0)</f>
        <v>0</v>
      </c>
      <c r="L1552" s="880">
        <f>ROUND([30]MW!L1115,0)</f>
        <v>0</v>
      </c>
      <c r="M1552" s="880">
        <f>ROUND([30]MW!M1115,0)</f>
        <v>0</v>
      </c>
      <c r="N1552" s="25">
        <f t="shared" si="680"/>
        <v>0</v>
      </c>
      <c r="Q1552" s="881"/>
      <c r="R1552" s="881"/>
      <c r="S1552" s="881"/>
      <c r="T1552" s="881"/>
      <c r="U1552" s="881"/>
      <c r="V1552" s="881"/>
      <c r="W1552" s="881"/>
      <c r="X1552" s="881"/>
      <c r="Y1552" s="881"/>
      <c r="Z1552" s="881"/>
      <c r="AA1552" s="881"/>
      <c r="AB1552" s="881"/>
      <c r="AC1552" s="37"/>
    </row>
    <row r="1553" spans="1:29">
      <c r="A1553" s="2">
        <f t="shared" si="678"/>
        <v>2040</v>
      </c>
      <c r="B1553" s="880">
        <f>ROUND([30]MW!B1116,0)</f>
        <v>0</v>
      </c>
      <c r="C1553" s="880">
        <f>ROUND([30]MW!C1116,0)</f>
        <v>0</v>
      </c>
      <c r="D1553" s="880">
        <f>ROUND([30]MW!D1116,0)</f>
        <v>0</v>
      </c>
      <c r="E1553" s="880">
        <f>ROUND([30]MW!E1116,0)</f>
        <v>0</v>
      </c>
      <c r="F1553" s="880">
        <f>ROUND([30]MW!F1116,0)</f>
        <v>0</v>
      </c>
      <c r="G1553" s="880">
        <f>ROUND([30]MW!G1116,0)</f>
        <v>0</v>
      </c>
      <c r="H1553" s="880">
        <f>ROUND([30]MW!H1116,0)</f>
        <v>0</v>
      </c>
      <c r="I1553" s="880">
        <f>ROUND([30]MW!I1116,0)</f>
        <v>0</v>
      </c>
      <c r="J1553" s="880">
        <f>ROUND([30]MW!J1116,0)</f>
        <v>0</v>
      </c>
      <c r="K1553" s="880">
        <f>ROUND([30]MW!K1116,0)</f>
        <v>0</v>
      </c>
      <c r="L1553" s="880">
        <f>ROUND([30]MW!L1116,0)</f>
        <v>0</v>
      </c>
      <c r="M1553" s="880">
        <f>ROUND([30]MW!M1116,0)</f>
        <v>0</v>
      </c>
      <c r="N1553" s="25">
        <f t="shared" si="680"/>
        <v>0</v>
      </c>
      <c r="Q1553" s="881"/>
      <c r="R1553" s="881"/>
      <c r="S1553" s="881"/>
      <c r="T1553" s="881"/>
      <c r="U1553" s="881"/>
      <c r="V1553" s="881"/>
      <c r="W1553" s="881"/>
      <c r="X1553" s="881"/>
      <c r="Y1553" s="881"/>
      <c r="Z1553" s="881"/>
      <c r="AA1553" s="881"/>
      <c r="AB1553" s="881"/>
      <c r="AC1553" s="37"/>
    </row>
    <row r="1554" spans="1:29">
      <c r="A1554" s="2">
        <f t="shared" si="678"/>
        <v>2041</v>
      </c>
      <c r="Q1554" s="881"/>
      <c r="R1554" s="881"/>
      <c r="S1554" s="881"/>
      <c r="T1554" s="881"/>
      <c r="U1554" s="881"/>
      <c r="V1554" s="881"/>
      <c r="W1554" s="881"/>
      <c r="X1554" s="881"/>
      <c r="Y1554" s="881"/>
      <c r="Z1554" s="881"/>
      <c r="AA1554" s="881"/>
      <c r="AB1554" s="881"/>
      <c r="AC1554" s="37"/>
    </row>
    <row r="1555" spans="1:29">
      <c r="A1555" s="2">
        <f t="shared" si="678"/>
        <v>2042</v>
      </c>
      <c r="Q1555" s="881"/>
      <c r="R1555" s="881"/>
      <c r="S1555" s="881"/>
      <c r="T1555" s="881"/>
      <c r="U1555" s="881"/>
      <c r="V1555" s="881"/>
      <c r="W1555" s="881"/>
      <c r="X1555" s="881"/>
      <c r="Y1555" s="881"/>
      <c r="Z1555" s="881"/>
      <c r="AA1555" s="881"/>
      <c r="AB1555" s="881"/>
      <c r="AC1555" s="37"/>
    </row>
    <row r="1556" spans="1:29">
      <c r="A1556" s="2">
        <f t="shared" si="678"/>
        <v>2043</v>
      </c>
      <c r="Q1556" s="881"/>
      <c r="R1556" s="881"/>
      <c r="S1556" s="881"/>
      <c r="T1556" s="881"/>
      <c r="U1556" s="881"/>
      <c r="V1556" s="881"/>
      <c r="W1556" s="881"/>
      <c r="X1556" s="881"/>
      <c r="Y1556" s="881"/>
      <c r="Z1556" s="881"/>
      <c r="AA1556" s="881"/>
      <c r="AB1556" s="881"/>
      <c r="AC1556" s="37"/>
    </row>
    <row r="1557" spans="1:29">
      <c r="A1557" s="2">
        <f t="shared" si="678"/>
        <v>2044</v>
      </c>
      <c r="Q1557" s="881"/>
      <c r="R1557" s="881"/>
      <c r="S1557" s="881"/>
      <c r="T1557" s="881"/>
      <c r="U1557" s="881"/>
      <c r="V1557" s="881"/>
      <c r="W1557" s="881"/>
      <c r="X1557" s="881"/>
      <c r="Y1557" s="881"/>
      <c r="Z1557" s="881"/>
      <c r="AA1557" s="881"/>
      <c r="AB1557" s="881"/>
      <c r="AC1557" s="37"/>
    </row>
    <row r="1558" spans="1:29">
      <c r="A1558" s="2">
        <f t="shared" si="678"/>
        <v>2045</v>
      </c>
    </row>
    <row r="1561" spans="1:29">
      <c r="A1561" s="595" t="s">
        <v>351</v>
      </c>
      <c r="B1561" s="37"/>
      <c r="C1561" s="37"/>
      <c r="D1561" s="37"/>
      <c r="E1561" s="536"/>
      <c r="F1561" s="37"/>
      <c r="G1561" s="37"/>
      <c r="H1561" s="37"/>
      <c r="I1561" s="37"/>
      <c r="J1561" s="37"/>
      <c r="K1561" s="30" t="s">
        <v>311</v>
      </c>
      <c r="L1561" s="37"/>
      <c r="M1561" s="37"/>
      <c r="N1561" s="37"/>
    </row>
    <row r="1562" spans="1:29">
      <c r="A1562" s="326" t="s">
        <v>9</v>
      </c>
      <c r="B1562" s="333" t="s">
        <v>28</v>
      </c>
      <c r="C1562" s="333" t="s">
        <v>29</v>
      </c>
      <c r="D1562" s="333" t="s">
        <v>30</v>
      </c>
      <c r="E1562" s="333" t="s">
        <v>31</v>
      </c>
      <c r="F1562" s="333" t="s">
        <v>32</v>
      </c>
      <c r="G1562" s="333" t="s">
        <v>33</v>
      </c>
      <c r="H1562" s="333" t="s">
        <v>34</v>
      </c>
      <c r="I1562" s="333" t="s">
        <v>35</v>
      </c>
      <c r="J1562" s="333" t="s">
        <v>36</v>
      </c>
      <c r="K1562" s="333" t="s">
        <v>37</v>
      </c>
      <c r="L1562" s="333" t="s">
        <v>38</v>
      </c>
      <c r="M1562" s="333" t="s">
        <v>39</v>
      </c>
      <c r="N1562" s="334" t="s">
        <v>56</v>
      </c>
    </row>
    <row r="1563" spans="1:29">
      <c r="A1563" s="2">
        <f t="shared" ref="A1563:A1597" si="681">A1283</f>
        <v>2010</v>
      </c>
      <c r="B1563" s="34">
        <f>[30]MW!B1126</f>
        <v>0</v>
      </c>
      <c r="C1563" s="34">
        <f>[30]MW!C1126</f>
        <v>0</v>
      </c>
      <c r="D1563" s="34">
        <f>[30]MW!D1126</f>
        <v>0</v>
      </c>
      <c r="E1563" s="34">
        <f>[30]MW!E1126</f>
        <v>0</v>
      </c>
      <c r="F1563" s="34">
        <f>[30]MW!F1126</f>
        <v>0</v>
      </c>
      <c r="G1563" s="34">
        <f>[30]MW!G1126</f>
        <v>0</v>
      </c>
      <c r="H1563" s="34">
        <f>[30]MW!H1126</f>
        <v>0</v>
      </c>
      <c r="I1563" s="34">
        <f>[30]MW!I1126</f>
        <v>0</v>
      </c>
      <c r="J1563" s="34">
        <f>[30]MW!J1126</f>
        <v>0</v>
      </c>
      <c r="K1563" s="34">
        <f>[30]MW!K1126</f>
        <v>0</v>
      </c>
      <c r="L1563" s="34">
        <f>[30]MW!L1126</f>
        <v>0</v>
      </c>
      <c r="M1563" s="34">
        <f>[30]MW!M1126</f>
        <v>0</v>
      </c>
      <c r="N1563" s="25">
        <f t="shared" ref="N1563:N1573" si="682">SUM(B1563:M1563)</f>
        <v>0</v>
      </c>
    </row>
    <row r="1564" spans="1:29">
      <c r="A1564" s="2">
        <f t="shared" si="681"/>
        <v>2011</v>
      </c>
      <c r="B1564" s="880">
        <f>[30]MW!B1127</f>
        <v>0</v>
      </c>
      <c r="C1564" s="880">
        <f>[30]MW!C1127</f>
        <v>0</v>
      </c>
      <c r="D1564" s="880">
        <f>[30]MW!D1127</f>
        <v>0</v>
      </c>
      <c r="E1564" s="880">
        <f>[30]MW!E1127</f>
        <v>0</v>
      </c>
      <c r="F1564" s="880">
        <f>[30]MW!F1127</f>
        <v>0</v>
      </c>
      <c r="G1564" s="880">
        <f>[30]MW!G1127</f>
        <v>0</v>
      </c>
      <c r="H1564" s="880">
        <f>[30]MW!H1127</f>
        <v>0</v>
      </c>
      <c r="I1564" s="880">
        <f>[30]MW!I1127</f>
        <v>0</v>
      </c>
      <c r="J1564" s="880">
        <f>[30]MW!J1127</f>
        <v>0</v>
      </c>
      <c r="K1564" s="880">
        <f>[30]MW!K1127</f>
        <v>0</v>
      </c>
      <c r="L1564" s="880">
        <f>[30]MW!L1127</f>
        <v>0</v>
      </c>
      <c r="M1564" s="880">
        <f>[30]MW!M1127</f>
        <v>0</v>
      </c>
      <c r="N1564" s="25">
        <f t="shared" si="682"/>
        <v>0</v>
      </c>
    </row>
    <row r="1565" spans="1:29">
      <c r="A1565" s="2">
        <f t="shared" si="681"/>
        <v>2012</v>
      </c>
      <c r="B1565" s="880">
        <f>[30]MW!B1128</f>
        <v>0</v>
      </c>
      <c r="C1565" s="880">
        <f>[30]MW!C1128</f>
        <v>0</v>
      </c>
      <c r="D1565" s="880">
        <f>[30]MW!D1128</f>
        <v>0</v>
      </c>
      <c r="E1565" s="880">
        <f>[30]MW!E1128</f>
        <v>0</v>
      </c>
      <c r="F1565" s="880">
        <f>[30]MW!F1128</f>
        <v>0</v>
      </c>
      <c r="G1565" s="880">
        <f>[30]MW!G1128</f>
        <v>0</v>
      </c>
      <c r="H1565" s="880">
        <f>[30]MW!H1128</f>
        <v>0</v>
      </c>
      <c r="I1565" s="880">
        <f>[30]MW!I1128</f>
        <v>0</v>
      </c>
      <c r="J1565" s="880">
        <f>[30]MW!J1128</f>
        <v>0</v>
      </c>
      <c r="K1565" s="880">
        <f>[30]MW!K1128</f>
        <v>0</v>
      </c>
      <c r="L1565" s="880">
        <f>[30]MW!L1128</f>
        <v>0</v>
      </c>
      <c r="M1565" s="880">
        <f>[30]MW!M1128</f>
        <v>0</v>
      </c>
      <c r="N1565" s="25">
        <f t="shared" si="682"/>
        <v>0</v>
      </c>
    </row>
    <row r="1566" spans="1:29">
      <c r="A1566" s="2">
        <f t="shared" si="681"/>
        <v>2013</v>
      </c>
      <c r="B1566" s="880">
        <f>[30]MW!B1129</f>
        <v>15.01</v>
      </c>
      <c r="C1566" s="880">
        <f>[30]MW!C1129</f>
        <v>15.01</v>
      </c>
      <c r="D1566" s="880">
        <f>[30]MW!D1129</f>
        <v>15.01</v>
      </c>
      <c r="E1566" s="880">
        <f>[30]MW!E1129</f>
        <v>15.01</v>
      </c>
      <c r="F1566" s="880">
        <f>[30]MW!F1129</f>
        <v>15.01</v>
      </c>
      <c r="G1566" s="880">
        <f>[30]MW!G1129</f>
        <v>15.01</v>
      </c>
      <c r="H1566" s="880">
        <f>[30]MW!H1129</f>
        <v>15.01</v>
      </c>
      <c r="I1566" s="880">
        <f>[30]MW!I1129</f>
        <v>15.01</v>
      </c>
      <c r="J1566" s="880">
        <f>[30]MW!J1129</f>
        <v>15.01</v>
      </c>
      <c r="K1566" s="880">
        <f>[30]MW!K1129</f>
        <v>15.01</v>
      </c>
      <c r="L1566" s="880">
        <f>[30]MW!L1129</f>
        <v>15.01</v>
      </c>
      <c r="M1566" s="880">
        <f>[30]MW!M1129</f>
        <v>15.01</v>
      </c>
      <c r="N1566" s="25">
        <f t="shared" si="682"/>
        <v>180.11999999999998</v>
      </c>
    </row>
    <row r="1567" spans="1:29">
      <c r="A1567" s="2">
        <f t="shared" si="681"/>
        <v>2014</v>
      </c>
      <c r="B1567" s="880">
        <f>[30]MW!B1130</f>
        <v>15.01</v>
      </c>
      <c r="C1567" s="880">
        <f>[30]MW!C1130</f>
        <v>15.01</v>
      </c>
      <c r="D1567" s="880">
        <f>[30]MW!D1130</f>
        <v>15.01</v>
      </c>
      <c r="E1567" s="880">
        <f>[30]MW!E1130</f>
        <v>15.01</v>
      </c>
      <c r="F1567" s="880">
        <f>[30]MW!F1130</f>
        <v>15.01</v>
      </c>
      <c r="G1567" s="880">
        <f>[30]MW!G1130</f>
        <v>15.01</v>
      </c>
      <c r="H1567" s="880">
        <f>[30]MW!H1130</f>
        <v>15.01</v>
      </c>
      <c r="I1567" s="880">
        <f>[30]MW!I1130</f>
        <v>15.01</v>
      </c>
      <c r="J1567" s="880">
        <f>[30]MW!J1130</f>
        <v>15.01</v>
      </c>
      <c r="K1567" s="880">
        <f>[30]MW!K1130</f>
        <v>15.01</v>
      </c>
      <c r="L1567" s="880">
        <f>[30]MW!L1130</f>
        <v>15.01</v>
      </c>
      <c r="M1567" s="880">
        <f>[30]MW!M1130</f>
        <v>15.01</v>
      </c>
      <c r="N1567" s="25">
        <f t="shared" si="682"/>
        <v>180.11999999999998</v>
      </c>
    </row>
    <row r="1568" spans="1:29">
      <c r="A1568" s="2">
        <f t="shared" si="681"/>
        <v>2015</v>
      </c>
      <c r="B1568" s="880">
        <f>[30]MW!B1131</f>
        <v>15.01</v>
      </c>
      <c r="C1568" s="880">
        <f>[30]MW!C1131</f>
        <v>15.01</v>
      </c>
      <c r="D1568" s="880">
        <f>[30]MW!D1131</f>
        <v>15.01</v>
      </c>
      <c r="E1568" s="880">
        <f>[30]MW!E1131</f>
        <v>15.01</v>
      </c>
      <c r="F1568" s="880">
        <f>[30]MW!F1131</f>
        <v>15.01</v>
      </c>
      <c r="G1568" s="880">
        <f>[30]MW!G1131</f>
        <v>15.01</v>
      </c>
      <c r="H1568" s="880">
        <f>[30]MW!H1131</f>
        <v>15.01</v>
      </c>
      <c r="I1568" s="880">
        <f>[30]MW!I1131</f>
        <v>15.01</v>
      </c>
      <c r="J1568" s="880">
        <f>[30]MW!J1131</f>
        <v>15.01</v>
      </c>
      <c r="K1568" s="880">
        <f>[30]MW!K1131</f>
        <v>15.01</v>
      </c>
      <c r="L1568" s="880">
        <f>[30]MW!L1131</f>
        <v>15.01</v>
      </c>
      <c r="M1568" s="880">
        <f>[30]MW!M1131</f>
        <v>15.01</v>
      </c>
      <c r="N1568" s="25">
        <f t="shared" si="682"/>
        <v>180.11999999999998</v>
      </c>
    </row>
    <row r="1569" spans="1:14">
      <c r="A1569" s="2">
        <f t="shared" si="681"/>
        <v>2016</v>
      </c>
      <c r="B1569" s="880">
        <f>[30]MW!B1132</f>
        <v>15.01</v>
      </c>
      <c r="C1569" s="880">
        <f>[30]MW!C1132</f>
        <v>15.01</v>
      </c>
      <c r="D1569" s="880">
        <f>[30]MW!D1132</f>
        <v>15.01</v>
      </c>
      <c r="E1569" s="880">
        <f>[30]MW!E1132</f>
        <v>15.01</v>
      </c>
      <c r="F1569" s="880">
        <f>[30]MW!F1132</f>
        <v>15.01</v>
      </c>
      <c r="G1569" s="880">
        <f>[30]MW!G1132</f>
        <v>15.01</v>
      </c>
      <c r="H1569" s="880">
        <f>[30]MW!H1132</f>
        <v>15.01</v>
      </c>
      <c r="I1569" s="880">
        <f>[30]MW!I1132</f>
        <v>15.01</v>
      </c>
      <c r="J1569" s="880">
        <f>[30]MW!J1132</f>
        <v>15.01</v>
      </c>
      <c r="K1569" s="880">
        <f>[30]MW!K1132</f>
        <v>15.01</v>
      </c>
      <c r="L1569" s="880">
        <f>[30]MW!L1132</f>
        <v>15.01</v>
      </c>
      <c r="M1569" s="880">
        <f>[30]MW!M1132</f>
        <v>15.01</v>
      </c>
      <c r="N1569" s="25">
        <f t="shared" si="682"/>
        <v>180.11999999999998</v>
      </c>
    </row>
    <row r="1570" spans="1:14">
      <c r="A1570" s="2">
        <f t="shared" si="681"/>
        <v>2017</v>
      </c>
      <c r="B1570" s="880">
        <f>[30]MW!B1133</f>
        <v>15.01</v>
      </c>
      <c r="C1570" s="880">
        <f>[30]MW!C1133</f>
        <v>15.01</v>
      </c>
      <c r="D1570" s="880">
        <f>[30]MW!D1133</f>
        <v>15.01</v>
      </c>
      <c r="E1570" s="880">
        <f>[30]MW!E1133</f>
        <v>15.01</v>
      </c>
      <c r="F1570" s="880">
        <f>[30]MW!F1133</f>
        <v>15.01</v>
      </c>
      <c r="G1570" s="880">
        <f>[30]MW!G1133</f>
        <v>15.01</v>
      </c>
      <c r="H1570" s="880">
        <f>[30]MW!H1133</f>
        <v>15.01</v>
      </c>
      <c r="I1570" s="880">
        <f>[30]MW!I1133</f>
        <v>15.01</v>
      </c>
      <c r="J1570" s="880">
        <f>[30]MW!J1133</f>
        <v>15.01</v>
      </c>
      <c r="K1570" s="880">
        <f>[30]MW!K1133</f>
        <v>15.01</v>
      </c>
      <c r="L1570" s="880">
        <f>[30]MW!L1133</f>
        <v>15.01</v>
      </c>
      <c r="M1570" s="880">
        <f>[30]MW!M1133</f>
        <v>15.01</v>
      </c>
      <c r="N1570" s="25">
        <f t="shared" si="682"/>
        <v>180.11999999999998</v>
      </c>
    </row>
    <row r="1571" spans="1:14">
      <c r="A1571" s="2">
        <f t="shared" si="681"/>
        <v>2018</v>
      </c>
      <c r="B1571" s="880">
        <f>[30]MW!B1134</f>
        <v>15.01</v>
      </c>
      <c r="C1571" s="880">
        <f>[30]MW!C1134</f>
        <v>15.01</v>
      </c>
      <c r="D1571" s="880">
        <f>[30]MW!D1134</f>
        <v>15.01</v>
      </c>
      <c r="E1571" s="880">
        <f>[30]MW!E1134</f>
        <v>15.01</v>
      </c>
      <c r="F1571" s="880">
        <f>[30]MW!F1134</f>
        <v>15.01</v>
      </c>
      <c r="G1571" s="880">
        <f>[30]MW!G1134</f>
        <v>15.01</v>
      </c>
      <c r="H1571" s="880">
        <f>[30]MW!H1134</f>
        <v>15.01</v>
      </c>
      <c r="I1571" s="880">
        <f>[30]MW!I1134</f>
        <v>15.01</v>
      </c>
      <c r="J1571" s="880">
        <f>[30]MW!J1134</f>
        <v>15.01</v>
      </c>
      <c r="K1571" s="880">
        <f>[30]MW!K1134</f>
        <v>15.01</v>
      </c>
      <c r="L1571" s="880">
        <f>[30]MW!L1134</f>
        <v>15.01</v>
      </c>
      <c r="M1571" s="880">
        <f>[30]MW!M1134</f>
        <v>15.01</v>
      </c>
      <c r="N1571" s="25">
        <f t="shared" si="682"/>
        <v>180.11999999999998</v>
      </c>
    </row>
    <row r="1572" spans="1:14">
      <c r="A1572" s="2">
        <f t="shared" si="681"/>
        <v>2019</v>
      </c>
      <c r="B1572" s="880">
        <f>[30]MW!B1135</f>
        <v>15.01</v>
      </c>
      <c r="C1572" s="880">
        <f>[30]MW!C1135</f>
        <v>15.01</v>
      </c>
      <c r="D1572" s="880">
        <f>[30]MW!D1135</f>
        <v>15.01</v>
      </c>
      <c r="E1572" s="880">
        <f>[30]MW!E1135</f>
        <v>15.01</v>
      </c>
      <c r="F1572" s="880">
        <f>[30]MW!F1135</f>
        <v>15.01</v>
      </c>
      <c r="G1572" s="880">
        <f>[30]MW!G1135</f>
        <v>15.01</v>
      </c>
      <c r="H1572" s="880">
        <f>[30]MW!H1135</f>
        <v>15.01</v>
      </c>
      <c r="I1572" s="880">
        <f>[30]MW!I1135</f>
        <v>15.01</v>
      </c>
      <c r="J1572" s="880">
        <f>[30]MW!J1135</f>
        <v>15.01</v>
      </c>
      <c r="K1572" s="880">
        <f>[30]MW!K1135</f>
        <v>15.01</v>
      </c>
      <c r="L1572" s="880">
        <f>[30]MW!L1135</f>
        <v>15.01</v>
      </c>
      <c r="M1572" s="880">
        <f>[30]MW!M1135</f>
        <v>15.01</v>
      </c>
      <c r="N1572" s="25">
        <f t="shared" si="682"/>
        <v>180.11999999999998</v>
      </c>
    </row>
    <row r="1573" spans="1:14">
      <c r="A1573" s="2">
        <f t="shared" si="681"/>
        <v>2020</v>
      </c>
      <c r="B1573" s="880">
        <f>[30]MW!B1136</f>
        <v>15.01</v>
      </c>
      <c r="C1573" s="880">
        <f>[30]MW!C1136</f>
        <v>15.01</v>
      </c>
      <c r="D1573" s="880">
        <f>[30]MW!D1136</f>
        <v>15.01</v>
      </c>
      <c r="E1573" s="880">
        <f>[30]MW!E1136</f>
        <v>15.01</v>
      </c>
      <c r="F1573" s="880">
        <f>[30]MW!F1136</f>
        <v>15.01</v>
      </c>
      <c r="G1573" s="880">
        <f>[30]MW!G1136</f>
        <v>15.01</v>
      </c>
      <c r="H1573" s="880">
        <f>[30]MW!H1136</f>
        <v>15.01</v>
      </c>
      <c r="I1573" s="880">
        <f>[30]MW!I1136</f>
        <v>15.01</v>
      </c>
      <c r="J1573" s="880">
        <f>[30]MW!J1136</f>
        <v>15.01</v>
      </c>
      <c r="K1573" s="880">
        <f>[30]MW!K1136</f>
        <v>15.01</v>
      </c>
      <c r="L1573" s="880">
        <f>[30]MW!L1136</f>
        <v>15.01</v>
      </c>
      <c r="M1573" s="880">
        <f>[30]MW!M1136</f>
        <v>15.01</v>
      </c>
      <c r="N1573" s="25">
        <f t="shared" si="682"/>
        <v>180.11999999999998</v>
      </c>
    </row>
    <row r="1574" spans="1:14">
      <c r="A1574" s="2">
        <f t="shared" si="681"/>
        <v>2021</v>
      </c>
      <c r="B1574" s="880">
        <f>[30]MW!B1137</f>
        <v>15.01</v>
      </c>
      <c r="C1574" s="880">
        <f>[30]MW!C1137</f>
        <v>15.01</v>
      </c>
      <c r="D1574" s="880">
        <f>[30]MW!D1137</f>
        <v>15.01</v>
      </c>
      <c r="E1574" s="880">
        <f>[30]MW!E1137</f>
        <v>15.01</v>
      </c>
      <c r="F1574" s="880">
        <f>[30]MW!F1137</f>
        <v>15.01</v>
      </c>
      <c r="G1574" s="880">
        <f>[30]MW!G1137</f>
        <v>15.01</v>
      </c>
      <c r="H1574" s="880">
        <f>[30]MW!H1137</f>
        <v>15.01</v>
      </c>
      <c r="I1574" s="880">
        <f>[30]MW!I1137</f>
        <v>15.01</v>
      </c>
      <c r="J1574" s="880">
        <f>[30]MW!J1137</f>
        <v>15.01</v>
      </c>
      <c r="K1574" s="880">
        <f>[30]MW!K1137</f>
        <v>15.01</v>
      </c>
      <c r="L1574" s="880">
        <f>[30]MW!L1137</f>
        <v>15.01</v>
      </c>
      <c r="M1574" s="880">
        <f>[30]MW!M1137</f>
        <v>15.01</v>
      </c>
      <c r="N1574" s="25">
        <f t="shared" ref="N1574:N1579" si="683">SUM(B1574:M1574)</f>
        <v>180.11999999999998</v>
      </c>
    </row>
    <row r="1575" spans="1:14">
      <c r="A1575" s="2">
        <f t="shared" si="681"/>
        <v>2022</v>
      </c>
      <c r="B1575" s="880">
        <f>[30]MW!B1138</f>
        <v>15.01</v>
      </c>
      <c r="C1575" s="880">
        <f>[30]MW!C1138</f>
        <v>15.01</v>
      </c>
      <c r="D1575" s="880">
        <f>[30]MW!D1138</f>
        <v>15.01</v>
      </c>
      <c r="E1575" s="880">
        <f>[30]MW!E1138</f>
        <v>15.01</v>
      </c>
      <c r="F1575" s="880">
        <f>[30]MW!F1138</f>
        <v>15.01</v>
      </c>
      <c r="G1575" s="880">
        <f>[30]MW!G1138</f>
        <v>15.01</v>
      </c>
      <c r="H1575" s="880">
        <f>[30]MW!H1138</f>
        <v>15.01</v>
      </c>
      <c r="I1575" s="880">
        <f>[30]MW!I1138</f>
        <v>15.01</v>
      </c>
      <c r="J1575" s="880">
        <f>[30]MW!J1138</f>
        <v>15.01</v>
      </c>
      <c r="K1575" s="880">
        <f>[30]MW!K1138</f>
        <v>15.01</v>
      </c>
      <c r="L1575" s="880">
        <f>[30]MW!L1138</f>
        <v>15.01</v>
      </c>
      <c r="M1575" s="880">
        <f>[30]MW!M1138</f>
        <v>15.01</v>
      </c>
      <c r="N1575" s="25">
        <f t="shared" si="683"/>
        <v>180.11999999999998</v>
      </c>
    </row>
    <row r="1576" spans="1:14">
      <c r="A1576" s="2">
        <f t="shared" si="681"/>
        <v>2023</v>
      </c>
      <c r="B1576" s="880">
        <f>[30]MW!B1139</f>
        <v>15.01</v>
      </c>
      <c r="C1576" s="880">
        <f>[30]MW!C1139</f>
        <v>15.01</v>
      </c>
      <c r="D1576" s="880">
        <f>[30]MW!D1139</f>
        <v>15.01</v>
      </c>
      <c r="E1576" s="880">
        <f>[30]MW!E1139</f>
        <v>15.01</v>
      </c>
      <c r="F1576" s="880">
        <f>[30]MW!F1139</f>
        <v>15.01</v>
      </c>
      <c r="G1576" s="880">
        <f>[30]MW!G1139</f>
        <v>15.01</v>
      </c>
      <c r="H1576" s="880">
        <f>[30]MW!H1139</f>
        <v>15.01</v>
      </c>
      <c r="I1576" s="880">
        <f>[30]MW!I1139</f>
        <v>15.01</v>
      </c>
      <c r="J1576" s="880">
        <f>[30]MW!J1139</f>
        <v>15.01</v>
      </c>
      <c r="K1576" s="880">
        <f>[30]MW!K1139</f>
        <v>15.01</v>
      </c>
      <c r="L1576" s="880">
        <f>[30]MW!L1139</f>
        <v>15.01</v>
      </c>
      <c r="M1576" s="880">
        <f>[30]MW!M1139</f>
        <v>15.01</v>
      </c>
      <c r="N1576" s="25">
        <f t="shared" si="683"/>
        <v>180.11999999999998</v>
      </c>
    </row>
    <row r="1577" spans="1:14">
      <c r="A1577" s="2">
        <f t="shared" si="681"/>
        <v>2024</v>
      </c>
      <c r="B1577" s="880">
        <f>[30]MW!B1140</f>
        <v>15.01</v>
      </c>
      <c r="C1577" s="880">
        <f>[30]MW!C1140</f>
        <v>15.01</v>
      </c>
      <c r="D1577" s="880">
        <f>[30]MW!D1140</f>
        <v>15.01</v>
      </c>
      <c r="E1577" s="880">
        <f>[30]MW!E1140</f>
        <v>15.01</v>
      </c>
      <c r="F1577" s="880">
        <f>[30]MW!F1140</f>
        <v>15.01</v>
      </c>
      <c r="G1577" s="880">
        <f>[30]MW!G1140</f>
        <v>15.01</v>
      </c>
      <c r="H1577" s="880">
        <f>[30]MW!H1140</f>
        <v>15.01</v>
      </c>
      <c r="I1577" s="880">
        <f>[30]MW!I1140</f>
        <v>15.01</v>
      </c>
      <c r="J1577" s="880">
        <f>[30]MW!J1140</f>
        <v>15.01</v>
      </c>
      <c r="K1577" s="880">
        <f>[30]MW!K1140</f>
        <v>15.01</v>
      </c>
      <c r="L1577" s="880">
        <f>[30]MW!L1140</f>
        <v>15.01</v>
      </c>
      <c r="M1577" s="880">
        <f>[30]MW!M1140</f>
        <v>15.01</v>
      </c>
      <c r="N1577" s="25">
        <f t="shared" si="683"/>
        <v>180.11999999999998</v>
      </c>
    </row>
    <row r="1578" spans="1:14">
      <c r="A1578" s="2">
        <f t="shared" si="681"/>
        <v>2025</v>
      </c>
      <c r="B1578" s="880">
        <f>[30]MW!B1141</f>
        <v>15.01</v>
      </c>
      <c r="C1578" s="880">
        <f>[30]MW!C1141</f>
        <v>15.01</v>
      </c>
      <c r="D1578" s="880">
        <f>[30]MW!D1141</f>
        <v>15.01</v>
      </c>
      <c r="E1578" s="880">
        <f>[30]MW!E1141</f>
        <v>15.01</v>
      </c>
      <c r="F1578" s="880">
        <f>[30]MW!F1141</f>
        <v>15.01</v>
      </c>
      <c r="G1578" s="880">
        <f>[30]MW!G1141</f>
        <v>15.01</v>
      </c>
      <c r="H1578" s="880">
        <f>[30]MW!H1141</f>
        <v>15.01</v>
      </c>
      <c r="I1578" s="880">
        <f>[30]MW!I1141</f>
        <v>15.01</v>
      </c>
      <c r="J1578" s="880">
        <f>[30]MW!J1141</f>
        <v>15.01</v>
      </c>
      <c r="K1578" s="880">
        <f>[30]MW!K1141</f>
        <v>15.01</v>
      </c>
      <c r="L1578" s="880">
        <f>[30]MW!L1141</f>
        <v>15.01</v>
      </c>
      <c r="M1578" s="880">
        <f>[30]MW!M1141</f>
        <v>15.01</v>
      </c>
      <c r="N1578" s="25">
        <f t="shared" si="683"/>
        <v>180.11999999999998</v>
      </c>
    </row>
    <row r="1579" spans="1:14">
      <c r="A1579" s="2">
        <f t="shared" si="681"/>
        <v>2026</v>
      </c>
      <c r="B1579" s="880">
        <f>[30]MW!B1142</f>
        <v>15.01</v>
      </c>
      <c r="C1579" s="880">
        <f>[30]MW!C1142</f>
        <v>15.01</v>
      </c>
      <c r="D1579" s="880">
        <f>[30]MW!D1142</f>
        <v>15.01</v>
      </c>
      <c r="E1579" s="880">
        <f>[30]MW!E1142</f>
        <v>15.01</v>
      </c>
      <c r="F1579" s="880">
        <f>[30]MW!F1142</f>
        <v>15.01</v>
      </c>
      <c r="G1579" s="880">
        <f>[30]MW!G1142</f>
        <v>15.01</v>
      </c>
      <c r="H1579" s="880">
        <f>[30]MW!H1142</f>
        <v>15.01</v>
      </c>
      <c r="I1579" s="880">
        <f>[30]MW!I1142</f>
        <v>15.01</v>
      </c>
      <c r="J1579" s="880">
        <f>[30]MW!J1142</f>
        <v>15.01</v>
      </c>
      <c r="K1579" s="880">
        <f>[30]MW!K1142</f>
        <v>15.01</v>
      </c>
      <c r="L1579" s="880">
        <f>[30]MW!L1142</f>
        <v>15.01</v>
      </c>
      <c r="M1579" s="880">
        <f>[30]MW!M1142</f>
        <v>15.01</v>
      </c>
      <c r="N1579" s="25">
        <f t="shared" si="683"/>
        <v>180.11999999999998</v>
      </c>
    </row>
    <row r="1580" spans="1:14">
      <c r="A1580" s="2">
        <f t="shared" si="681"/>
        <v>2027</v>
      </c>
      <c r="B1580" s="880">
        <f>[30]MW!B1143</f>
        <v>15.01</v>
      </c>
      <c r="C1580" s="880">
        <f>[30]MW!C1143</f>
        <v>15.01</v>
      </c>
      <c r="D1580" s="880">
        <f>[30]MW!D1143</f>
        <v>15.01</v>
      </c>
      <c r="E1580" s="880">
        <f>[30]MW!E1143</f>
        <v>15.01</v>
      </c>
      <c r="F1580" s="880">
        <f>[30]MW!F1143</f>
        <v>15.01</v>
      </c>
      <c r="G1580" s="880">
        <f>[30]MW!G1143</f>
        <v>15.01</v>
      </c>
      <c r="H1580" s="880">
        <f>[30]MW!H1143</f>
        <v>15.01</v>
      </c>
      <c r="I1580" s="880">
        <f>[30]MW!I1143</f>
        <v>15.01</v>
      </c>
      <c r="J1580" s="880">
        <f>[30]MW!J1143</f>
        <v>15.01</v>
      </c>
      <c r="K1580" s="880">
        <f>[30]MW!K1143</f>
        <v>15.01</v>
      </c>
      <c r="L1580" s="880">
        <f>[30]MW!L1143</f>
        <v>15.01</v>
      </c>
      <c r="M1580" s="880">
        <f>[30]MW!M1143</f>
        <v>15.01</v>
      </c>
      <c r="N1580" s="25">
        <f>SUM(B1580:M1580)</f>
        <v>180.11999999999998</v>
      </c>
    </row>
    <row r="1581" spans="1:14">
      <c r="A1581" s="2">
        <f t="shared" si="681"/>
        <v>2028</v>
      </c>
      <c r="B1581" s="880">
        <f>[30]MW!B1144</f>
        <v>15.01</v>
      </c>
      <c r="C1581" s="880">
        <f>[30]MW!C1144</f>
        <v>15.01</v>
      </c>
      <c r="D1581" s="880">
        <f>[30]MW!D1144</f>
        <v>15.01</v>
      </c>
      <c r="E1581" s="880">
        <f>[30]MW!E1144</f>
        <v>15.01</v>
      </c>
      <c r="F1581" s="880">
        <f>[30]MW!F1144</f>
        <v>15.01</v>
      </c>
      <c r="G1581" s="880">
        <f>[30]MW!G1144</f>
        <v>15.01</v>
      </c>
      <c r="H1581" s="880">
        <f>[30]MW!H1144</f>
        <v>15.01</v>
      </c>
      <c r="I1581" s="880">
        <f>[30]MW!I1144</f>
        <v>15.01</v>
      </c>
      <c r="J1581" s="880">
        <f>[30]MW!J1144</f>
        <v>15.01</v>
      </c>
      <c r="K1581" s="880">
        <f>[30]MW!K1144</f>
        <v>15.01</v>
      </c>
      <c r="L1581" s="880">
        <f>[30]MW!L1144</f>
        <v>15.01</v>
      </c>
      <c r="M1581" s="880">
        <f>[30]MW!M1144</f>
        <v>15.01</v>
      </c>
      <c r="N1581" s="25">
        <f>SUM(B1581:M1581)</f>
        <v>180.11999999999998</v>
      </c>
    </row>
    <row r="1582" spans="1:14">
      <c r="A1582" s="2">
        <f t="shared" si="681"/>
        <v>2029</v>
      </c>
      <c r="B1582" s="880">
        <f>[30]MW!B1145</f>
        <v>15.01</v>
      </c>
      <c r="C1582" s="880">
        <f>[30]MW!C1145</f>
        <v>15.01</v>
      </c>
      <c r="D1582" s="880">
        <f>[30]MW!D1145</f>
        <v>15.01</v>
      </c>
      <c r="E1582" s="880">
        <f>[30]MW!E1145</f>
        <v>15.01</v>
      </c>
      <c r="F1582" s="880">
        <f>[30]MW!F1145</f>
        <v>15.01</v>
      </c>
      <c r="G1582" s="880">
        <f>[30]MW!G1145</f>
        <v>15.01</v>
      </c>
      <c r="H1582" s="880">
        <f>[30]MW!H1145</f>
        <v>15.01</v>
      </c>
      <c r="I1582" s="880">
        <f>[30]MW!I1145</f>
        <v>15.01</v>
      </c>
      <c r="J1582" s="880">
        <f>[30]MW!J1145</f>
        <v>15.01</v>
      </c>
      <c r="K1582" s="880">
        <f>[30]MW!K1145</f>
        <v>15.01</v>
      </c>
      <c r="L1582" s="880">
        <f>[30]MW!L1145</f>
        <v>15.01</v>
      </c>
      <c r="M1582" s="880">
        <f>[30]MW!M1145</f>
        <v>15.01</v>
      </c>
      <c r="N1582" s="25">
        <f>SUM(B1582:M1582)</f>
        <v>180.11999999999998</v>
      </c>
    </row>
    <row r="1583" spans="1:14">
      <c r="A1583" s="2">
        <f t="shared" si="681"/>
        <v>2030</v>
      </c>
      <c r="B1583" s="880">
        <f>[30]MW!B1146</f>
        <v>15.01</v>
      </c>
      <c r="C1583" s="880">
        <f>[30]MW!C1146</f>
        <v>15.01</v>
      </c>
      <c r="D1583" s="880">
        <f>[30]MW!D1146</f>
        <v>15.01</v>
      </c>
      <c r="E1583" s="880">
        <f>[30]MW!E1146</f>
        <v>15.01</v>
      </c>
      <c r="F1583" s="880">
        <f>[30]MW!F1146</f>
        <v>15.01</v>
      </c>
      <c r="G1583" s="880">
        <f>[30]MW!G1146</f>
        <v>15.01</v>
      </c>
      <c r="H1583" s="880">
        <f>[30]MW!H1146</f>
        <v>15.01</v>
      </c>
      <c r="I1583" s="880">
        <f>[30]MW!I1146</f>
        <v>15.01</v>
      </c>
      <c r="J1583" s="880">
        <f>[30]MW!J1146</f>
        <v>15.01</v>
      </c>
      <c r="K1583" s="880">
        <f>[30]MW!K1146</f>
        <v>15.01</v>
      </c>
      <c r="L1583" s="880">
        <f>[30]MW!L1146</f>
        <v>15.01</v>
      </c>
      <c r="M1583" s="880">
        <f>[30]MW!M1146</f>
        <v>15.01</v>
      </c>
      <c r="N1583" s="25">
        <f>SUM(B1583:M1583)</f>
        <v>180.11999999999998</v>
      </c>
    </row>
    <row r="1584" spans="1:14">
      <c r="A1584" s="2">
        <f t="shared" si="681"/>
        <v>2031</v>
      </c>
      <c r="B1584" s="880">
        <f>[30]MW!B1147</f>
        <v>15.01</v>
      </c>
      <c r="C1584" s="880">
        <f>[30]MW!C1147</f>
        <v>15.01</v>
      </c>
      <c r="D1584" s="880">
        <f>[30]MW!D1147</f>
        <v>15.01</v>
      </c>
      <c r="E1584" s="880">
        <f>[30]MW!E1147</f>
        <v>15.01</v>
      </c>
      <c r="F1584" s="880">
        <f>[30]MW!F1147</f>
        <v>15.01</v>
      </c>
      <c r="G1584" s="880">
        <f>[30]MW!G1147</f>
        <v>15.01</v>
      </c>
      <c r="H1584" s="880">
        <f>[30]MW!H1147</f>
        <v>15.01</v>
      </c>
      <c r="I1584" s="880">
        <f>[30]MW!I1147</f>
        <v>15.01</v>
      </c>
      <c r="J1584" s="880">
        <f>[30]MW!J1147</f>
        <v>15.01</v>
      </c>
      <c r="K1584" s="880">
        <f>[30]MW!K1147</f>
        <v>15.01</v>
      </c>
      <c r="L1584" s="880">
        <f>[30]MW!L1147</f>
        <v>15.01</v>
      </c>
      <c r="M1584" s="880">
        <f>[30]MW!M1147</f>
        <v>15.01</v>
      </c>
      <c r="N1584" s="25">
        <f t="shared" ref="N1584:N1593" si="684">SUM(B1584:M1584)</f>
        <v>180.11999999999998</v>
      </c>
    </row>
    <row r="1585" spans="1:14">
      <c r="A1585" s="2">
        <f t="shared" si="681"/>
        <v>2032</v>
      </c>
      <c r="B1585" s="880">
        <f>[30]MW!B1148</f>
        <v>15.01</v>
      </c>
      <c r="C1585" s="880">
        <f>[30]MW!C1148</f>
        <v>15.01</v>
      </c>
      <c r="D1585" s="880">
        <f>[30]MW!D1148</f>
        <v>15.01</v>
      </c>
      <c r="E1585" s="880">
        <f>[30]MW!E1148</f>
        <v>15.01</v>
      </c>
      <c r="F1585" s="880">
        <f>[30]MW!F1148</f>
        <v>15.01</v>
      </c>
      <c r="G1585" s="880">
        <f>[30]MW!G1148</f>
        <v>15.01</v>
      </c>
      <c r="H1585" s="880">
        <f>[30]MW!H1148</f>
        <v>15.01</v>
      </c>
      <c r="I1585" s="880">
        <f>[30]MW!I1148</f>
        <v>15.01</v>
      </c>
      <c r="J1585" s="880">
        <f>[30]MW!J1148</f>
        <v>15.01</v>
      </c>
      <c r="K1585" s="880">
        <f>[30]MW!K1148</f>
        <v>15.01</v>
      </c>
      <c r="L1585" s="880">
        <f>[30]MW!L1148</f>
        <v>15.01</v>
      </c>
      <c r="M1585" s="880">
        <f>[30]MW!M1148</f>
        <v>15.01</v>
      </c>
      <c r="N1585" s="25">
        <f t="shared" si="684"/>
        <v>180.11999999999998</v>
      </c>
    </row>
    <row r="1586" spans="1:14">
      <c r="A1586" s="2">
        <f t="shared" si="681"/>
        <v>2033</v>
      </c>
      <c r="B1586" s="880">
        <f>[30]MW!B1149</f>
        <v>15.01</v>
      </c>
      <c r="C1586" s="880">
        <f>[30]MW!C1149</f>
        <v>15.01</v>
      </c>
      <c r="D1586" s="880">
        <f>[30]MW!D1149</f>
        <v>15.01</v>
      </c>
      <c r="E1586" s="880">
        <f>[30]MW!E1149</f>
        <v>15.01</v>
      </c>
      <c r="F1586" s="880">
        <f>[30]MW!F1149</f>
        <v>15.01</v>
      </c>
      <c r="G1586" s="880">
        <f>[30]MW!G1149</f>
        <v>15.01</v>
      </c>
      <c r="H1586" s="880">
        <f>[30]MW!H1149</f>
        <v>15.01</v>
      </c>
      <c r="I1586" s="880">
        <f>[30]MW!I1149</f>
        <v>15.01</v>
      </c>
      <c r="J1586" s="880">
        <f>[30]MW!J1149</f>
        <v>15.01</v>
      </c>
      <c r="K1586" s="880">
        <f>[30]MW!K1149</f>
        <v>15.01</v>
      </c>
      <c r="L1586" s="880">
        <f>[30]MW!L1149</f>
        <v>15.01</v>
      </c>
      <c r="M1586" s="880">
        <f>[30]MW!M1149</f>
        <v>15.01</v>
      </c>
      <c r="N1586" s="25">
        <f t="shared" si="684"/>
        <v>180.11999999999998</v>
      </c>
    </row>
    <row r="1587" spans="1:14">
      <c r="A1587" s="2">
        <f t="shared" si="681"/>
        <v>2034</v>
      </c>
      <c r="B1587" s="880">
        <f>[30]MW!B1150</f>
        <v>15.01</v>
      </c>
      <c r="C1587" s="880">
        <f>[30]MW!C1150</f>
        <v>15.01</v>
      </c>
      <c r="D1587" s="880">
        <f>[30]MW!D1150</f>
        <v>15.01</v>
      </c>
      <c r="E1587" s="880">
        <f>[30]MW!E1150</f>
        <v>15.01</v>
      </c>
      <c r="F1587" s="880">
        <f>[30]MW!F1150</f>
        <v>15.01</v>
      </c>
      <c r="G1587" s="880">
        <f>[30]MW!G1150</f>
        <v>15.01</v>
      </c>
      <c r="H1587" s="880">
        <f>[30]MW!H1150</f>
        <v>15.01</v>
      </c>
      <c r="I1587" s="880">
        <f>[30]MW!I1150</f>
        <v>15.01</v>
      </c>
      <c r="J1587" s="880">
        <f>[30]MW!J1150</f>
        <v>15.01</v>
      </c>
      <c r="K1587" s="880">
        <f>[30]MW!K1150</f>
        <v>15.01</v>
      </c>
      <c r="L1587" s="880">
        <f>[30]MW!L1150</f>
        <v>15.01</v>
      </c>
      <c r="M1587" s="880">
        <f>[30]MW!M1150</f>
        <v>15.01</v>
      </c>
      <c r="N1587" s="25">
        <f t="shared" si="684"/>
        <v>180.11999999999998</v>
      </c>
    </row>
    <row r="1588" spans="1:14">
      <c r="A1588" s="2">
        <f t="shared" si="681"/>
        <v>2035</v>
      </c>
      <c r="B1588" s="880">
        <f>[30]MW!B1151</f>
        <v>15.01</v>
      </c>
      <c r="C1588" s="880">
        <f>[30]MW!C1151</f>
        <v>15.01</v>
      </c>
      <c r="D1588" s="880">
        <f>[30]MW!D1151</f>
        <v>15.01</v>
      </c>
      <c r="E1588" s="880">
        <f>[30]MW!E1151</f>
        <v>15.01</v>
      </c>
      <c r="F1588" s="880">
        <f>[30]MW!F1151</f>
        <v>15.01</v>
      </c>
      <c r="G1588" s="880">
        <f>[30]MW!G1151</f>
        <v>15.01</v>
      </c>
      <c r="H1588" s="880">
        <f>[30]MW!H1151</f>
        <v>15.01</v>
      </c>
      <c r="I1588" s="880">
        <f>[30]MW!I1151</f>
        <v>15.01</v>
      </c>
      <c r="J1588" s="880">
        <f>[30]MW!J1151</f>
        <v>15.01</v>
      </c>
      <c r="K1588" s="880">
        <f>[30]MW!K1151</f>
        <v>15.01</v>
      </c>
      <c r="L1588" s="880">
        <f>[30]MW!L1151</f>
        <v>15.01</v>
      </c>
      <c r="M1588" s="880">
        <f>[30]MW!M1151</f>
        <v>15.01</v>
      </c>
      <c r="N1588" s="25">
        <f t="shared" si="684"/>
        <v>180.11999999999998</v>
      </c>
    </row>
    <row r="1589" spans="1:14">
      <c r="A1589" s="2">
        <f t="shared" si="681"/>
        <v>2036</v>
      </c>
      <c r="B1589" s="880">
        <f>[30]MW!B1152</f>
        <v>15.01</v>
      </c>
      <c r="C1589" s="880">
        <f>[30]MW!C1152</f>
        <v>15.01</v>
      </c>
      <c r="D1589" s="880">
        <f>[30]MW!D1152</f>
        <v>15.01</v>
      </c>
      <c r="E1589" s="880">
        <f>[30]MW!E1152</f>
        <v>15.01</v>
      </c>
      <c r="F1589" s="880">
        <f>[30]MW!F1152</f>
        <v>15.01</v>
      </c>
      <c r="G1589" s="880">
        <f>[30]MW!G1152</f>
        <v>15.01</v>
      </c>
      <c r="H1589" s="880">
        <f>[30]MW!H1152</f>
        <v>15.01</v>
      </c>
      <c r="I1589" s="880">
        <f>[30]MW!I1152</f>
        <v>15.01</v>
      </c>
      <c r="J1589" s="880">
        <f>[30]MW!J1152</f>
        <v>15.01</v>
      </c>
      <c r="K1589" s="880">
        <f>[30]MW!K1152</f>
        <v>15.01</v>
      </c>
      <c r="L1589" s="880">
        <f>[30]MW!L1152</f>
        <v>15.01</v>
      </c>
      <c r="M1589" s="880">
        <f>[30]MW!M1152</f>
        <v>15.01</v>
      </c>
      <c r="N1589" s="25">
        <f t="shared" si="684"/>
        <v>180.11999999999998</v>
      </c>
    </row>
    <row r="1590" spans="1:14">
      <c r="A1590" s="2">
        <f t="shared" si="681"/>
        <v>2037</v>
      </c>
      <c r="B1590" s="880">
        <f>[30]MW!B1153</f>
        <v>15.01</v>
      </c>
      <c r="C1590" s="880">
        <f>[30]MW!C1153</f>
        <v>15.01</v>
      </c>
      <c r="D1590" s="880">
        <f>[30]MW!D1153</f>
        <v>15.01</v>
      </c>
      <c r="E1590" s="880">
        <f>[30]MW!E1153</f>
        <v>15.01</v>
      </c>
      <c r="F1590" s="880">
        <f>[30]MW!F1153</f>
        <v>15.01</v>
      </c>
      <c r="G1590" s="880">
        <f>[30]MW!G1153</f>
        <v>15.01</v>
      </c>
      <c r="H1590" s="880">
        <f>[30]MW!H1153</f>
        <v>15.01</v>
      </c>
      <c r="I1590" s="880">
        <f>[30]MW!I1153</f>
        <v>15.01</v>
      </c>
      <c r="J1590" s="880">
        <f>[30]MW!J1153</f>
        <v>15.01</v>
      </c>
      <c r="K1590" s="880">
        <f>[30]MW!K1153</f>
        <v>15.01</v>
      </c>
      <c r="L1590" s="880">
        <f>[30]MW!L1153</f>
        <v>15.01</v>
      </c>
      <c r="M1590" s="880">
        <f>[30]MW!M1153</f>
        <v>15.01</v>
      </c>
      <c r="N1590" s="25">
        <f t="shared" si="684"/>
        <v>180.11999999999998</v>
      </c>
    </row>
    <row r="1591" spans="1:14">
      <c r="A1591" s="2">
        <f t="shared" si="681"/>
        <v>2038</v>
      </c>
      <c r="B1591" s="880">
        <f>[30]MW!B1154</f>
        <v>15.01</v>
      </c>
      <c r="C1591" s="880">
        <f>[30]MW!C1154</f>
        <v>15.01</v>
      </c>
      <c r="D1591" s="880">
        <f>[30]MW!D1154</f>
        <v>15.01</v>
      </c>
      <c r="E1591" s="880">
        <f>[30]MW!E1154</f>
        <v>15.01</v>
      </c>
      <c r="F1591" s="880">
        <f>[30]MW!F1154</f>
        <v>15.01</v>
      </c>
      <c r="G1591" s="880">
        <f>[30]MW!G1154</f>
        <v>15.01</v>
      </c>
      <c r="H1591" s="880">
        <f>[30]MW!H1154</f>
        <v>15.01</v>
      </c>
      <c r="I1591" s="880">
        <f>[30]MW!I1154</f>
        <v>15.01</v>
      </c>
      <c r="J1591" s="880">
        <f>[30]MW!J1154</f>
        <v>15.01</v>
      </c>
      <c r="K1591" s="880">
        <f>[30]MW!K1154</f>
        <v>15.01</v>
      </c>
      <c r="L1591" s="880">
        <f>[30]MW!L1154</f>
        <v>15.01</v>
      </c>
      <c r="M1591" s="880">
        <f>[30]MW!M1154</f>
        <v>15.01</v>
      </c>
      <c r="N1591" s="25">
        <f t="shared" si="684"/>
        <v>180.11999999999998</v>
      </c>
    </row>
    <row r="1592" spans="1:14">
      <c r="A1592" s="2">
        <f t="shared" si="681"/>
        <v>2039</v>
      </c>
      <c r="B1592" s="880">
        <f>[30]MW!B1155</f>
        <v>15.01</v>
      </c>
      <c r="C1592" s="880">
        <f>[30]MW!C1155</f>
        <v>15.01</v>
      </c>
      <c r="D1592" s="880">
        <f>[30]MW!D1155</f>
        <v>15.01</v>
      </c>
      <c r="E1592" s="880">
        <f>[30]MW!E1155</f>
        <v>15.01</v>
      </c>
      <c r="F1592" s="880">
        <f>[30]MW!F1155</f>
        <v>15.01</v>
      </c>
      <c r="G1592" s="880">
        <f>[30]MW!G1155</f>
        <v>15.01</v>
      </c>
      <c r="H1592" s="880">
        <f>[30]MW!H1155</f>
        <v>15.01</v>
      </c>
      <c r="I1592" s="880">
        <f>[30]MW!I1155</f>
        <v>15.01</v>
      </c>
      <c r="J1592" s="880">
        <f>[30]MW!J1155</f>
        <v>15.01</v>
      </c>
      <c r="K1592" s="880">
        <f>[30]MW!K1155</f>
        <v>15.01</v>
      </c>
      <c r="L1592" s="880">
        <f>[30]MW!L1155</f>
        <v>15.01</v>
      </c>
      <c r="M1592" s="880">
        <f>[30]MW!M1155</f>
        <v>15.01</v>
      </c>
      <c r="N1592" s="25">
        <f t="shared" si="684"/>
        <v>180.11999999999998</v>
      </c>
    </row>
    <row r="1593" spans="1:14">
      <c r="A1593" s="2">
        <f t="shared" si="681"/>
        <v>2040</v>
      </c>
      <c r="B1593" s="880">
        <f>[30]MW!B1156</f>
        <v>15.01</v>
      </c>
      <c r="C1593" s="880">
        <f>[30]MW!C1156</f>
        <v>15.01</v>
      </c>
      <c r="D1593" s="880">
        <f>[30]MW!D1156</f>
        <v>15.01</v>
      </c>
      <c r="E1593" s="880">
        <f>[30]MW!E1156</f>
        <v>15.01</v>
      </c>
      <c r="F1593" s="880">
        <f>[30]MW!F1156</f>
        <v>15.01</v>
      </c>
      <c r="G1593" s="880">
        <f>[30]MW!G1156</f>
        <v>15.01</v>
      </c>
      <c r="H1593" s="880">
        <f>[30]MW!H1156</f>
        <v>15.01</v>
      </c>
      <c r="I1593" s="880">
        <f>[30]MW!I1156</f>
        <v>15.01</v>
      </c>
      <c r="J1593" s="880">
        <f>[30]MW!J1156</f>
        <v>15.01</v>
      </c>
      <c r="K1593" s="880">
        <f>[30]MW!K1156</f>
        <v>15.01</v>
      </c>
      <c r="L1593" s="880">
        <f>[30]MW!L1156</f>
        <v>15.01</v>
      </c>
      <c r="M1593" s="880">
        <f>[30]MW!M1156</f>
        <v>15.01</v>
      </c>
      <c r="N1593" s="25">
        <f t="shared" si="684"/>
        <v>180.11999999999998</v>
      </c>
    </row>
    <row r="1594" spans="1:14">
      <c r="A1594" s="2">
        <f t="shared" si="681"/>
        <v>2041</v>
      </c>
    </row>
    <row r="1595" spans="1:14">
      <c r="A1595" s="2">
        <f t="shared" si="681"/>
        <v>2042</v>
      </c>
    </row>
    <row r="1596" spans="1:14">
      <c r="A1596" s="2">
        <f t="shared" si="681"/>
        <v>2043</v>
      </c>
    </row>
    <row r="1597" spans="1:14">
      <c r="A1597" s="2">
        <f t="shared" si="681"/>
        <v>2044</v>
      </c>
    </row>
    <row r="1598" spans="1:14">
      <c r="A1598" s="2">
        <f>A1558</f>
        <v>2045</v>
      </c>
    </row>
    <row r="1601" spans="1:14">
      <c r="A1601" s="879" t="s">
        <v>588</v>
      </c>
      <c r="B1601" s="37"/>
      <c r="C1601" s="37"/>
      <c r="D1601" s="37"/>
      <c r="E1601" s="37"/>
      <c r="F1601" s="37"/>
      <c r="G1601" s="37"/>
      <c r="H1601" s="37"/>
      <c r="I1601" s="37"/>
      <c r="J1601" s="37"/>
      <c r="K1601" s="30" t="s">
        <v>311</v>
      </c>
      <c r="L1601" s="37"/>
      <c r="M1601" s="37"/>
      <c r="N1601" s="37"/>
    </row>
    <row r="1602" spans="1:14">
      <c r="A1602" s="326" t="s">
        <v>9</v>
      </c>
      <c r="B1602" s="333" t="s">
        <v>28</v>
      </c>
      <c r="C1602" s="333" t="s">
        <v>29</v>
      </c>
      <c r="D1602" s="333" t="s">
        <v>30</v>
      </c>
      <c r="E1602" s="333" t="s">
        <v>31</v>
      </c>
      <c r="F1602" s="333" t="s">
        <v>32</v>
      </c>
      <c r="G1602" s="333" t="s">
        <v>33</v>
      </c>
      <c r="H1602" s="333" t="s">
        <v>34</v>
      </c>
      <c r="I1602" s="333" t="s">
        <v>35</v>
      </c>
      <c r="J1602" s="333" t="s">
        <v>36</v>
      </c>
      <c r="K1602" s="333" t="s">
        <v>37</v>
      </c>
      <c r="L1602" s="333" t="s">
        <v>38</v>
      </c>
      <c r="M1602" s="333" t="s">
        <v>39</v>
      </c>
      <c r="N1602" s="334" t="s">
        <v>56</v>
      </c>
    </row>
    <row r="1603" spans="1:14">
      <c r="A1603" s="2">
        <f>A1563</f>
        <v>2010</v>
      </c>
      <c r="B1603" s="34">
        <f>[30]MW!B1166</f>
        <v>24.771999999999998</v>
      </c>
      <c r="C1603" s="34">
        <f>[30]MW!C1166</f>
        <v>18.260999999999999</v>
      </c>
      <c r="D1603" s="34">
        <f>[30]MW!D1166</f>
        <v>16.991</v>
      </c>
      <c r="E1603" s="34">
        <f>[30]MW!E1166</f>
        <v>13.433999999999999</v>
      </c>
      <c r="F1603" s="34">
        <f>[30]MW!F1166</f>
        <v>19.401</v>
      </c>
      <c r="G1603" s="34">
        <f>[30]MW!G1166</f>
        <v>21.940999999999999</v>
      </c>
      <c r="H1603" s="34">
        <f>[30]MW!H1166</f>
        <v>21.300999999999998</v>
      </c>
      <c r="I1603" s="34">
        <f>[30]MW!I1166</f>
        <v>21.353999999999999</v>
      </c>
      <c r="J1603" s="34">
        <f>[30]MW!J1166</f>
        <v>20.204000000000001</v>
      </c>
      <c r="K1603" s="34">
        <f>[30]MW!K1166</f>
        <v>18.04</v>
      </c>
      <c r="L1603" s="34">
        <f>[30]MW!L1166</f>
        <v>13.224</v>
      </c>
      <c r="M1603" s="34">
        <f>[30]MW!M1166</f>
        <v>20.6</v>
      </c>
      <c r="N1603" s="25">
        <f t="shared" ref="N1603:N1613" si="685">SUM(B1603:M1603)</f>
        <v>229.52299999999997</v>
      </c>
    </row>
    <row r="1604" spans="1:14">
      <c r="A1604" s="2">
        <f t="shared" ref="A1604:A1638" si="686">A1564</f>
        <v>2011</v>
      </c>
      <c r="B1604" s="1081">
        <f>[30]MW!B1167</f>
        <v>23</v>
      </c>
      <c r="C1604" s="1081">
        <f>[30]MW!C1167</f>
        <v>22</v>
      </c>
      <c r="D1604" s="1081">
        <f>[30]MW!D1167</f>
        <v>16</v>
      </c>
      <c r="E1604" s="1081">
        <f>[30]MW!E1167</f>
        <v>12</v>
      </c>
      <c r="F1604" s="1081">
        <f>[30]MW!F1167</f>
        <v>18</v>
      </c>
      <c r="G1604" s="1081">
        <f>[30]MW!G1167</f>
        <v>18</v>
      </c>
      <c r="H1604" s="1081">
        <f>[30]MW!H1167</f>
        <v>20</v>
      </c>
      <c r="I1604" s="1081">
        <f>[30]MW!I1167</f>
        <v>20</v>
      </c>
      <c r="J1604" s="1081">
        <f>[30]MW!J1167</f>
        <v>20</v>
      </c>
      <c r="K1604" s="1081">
        <f>[30]MW!K1167</f>
        <v>18</v>
      </c>
      <c r="L1604" s="1081">
        <f>[30]MW!L1167</f>
        <v>13</v>
      </c>
      <c r="M1604" s="1081">
        <f>[30]MW!M1167</f>
        <v>16</v>
      </c>
      <c r="N1604" s="25">
        <f t="shared" si="685"/>
        <v>216</v>
      </c>
    </row>
    <row r="1605" spans="1:14">
      <c r="A1605" s="2">
        <f t="shared" si="686"/>
        <v>2012</v>
      </c>
      <c r="B1605" s="1081">
        <f>[30]MW!B1168</f>
        <v>19</v>
      </c>
      <c r="C1605" s="1081">
        <f>[30]MW!C1168</f>
        <v>18</v>
      </c>
      <c r="D1605" s="1081">
        <f>[30]MW!D1168</f>
        <v>15</v>
      </c>
      <c r="E1605" s="1081">
        <f>[30]MW!E1168</f>
        <v>16</v>
      </c>
      <c r="F1605" s="1081">
        <f>[30]MW!F1168</f>
        <v>18</v>
      </c>
      <c r="G1605" s="1081">
        <f>[30]MW!G1168</f>
        <v>19</v>
      </c>
      <c r="H1605" s="1081">
        <f>[30]MW!H1168</f>
        <v>20</v>
      </c>
      <c r="I1605" s="1081">
        <f>[30]MW!I1168</f>
        <v>20</v>
      </c>
      <c r="J1605" s="1081">
        <f>[30]MW!J1168</f>
        <v>20</v>
      </c>
      <c r="K1605" s="1081">
        <f>[30]MW!K1168</f>
        <v>18</v>
      </c>
      <c r="L1605" s="1081">
        <f>[30]MW!L1168</f>
        <v>13</v>
      </c>
      <c r="M1605" s="1081">
        <f>[30]MW!M1168</f>
        <v>16</v>
      </c>
      <c r="N1605" s="25">
        <f t="shared" si="685"/>
        <v>212</v>
      </c>
    </row>
    <row r="1606" spans="1:14">
      <c r="A1606" s="2">
        <f t="shared" si="686"/>
        <v>2013</v>
      </c>
      <c r="B1606" s="1081">
        <f>[30]MW!B1169</f>
        <v>23.59</v>
      </c>
      <c r="C1606" s="1081">
        <f>[30]MW!C1169</f>
        <v>18.77</v>
      </c>
      <c r="D1606" s="1081">
        <f>[30]MW!D1169</f>
        <v>14.01</v>
      </c>
      <c r="E1606" s="1081">
        <f>[30]MW!E1169</f>
        <v>16.62</v>
      </c>
      <c r="F1606" s="1081">
        <f>[30]MW!F1169</f>
        <v>18.38</v>
      </c>
      <c r="G1606" s="1081">
        <f>[30]MW!G1169</f>
        <v>18.55</v>
      </c>
      <c r="H1606" s="1081">
        <f>[30]MW!H1169</f>
        <v>19.79</v>
      </c>
      <c r="I1606" s="1081">
        <f>[30]MW!I1169</f>
        <v>20.010000000000002</v>
      </c>
      <c r="J1606" s="1081">
        <f>[30]MW!J1169</f>
        <v>19.87</v>
      </c>
      <c r="K1606" s="1081">
        <f>[30]MW!K1169</f>
        <v>17.86</v>
      </c>
      <c r="L1606" s="1081">
        <f>[30]MW!L1169</f>
        <v>13.35</v>
      </c>
      <c r="M1606" s="1081">
        <f>[30]MW!M1169</f>
        <v>16.32</v>
      </c>
      <c r="N1606" s="25">
        <f t="shared" si="685"/>
        <v>217.11999999999998</v>
      </c>
    </row>
    <row r="1607" spans="1:14">
      <c r="A1607" s="2">
        <f t="shared" si="686"/>
        <v>2014</v>
      </c>
      <c r="B1607" s="1081">
        <f>[30]MW!B1170</f>
        <v>23.63</v>
      </c>
      <c r="C1607" s="1081">
        <f>[30]MW!C1170</f>
        <v>18.8</v>
      </c>
      <c r="D1607" s="1081">
        <f>[30]MW!D1170</f>
        <v>14.03</v>
      </c>
      <c r="E1607" s="1081">
        <f>[30]MW!E1170</f>
        <v>16.649999999999999</v>
      </c>
      <c r="F1607" s="1081">
        <f>[30]MW!F1170</f>
        <v>18.41</v>
      </c>
      <c r="G1607" s="1081">
        <f>[30]MW!G1170</f>
        <v>18.57</v>
      </c>
      <c r="H1607" s="1081">
        <f>[30]MW!H1170</f>
        <v>19.82</v>
      </c>
      <c r="I1607" s="1081">
        <f>[30]MW!I1170</f>
        <v>20.04</v>
      </c>
      <c r="J1607" s="1081">
        <f>[30]MW!J1170</f>
        <v>19.899999999999999</v>
      </c>
      <c r="K1607" s="1081">
        <f>[30]MW!K1170</f>
        <v>17.89</v>
      </c>
      <c r="L1607" s="1081">
        <f>[30]MW!L1170</f>
        <v>13.37</v>
      </c>
      <c r="M1607" s="1081">
        <f>[30]MW!M1170</f>
        <v>16.350000000000001</v>
      </c>
      <c r="N1607" s="25">
        <f t="shared" si="685"/>
        <v>217.46</v>
      </c>
    </row>
    <row r="1608" spans="1:14">
      <c r="A1608" s="2">
        <f t="shared" si="686"/>
        <v>2015</v>
      </c>
      <c r="B1608" s="1081">
        <f>[30]MW!B1171</f>
        <v>23.67</v>
      </c>
      <c r="C1608" s="1081">
        <f>[30]MW!C1171</f>
        <v>18.829999999999998</v>
      </c>
      <c r="D1608" s="1081">
        <f>[30]MW!D1171</f>
        <v>14.05</v>
      </c>
      <c r="E1608" s="1081">
        <f>[30]MW!E1171</f>
        <v>16.670000000000002</v>
      </c>
      <c r="F1608" s="1081">
        <f>[30]MW!F1171</f>
        <v>18.440000000000001</v>
      </c>
      <c r="G1608" s="1081">
        <f>[30]MW!G1171</f>
        <v>18.600000000000001</v>
      </c>
      <c r="H1608" s="1081">
        <f>[30]MW!H1171</f>
        <v>19.850000000000001</v>
      </c>
      <c r="I1608" s="1081">
        <f>[30]MW!I1171</f>
        <v>20.07</v>
      </c>
      <c r="J1608" s="1081">
        <f>[30]MW!J1171</f>
        <v>19.93</v>
      </c>
      <c r="K1608" s="1081">
        <f>[30]MW!K1171</f>
        <v>17.920000000000002</v>
      </c>
      <c r="L1608" s="1081">
        <f>[30]MW!L1171</f>
        <v>13.39</v>
      </c>
      <c r="M1608" s="1081">
        <f>[30]MW!M1171</f>
        <v>16.37</v>
      </c>
      <c r="N1608" s="25">
        <f t="shared" si="685"/>
        <v>217.78999999999996</v>
      </c>
    </row>
    <row r="1609" spans="1:14">
      <c r="A1609" s="2">
        <f t="shared" si="686"/>
        <v>2016</v>
      </c>
      <c r="B1609" s="1081">
        <f>[30]MW!B1172</f>
        <v>23.7</v>
      </c>
      <c r="C1609" s="1081">
        <f>[30]MW!C1172</f>
        <v>18.86</v>
      </c>
      <c r="D1609" s="1081">
        <f>[30]MW!D1172</f>
        <v>14.07</v>
      </c>
      <c r="E1609" s="1081">
        <f>[30]MW!E1172</f>
        <v>16.7</v>
      </c>
      <c r="F1609" s="1081">
        <f>[30]MW!F1172</f>
        <v>18.47</v>
      </c>
      <c r="G1609" s="1081">
        <f>[30]MW!G1172</f>
        <v>18.63</v>
      </c>
      <c r="H1609" s="1081">
        <f>[30]MW!H1172</f>
        <v>19.88</v>
      </c>
      <c r="I1609" s="1081">
        <f>[30]MW!I1172</f>
        <v>20.100000000000001</v>
      </c>
      <c r="J1609" s="1081">
        <f>[30]MW!J1172</f>
        <v>19.96</v>
      </c>
      <c r="K1609" s="1081">
        <f>[30]MW!K1172</f>
        <v>17.940000000000001</v>
      </c>
      <c r="L1609" s="1081">
        <f>[30]MW!L1172</f>
        <v>13.41</v>
      </c>
      <c r="M1609" s="1081">
        <f>[30]MW!M1172</f>
        <v>16.399999999999999</v>
      </c>
      <c r="N1609" s="25">
        <f t="shared" si="685"/>
        <v>218.12</v>
      </c>
    </row>
    <row r="1610" spans="1:14">
      <c r="A1610" s="2">
        <f t="shared" si="686"/>
        <v>2017</v>
      </c>
      <c r="B1610" s="1081">
        <f>[30]MW!B1173</f>
        <v>0</v>
      </c>
      <c r="C1610" s="1081">
        <f>[30]MW!C1173</f>
        <v>0</v>
      </c>
      <c r="D1610" s="1081">
        <f>[30]MW!D1173</f>
        <v>0</v>
      </c>
      <c r="E1610" s="1081">
        <f>[30]MW!E1173</f>
        <v>0</v>
      </c>
      <c r="F1610" s="1081">
        <f>[30]MW!F1173</f>
        <v>0</v>
      </c>
      <c r="G1610" s="1081">
        <f>[30]MW!G1173</f>
        <v>0</v>
      </c>
      <c r="H1610" s="1081">
        <f>[30]MW!H1173</f>
        <v>0</v>
      </c>
      <c r="I1610" s="1081">
        <f>[30]MW!I1173</f>
        <v>0</v>
      </c>
      <c r="J1610" s="1081">
        <f>[30]MW!J1173</f>
        <v>0</v>
      </c>
      <c r="K1610" s="1081">
        <f>[30]MW!K1173</f>
        <v>0</v>
      </c>
      <c r="L1610" s="1081">
        <f>[30]MW!L1173</f>
        <v>0</v>
      </c>
      <c r="M1610" s="1081">
        <f>[30]MW!M1173</f>
        <v>0</v>
      </c>
      <c r="N1610" s="25">
        <f t="shared" si="685"/>
        <v>0</v>
      </c>
    </row>
    <row r="1611" spans="1:14">
      <c r="A1611" s="2">
        <f t="shared" si="686"/>
        <v>2018</v>
      </c>
      <c r="B1611" s="880">
        <f>[30]MW!B1174</f>
        <v>0</v>
      </c>
      <c r="C1611" s="880">
        <f>[30]MW!C1174</f>
        <v>0</v>
      </c>
      <c r="D1611" s="880">
        <f>[30]MW!D1174</f>
        <v>0</v>
      </c>
      <c r="E1611" s="880">
        <f>[30]MW!E1174</f>
        <v>0</v>
      </c>
      <c r="F1611" s="880">
        <f>[30]MW!F1174</f>
        <v>0</v>
      </c>
      <c r="G1611" s="880">
        <f>[30]MW!G1174</f>
        <v>0</v>
      </c>
      <c r="H1611" s="880">
        <f>[30]MW!H1174</f>
        <v>0</v>
      </c>
      <c r="I1611" s="880">
        <f>[30]MW!I1174</f>
        <v>0</v>
      </c>
      <c r="J1611" s="880">
        <f>[30]MW!J1174</f>
        <v>0</v>
      </c>
      <c r="K1611" s="880">
        <f>[30]MW!K1174</f>
        <v>0</v>
      </c>
      <c r="L1611" s="880">
        <f>[30]MW!L1174</f>
        <v>0</v>
      </c>
      <c r="M1611" s="880">
        <f>[30]MW!M1174</f>
        <v>0</v>
      </c>
      <c r="N1611" s="25">
        <f t="shared" si="685"/>
        <v>0</v>
      </c>
    </row>
    <row r="1612" spans="1:14">
      <c r="A1612" s="2">
        <f t="shared" si="686"/>
        <v>2019</v>
      </c>
      <c r="B1612" s="880">
        <f>[30]MW!B1175</f>
        <v>0</v>
      </c>
      <c r="C1612" s="880">
        <f>[30]MW!C1175</f>
        <v>0</v>
      </c>
      <c r="D1612" s="880">
        <f>[30]MW!D1175</f>
        <v>0</v>
      </c>
      <c r="E1612" s="880">
        <f>[30]MW!E1175</f>
        <v>0</v>
      </c>
      <c r="F1612" s="880">
        <f>[30]MW!F1175</f>
        <v>0</v>
      </c>
      <c r="G1612" s="880">
        <f>[30]MW!G1175</f>
        <v>0</v>
      </c>
      <c r="H1612" s="880">
        <f>[30]MW!H1175</f>
        <v>0</v>
      </c>
      <c r="I1612" s="880">
        <f>[30]MW!I1175</f>
        <v>0</v>
      </c>
      <c r="J1612" s="880">
        <f>[30]MW!J1175</f>
        <v>0</v>
      </c>
      <c r="K1612" s="880">
        <f>[30]MW!K1175</f>
        <v>0</v>
      </c>
      <c r="L1612" s="880">
        <f>[30]MW!L1175</f>
        <v>0</v>
      </c>
      <c r="M1612" s="880">
        <f>[30]MW!M1175</f>
        <v>0</v>
      </c>
      <c r="N1612" s="25">
        <f t="shared" si="685"/>
        <v>0</v>
      </c>
    </row>
    <row r="1613" spans="1:14">
      <c r="A1613" s="2">
        <f t="shared" si="686"/>
        <v>2020</v>
      </c>
      <c r="B1613" s="880">
        <f>[30]MW!B1176</f>
        <v>0</v>
      </c>
      <c r="C1613" s="880">
        <f>[30]MW!C1176</f>
        <v>0</v>
      </c>
      <c r="D1613" s="880">
        <f>[30]MW!D1176</f>
        <v>0</v>
      </c>
      <c r="E1613" s="880">
        <f>[30]MW!E1176</f>
        <v>0</v>
      </c>
      <c r="F1613" s="880">
        <f>[30]MW!F1176</f>
        <v>0</v>
      </c>
      <c r="G1613" s="880">
        <f>[30]MW!G1176</f>
        <v>0</v>
      </c>
      <c r="H1613" s="880">
        <f>[30]MW!H1176</f>
        <v>0</v>
      </c>
      <c r="I1613" s="880">
        <f>[30]MW!I1176</f>
        <v>0</v>
      </c>
      <c r="J1613" s="880">
        <f>[30]MW!J1176</f>
        <v>0</v>
      </c>
      <c r="K1613" s="880">
        <f>[30]MW!K1176</f>
        <v>0</v>
      </c>
      <c r="L1613" s="880">
        <f>[30]MW!L1176</f>
        <v>0</v>
      </c>
      <c r="M1613" s="880">
        <f>[30]MW!M1176</f>
        <v>0</v>
      </c>
      <c r="N1613" s="25">
        <f t="shared" si="685"/>
        <v>0</v>
      </c>
    </row>
    <row r="1614" spans="1:14">
      <c r="A1614" s="2">
        <f t="shared" si="686"/>
        <v>2021</v>
      </c>
      <c r="B1614" s="880">
        <f>[30]MW!B1177</f>
        <v>0</v>
      </c>
      <c r="C1614" s="880">
        <f>[30]MW!C1177</f>
        <v>0</v>
      </c>
      <c r="D1614" s="880">
        <f>[30]MW!D1177</f>
        <v>0</v>
      </c>
      <c r="E1614" s="880">
        <f>[30]MW!E1177</f>
        <v>0</v>
      </c>
      <c r="F1614" s="880">
        <f>[30]MW!F1177</f>
        <v>0</v>
      </c>
      <c r="G1614" s="880">
        <f>[30]MW!G1177</f>
        <v>0</v>
      </c>
      <c r="H1614" s="880">
        <f>[30]MW!H1177</f>
        <v>0</v>
      </c>
      <c r="I1614" s="880">
        <f>[30]MW!I1177</f>
        <v>0</v>
      </c>
      <c r="J1614" s="880">
        <f>[30]MW!J1177</f>
        <v>0</v>
      </c>
      <c r="K1614" s="880">
        <f>[30]MW!K1177</f>
        <v>0</v>
      </c>
      <c r="L1614" s="880">
        <f>[30]MW!L1177</f>
        <v>0</v>
      </c>
      <c r="M1614" s="880">
        <f>[30]MW!M1177</f>
        <v>0</v>
      </c>
      <c r="N1614" s="25">
        <f t="shared" ref="N1614:N1619" si="687">SUM(B1614:M1614)</f>
        <v>0</v>
      </c>
    </row>
    <row r="1615" spans="1:14">
      <c r="A1615" s="2">
        <f t="shared" si="686"/>
        <v>2022</v>
      </c>
      <c r="B1615" s="880">
        <f>[30]MW!B1178</f>
        <v>0</v>
      </c>
      <c r="C1615" s="880">
        <f>[30]MW!C1178</f>
        <v>0</v>
      </c>
      <c r="D1615" s="880">
        <f>[30]MW!D1178</f>
        <v>0</v>
      </c>
      <c r="E1615" s="880">
        <f>[30]MW!E1178</f>
        <v>0</v>
      </c>
      <c r="F1615" s="880">
        <f>[30]MW!F1178</f>
        <v>0</v>
      </c>
      <c r="G1615" s="880">
        <f>[30]MW!G1178</f>
        <v>0</v>
      </c>
      <c r="H1615" s="880">
        <f>[30]MW!H1178</f>
        <v>0</v>
      </c>
      <c r="I1615" s="880">
        <f>[30]MW!I1178</f>
        <v>0</v>
      </c>
      <c r="J1615" s="880">
        <f>[30]MW!J1178</f>
        <v>0</v>
      </c>
      <c r="K1615" s="880">
        <f>[30]MW!K1178</f>
        <v>0</v>
      </c>
      <c r="L1615" s="880">
        <f>[30]MW!L1178</f>
        <v>0</v>
      </c>
      <c r="M1615" s="880">
        <f>[30]MW!M1178</f>
        <v>0</v>
      </c>
      <c r="N1615" s="25">
        <f t="shared" si="687"/>
        <v>0</v>
      </c>
    </row>
    <row r="1616" spans="1:14">
      <c r="A1616" s="2">
        <f t="shared" si="686"/>
        <v>2023</v>
      </c>
      <c r="B1616" s="880">
        <f>[30]MW!B1179</f>
        <v>0</v>
      </c>
      <c r="C1616" s="880">
        <f>[30]MW!C1179</f>
        <v>0</v>
      </c>
      <c r="D1616" s="880">
        <f>[30]MW!D1179</f>
        <v>0</v>
      </c>
      <c r="E1616" s="880">
        <f>[30]MW!E1179</f>
        <v>0</v>
      </c>
      <c r="F1616" s="880">
        <f>[30]MW!F1179</f>
        <v>0</v>
      </c>
      <c r="G1616" s="880">
        <f>[30]MW!G1179</f>
        <v>0</v>
      </c>
      <c r="H1616" s="880">
        <f>[30]MW!H1179</f>
        <v>0</v>
      </c>
      <c r="I1616" s="880">
        <f>[30]MW!I1179</f>
        <v>0</v>
      </c>
      <c r="J1616" s="880">
        <f>[30]MW!J1179</f>
        <v>0</v>
      </c>
      <c r="K1616" s="880">
        <f>[30]MW!K1179</f>
        <v>0</v>
      </c>
      <c r="L1616" s="880">
        <f>[30]MW!L1179</f>
        <v>0</v>
      </c>
      <c r="M1616" s="880">
        <f>[30]MW!M1179</f>
        <v>0</v>
      </c>
      <c r="N1616" s="25">
        <f t="shared" si="687"/>
        <v>0</v>
      </c>
    </row>
    <row r="1617" spans="1:14">
      <c r="A1617" s="2">
        <f t="shared" si="686"/>
        <v>2024</v>
      </c>
      <c r="B1617" s="880">
        <f>[30]MW!B1180</f>
        <v>0</v>
      </c>
      <c r="C1617" s="880">
        <f>[30]MW!C1180</f>
        <v>0</v>
      </c>
      <c r="D1617" s="880">
        <f>[30]MW!D1180</f>
        <v>0</v>
      </c>
      <c r="E1617" s="880">
        <f>[30]MW!E1180</f>
        <v>0</v>
      </c>
      <c r="F1617" s="880">
        <f>[30]MW!F1180</f>
        <v>0</v>
      </c>
      <c r="G1617" s="880">
        <f>[30]MW!G1180</f>
        <v>0</v>
      </c>
      <c r="H1617" s="880">
        <f>[30]MW!H1180</f>
        <v>0</v>
      </c>
      <c r="I1617" s="880">
        <f>[30]MW!I1180</f>
        <v>0</v>
      </c>
      <c r="J1617" s="880">
        <f>[30]MW!J1180</f>
        <v>0</v>
      </c>
      <c r="K1617" s="880">
        <f>[30]MW!K1180</f>
        <v>0</v>
      </c>
      <c r="L1617" s="880">
        <f>[30]MW!L1180</f>
        <v>0</v>
      </c>
      <c r="M1617" s="880">
        <f>[30]MW!M1180</f>
        <v>0</v>
      </c>
      <c r="N1617" s="25">
        <f t="shared" si="687"/>
        <v>0</v>
      </c>
    </row>
    <row r="1618" spans="1:14">
      <c r="A1618" s="2">
        <f t="shared" si="686"/>
        <v>2025</v>
      </c>
      <c r="B1618" s="880">
        <f>[30]MW!B1181</f>
        <v>0</v>
      </c>
      <c r="C1618" s="880">
        <f>[30]MW!C1181</f>
        <v>0</v>
      </c>
      <c r="D1618" s="880">
        <f>[30]MW!D1181</f>
        <v>0</v>
      </c>
      <c r="E1618" s="880">
        <f>[30]MW!E1181</f>
        <v>0</v>
      </c>
      <c r="F1618" s="880">
        <f>[30]MW!F1181</f>
        <v>0</v>
      </c>
      <c r="G1618" s="880">
        <f>[30]MW!G1181</f>
        <v>0</v>
      </c>
      <c r="H1618" s="880">
        <f>[30]MW!H1181</f>
        <v>0</v>
      </c>
      <c r="I1618" s="880">
        <f>[30]MW!I1181</f>
        <v>0</v>
      </c>
      <c r="J1618" s="880">
        <f>[30]MW!J1181</f>
        <v>0</v>
      </c>
      <c r="K1618" s="880">
        <f>[30]MW!K1181</f>
        <v>0</v>
      </c>
      <c r="L1618" s="880">
        <f>[30]MW!L1181</f>
        <v>0</v>
      </c>
      <c r="M1618" s="880">
        <f>[30]MW!M1181</f>
        <v>0</v>
      </c>
      <c r="N1618" s="25">
        <f t="shared" si="687"/>
        <v>0</v>
      </c>
    </row>
    <row r="1619" spans="1:14">
      <c r="A1619" s="2">
        <f t="shared" si="686"/>
        <v>2026</v>
      </c>
      <c r="B1619" s="880">
        <f>[30]MW!B1182</f>
        <v>0</v>
      </c>
      <c r="C1619" s="880">
        <f>[30]MW!C1182</f>
        <v>0</v>
      </c>
      <c r="D1619" s="880">
        <f>[30]MW!D1182</f>
        <v>0</v>
      </c>
      <c r="E1619" s="880">
        <f>[30]MW!E1182</f>
        <v>0</v>
      </c>
      <c r="F1619" s="880">
        <f>[30]MW!F1182</f>
        <v>0</v>
      </c>
      <c r="G1619" s="880">
        <f>[30]MW!G1182</f>
        <v>0</v>
      </c>
      <c r="H1619" s="880">
        <f>[30]MW!H1182</f>
        <v>0</v>
      </c>
      <c r="I1619" s="880">
        <f>[30]MW!I1182</f>
        <v>0</v>
      </c>
      <c r="J1619" s="880">
        <f>[30]MW!J1182</f>
        <v>0</v>
      </c>
      <c r="K1619" s="880">
        <f>[30]MW!K1182</f>
        <v>0</v>
      </c>
      <c r="L1619" s="880">
        <f>[30]MW!L1182</f>
        <v>0</v>
      </c>
      <c r="M1619" s="880">
        <f>[30]MW!M1182</f>
        <v>0</v>
      </c>
      <c r="N1619" s="25">
        <f t="shared" si="687"/>
        <v>0</v>
      </c>
    </row>
    <row r="1620" spans="1:14">
      <c r="A1620" s="2">
        <f t="shared" si="686"/>
        <v>2027</v>
      </c>
      <c r="B1620" s="880">
        <f>[30]MW!B1183</f>
        <v>0</v>
      </c>
      <c r="C1620" s="880">
        <f>[30]MW!C1183</f>
        <v>0</v>
      </c>
      <c r="D1620" s="880">
        <f>[30]MW!D1183</f>
        <v>0</v>
      </c>
      <c r="E1620" s="880">
        <f>[30]MW!E1183</f>
        <v>0</v>
      </c>
      <c r="F1620" s="880">
        <f>[30]MW!F1183</f>
        <v>0</v>
      </c>
      <c r="G1620" s="880">
        <f>[30]MW!G1183</f>
        <v>0</v>
      </c>
      <c r="H1620" s="880">
        <f>[30]MW!H1183</f>
        <v>0</v>
      </c>
      <c r="I1620" s="880">
        <f>[30]MW!I1183</f>
        <v>0</v>
      </c>
      <c r="J1620" s="880">
        <f>[30]MW!J1183</f>
        <v>0</v>
      </c>
      <c r="K1620" s="880">
        <f>[30]MW!K1183</f>
        <v>0</v>
      </c>
      <c r="L1620" s="880">
        <f>[30]MW!L1183</f>
        <v>0</v>
      </c>
      <c r="M1620" s="880">
        <f>[30]MW!M1183</f>
        <v>0</v>
      </c>
      <c r="N1620" s="25">
        <f>SUM(B1620:M1620)</f>
        <v>0</v>
      </c>
    </row>
    <row r="1621" spans="1:14">
      <c r="A1621" s="2">
        <f t="shared" si="686"/>
        <v>2028</v>
      </c>
      <c r="B1621" s="880">
        <f>[30]MW!B1184</f>
        <v>0</v>
      </c>
      <c r="C1621" s="880">
        <f>[30]MW!C1184</f>
        <v>0</v>
      </c>
      <c r="D1621" s="880">
        <f>[30]MW!D1184</f>
        <v>0</v>
      </c>
      <c r="E1621" s="880">
        <f>[30]MW!E1184</f>
        <v>0</v>
      </c>
      <c r="F1621" s="880">
        <f>[30]MW!F1184</f>
        <v>0</v>
      </c>
      <c r="G1621" s="880">
        <f>[30]MW!G1184</f>
        <v>0</v>
      </c>
      <c r="H1621" s="880">
        <f>[30]MW!H1184</f>
        <v>0</v>
      </c>
      <c r="I1621" s="880">
        <f>[30]MW!I1184</f>
        <v>0</v>
      </c>
      <c r="J1621" s="880">
        <f>[30]MW!J1184</f>
        <v>0</v>
      </c>
      <c r="K1621" s="880">
        <f>[30]MW!K1184</f>
        <v>0</v>
      </c>
      <c r="L1621" s="880">
        <f>[30]MW!L1184</f>
        <v>0</v>
      </c>
      <c r="M1621" s="880">
        <f>[30]MW!M1184</f>
        <v>0</v>
      </c>
      <c r="N1621" s="25">
        <f>SUM(B1621:M1621)</f>
        <v>0</v>
      </c>
    </row>
    <row r="1622" spans="1:14">
      <c r="A1622" s="2">
        <f t="shared" si="686"/>
        <v>2029</v>
      </c>
      <c r="B1622" s="880">
        <f>[30]MW!B1185</f>
        <v>0</v>
      </c>
      <c r="C1622" s="880">
        <f>[30]MW!C1185</f>
        <v>0</v>
      </c>
      <c r="D1622" s="880">
        <f>[30]MW!D1185</f>
        <v>0</v>
      </c>
      <c r="E1622" s="880">
        <f>[30]MW!E1185</f>
        <v>0</v>
      </c>
      <c r="F1622" s="880">
        <f>[30]MW!F1185</f>
        <v>0</v>
      </c>
      <c r="G1622" s="880">
        <f>[30]MW!G1185</f>
        <v>0</v>
      </c>
      <c r="H1622" s="880">
        <f>[30]MW!H1185</f>
        <v>0</v>
      </c>
      <c r="I1622" s="880">
        <f>[30]MW!I1185</f>
        <v>0</v>
      </c>
      <c r="J1622" s="880">
        <f>[30]MW!J1185</f>
        <v>0</v>
      </c>
      <c r="K1622" s="880">
        <f>[30]MW!K1185</f>
        <v>0</v>
      </c>
      <c r="L1622" s="880">
        <f>[30]MW!L1185</f>
        <v>0</v>
      </c>
      <c r="M1622" s="880">
        <f>[30]MW!M1185</f>
        <v>0</v>
      </c>
      <c r="N1622" s="25">
        <f>SUM(B1622:M1622)</f>
        <v>0</v>
      </c>
    </row>
    <row r="1623" spans="1:14">
      <c r="A1623" s="2">
        <f t="shared" si="686"/>
        <v>2030</v>
      </c>
      <c r="B1623" s="880">
        <f>[30]MW!B1186</f>
        <v>0</v>
      </c>
      <c r="C1623" s="880">
        <f>[30]MW!C1186</f>
        <v>0</v>
      </c>
      <c r="D1623" s="880">
        <f>[30]MW!D1186</f>
        <v>0</v>
      </c>
      <c r="E1623" s="880">
        <f>[30]MW!E1186</f>
        <v>0</v>
      </c>
      <c r="F1623" s="880">
        <f>[30]MW!F1186</f>
        <v>0</v>
      </c>
      <c r="G1623" s="880">
        <f>[30]MW!G1186</f>
        <v>0</v>
      </c>
      <c r="H1623" s="880">
        <f>[30]MW!H1186</f>
        <v>0</v>
      </c>
      <c r="I1623" s="880">
        <f>[30]MW!I1186</f>
        <v>0</v>
      </c>
      <c r="J1623" s="880">
        <f>[30]MW!J1186</f>
        <v>0</v>
      </c>
      <c r="K1623" s="880">
        <f>[30]MW!K1186</f>
        <v>0</v>
      </c>
      <c r="L1623" s="880">
        <f>[30]MW!L1186</f>
        <v>0</v>
      </c>
      <c r="M1623" s="880">
        <f>[30]MW!M1186</f>
        <v>0</v>
      </c>
      <c r="N1623" s="25">
        <f>SUM(B1623:M1623)</f>
        <v>0</v>
      </c>
    </row>
    <row r="1624" spans="1:14">
      <c r="A1624" s="2">
        <f t="shared" si="686"/>
        <v>2031</v>
      </c>
      <c r="B1624" s="880">
        <f>[30]MW!B1187</f>
        <v>0</v>
      </c>
      <c r="C1624" s="880">
        <f>[30]MW!C1187</f>
        <v>0</v>
      </c>
      <c r="D1624" s="880">
        <f>[30]MW!D1187</f>
        <v>0</v>
      </c>
      <c r="E1624" s="880">
        <f>[30]MW!E1187</f>
        <v>0</v>
      </c>
      <c r="F1624" s="880">
        <f>[30]MW!F1187</f>
        <v>0</v>
      </c>
      <c r="G1624" s="880">
        <f>[30]MW!G1187</f>
        <v>0</v>
      </c>
      <c r="H1624" s="880">
        <f>[30]MW!H1187</f>
        <v>0</v>
      </c>
      <c r="I1624" s="880">
        <f>[30]MW!I1187</f>
        <v>0</v>
      </c>
      <c r="J1624" s="880">
        <f>[30]MW!J1187</f>
        <v>0</v>
      </c>
      <c r="K1624" s="880">
        <f>[30]MW!K1187</f>
        <v>0</v>
      </c>
      <c r="L1624" s="880">
        <f>[30]MW!L1187</f>
        <v>0</v>
      </c>
      <c r="M1624" s="880">
        <f>[30]MW!M1187</f>
        <v>0</v>
      </c>
      <c r="N1624" s="25">
        <f t="shared" ref="N1624:N1633" si="688">SUM(B1624:M1624)</f>
        <v>0</v>
      </c>
    </row>
    <row r="1625" spans="1:14">
      <c r="A1625" s="2">
        <f t="shared" si="686"/>
        <v>2032</v>
      </c>
      <c r="B1625" s="880">
        <f>[30]MW!B1188</f>
        <v>0</v>
      </c>
      <c r="C1625" s="880">
        <f>[30]MW!C1188</f>
        <v>0</v>
      </c>
      <c r="D1625" s="880">
        <f>[30]MW!D1188</f>
        <v>0</v>
      </c>
      <c r="E1625" s="880">
        <f>[30]MW!E1188</f>
        <v>0</v>
      </c>
      <c r="F1625" s="880">
        <f>[30]MW!F1188</f>
        <v>0</v>
      </c>
      <c r="G1625" s="880">
        <f>[30]MW!G1188</f>
        <v>0</v>
      </c>
      <c r="H1625" s="880">
        <f>[30]MW!H1188</f>
        <v>0</v>
      </c>
      <c r="I1625" s="880">
        <f>[30]MW!I1188</f>
        <v>0</v>
      </c>
      <c r="J1625" s="880">
        <f>[30]MW!J1188</f>
        <v>0</v>
      </c>
      <c r="K1625" s="880">
        <f>[30]MW!K1188</f>
        <v>0</v>
      </c>
      <c r="L1625" s="880">
        <f>[30]MW!L1188</f>
        <v>0</v>
      </c>
      <c r="M1625" s="880">
        <f>[30]MW!M1188</f>
        <v>0</v>
      </c>
      <c r="N1625" s="25">
        <f t="shared" si="688"/>
        <v>0</v>
      </c>
    </row>
    <row r="1626" spans="1:14">
      <c r="A1626" s="2">
        <f t="shared" si="686"/>
        <v>2033</v>
      </c>
      <c r="B1626" s="880">
        <f>[30]MW!B1189</f>
        <v>0</v>
      </c>
      <c r="C1626" s="880">
        <f>[30]MW!C1189</f>
        <v>0</v>
      </c>
      <c r="D1626" s="880">
        <f>[30]MW!D1189</f>
        <v>0</v>
      </c>
      <c r="E1626" s="880">
        <f>[30]MW!E1189</f>
        <v>0</v>
      </c>
      <c r="F1626" s="880">
        <f>[30]MW!F1189</f>
        <v>0</v>
      </c>
      <c r="G1626" s="880">
        <f>[30]MW!G1189</f>
        <v>0</v>
      </c>
      <c r="H1626" s="880">
        <f>[30]MW!H1189</f>
        <v>0</v>
      </c>
      <c r="I1626" s="880">
        <f>[30]MW!I1189</f>
        <v>0</v>
      </c>
      <c r="J1626" s="880">
        <f>[30]MW!J1189</f>
        <v>0</v>
      </c>
      <c r="K1626" s="880">
        <f>[30]MW!K1189</f>
        <v>0</v>
      </c>
      <c r="L1626" s="880">
        <f>[30]MW!L1189</f>
        <v>0</v>
      </c>
      <c r="M1626" s="880">
        <f>[30]MW!M1189</f>
        <v>0</v>
      </c>
      <c r="N1626" s="25">
        <f t="shared" si="688"/>
        <v>0</v>
      </c>
    </row>
    <row r="1627" spans="1:14">
      <c r="A1627" s="2">
        <f t="shared" si="686"/>
        <v>2034</v>
      </c>
      <c r="B1627" s="880">
        <f>[30]MW!B1190</f>
        <v>0</v>
      </c>
      <c r="C1627" s="880">
        <f>[30]MW!C1190</f>
        <v>0</v>
      </c>
      <c r="D1627" s="880">
        <f>[30]MW!D1190</f>
        <v>0</v>
      </c>
      <c r="E1627" s="880">
        <f>[30]MW!E1190</f>
        <v>0</v>
      </c>
      <c r="F1627" s="880">
        <f>[30]MW!F1190</f>
        <v>0</v>
      </c>
      <c r="G1627" s="880">
        <f>[30]MW!G1190</f>
        <v>0</v>
      </c>
      <c r="H1627" s="880">
        <f>[30]MW!H1190</f>
        <v>0</v>
      </c>
      <c r="I1627" s="880">
        <f>[30]MW!I1190</f>
        <v>0</v>
      </c>
      <c r="J1627" s="880">
        <f>[30]MW!J1190</f>
        <v>0</v>
      </c>
      <c r="K1627" s="880">
        <f>[30]MW!K1190</f>
        <v>0</v>
      </c>
      <c r="L1627" s="880">
        <f>[30]MW!L1190</f>
        <v>0</v>
      </c>
      <c r="M1627" s="880">
        <f>[30]MW!M1190</f>
        <v>0</v>
      </c>
      <c r="N1627" s="25">
        <f t="shared" si="688"/>
        <v>0</v>
      </c>
    </row>
    <row r="1628" spans="1:14">
      <c r="A1628" s="2">
        <f t="shared" si="686"/>
        <v>2035</v>
      </c>
      <c r="B1628" s="880">
        <f>[30]MW!B1191</f>
        <v>0</v>
      </c>
      <c r="C1628" s="880">
        <f>[30]MW!C1191</f>
        <v>0</v>
      </c>
      <c r="D1628" s="880">
        <f>[30]MW!D1191</f>
        <v>0</v>
      </c>
      <c r="E1628" s="880">
        <f>[30]MW!E1191</f>
        <v>0</v>
      </c>
      <c r="F1628" s="880">
        <f>[30]MW!F1191</f>
        <v>0</v>
      </c>
      <c r="G1628" s="880">
        <f>[30]MW!G1191</f>
        <v>0</v>
      </c>
      <c r="H1628" s="880">
        <f>[30]MW!H1191</f>
        <v>0</v>
      </c>
      <c r="I1628" s="880">
        <f>[30]MW!I1191</f>
        <v>0</v>
      </c>
      <c r="J1628" s="880">
        <f>[30]MW!J1191</f>
        <v>0</v>
      </c>
      <c r="K1628" s="880">
        <f>[30]MW!K1191</f>
        <v>0</v>
      </c>
      <c r="L1628" s="880">
        <f>[30]MW!L1191</f>
        <v>0</v>
      </c>
      <c r="M1628" s="880">
        <f>[30]MW!M1191</f>
        <v>0</v>
      </c>
      <c r="N1628" s="25">
        <f t="shared" si="688"/>
        <v>0</v>
      </c>
    </row>
    <row r="1629" spans="1:14">
      <c r="A1629" s="2">
        <f t="shared" si="686"/>
        <v>2036</v>
      </c>
      <c r="B1629" s="880">
        <f>[30]MW!B1192</f>
        <v>0</v>
      </c>
      <c r="C1629" s="880">
        <f>[30]MW!C1192</f>
        <v>0</v>
      </c>
      <c r="D1629" s="880">
        <f>[30]MW!D1192</f>
        <v>0</v>
      </c>
      <c r="E1629" s="880">
        <f>[30]MW!E1192</f>
        <v>0</v>
      </c>
      <c r="F1629" s="880">
        <f>[30]MW!F1192</f>
        <v>0</v>
      </c>
      <c r="G1629" s="880">
        <f>[30]MW!G1192</f>
        <v>0</v>
      </c>
      <c r="H1629" s="880">
        <f>[30]MW!H1192</f>
        <v>0</v>
      </c>
      <c r="I1629" s="880">
        <f>[30]MW!I1192</f>
        <v>0</v>
      </c>
      <c r="J1629" s="880">
        <f>[30]MW!J1192</f>
        <v>0</v>
      </c>
      <c r="K1629" s="880">
        <f>[30]MW!K1192</f>
        <v>0</v>
      </c>
      <c r="L1629" s="880">
        <f>[30]MW!L1192</f>
        <v>0</v>
      </c>
      <c r="M1629" s="880">
        <f>[30]MW!M1192</f>
        <v>0</v>
      </c>
      <c r="N1629" s="25">
        <f t="shared" si="688"/>
        <v>0</v>
      </c>
    </row>
    <row r="1630" spans="1:14">
      <c r="A1630" s="2">
        <f t="shared" si="686"/>
        <v>2037</v>
      </c>
      <c r="B1630" s="880">
        <f>[30]MW!B1193</f>
        <v>0</v>
      </c>
      <c r="C1630" s="880">
        <f>[30]MW!C1193</f>
        <v>0</v>
      </c>
      <c r="D1630" s="880">
        <f>[30]MW!D1193</f>
        <v>0</v>
      </c>
      <c r="E1630" s="880">
        <f>[30]MW!E1193</f>
        <v>0</v>
      </c>
      <c r="F1630" s="880">
        <f>[30]MW!F1193</f>
        <v>0</v>
      </c>
      <c r="G1630" s="880">
        <f>[30]MW!G1193</f>
        <v>0</v>
      </c>
      <c r="H1630" s="880">
        <f>[30]MW!H1193</f>
        <v>0</v>
      </c>
      <c r="I1630" s="880">
        <f>[30]MW!I1193</f>
        <v>0</v>
      </c>
      <c r="J1630" s="880">
        <f>[30]MW!J1193</f>
        <v>0</v>
      </c>
      <c r="K1630" s="880">
        <f>[30]MW!K1193</f>
        <v>0</v>
      </c>
      <c r="L1630" s="880">
        <f>[30]MW!L1193</f>
        <v>0</v>
      </c>
      <c r="M1630" s="880">
        <f>[30]MW!M1193</f>
        <v>0</v>
      </c>
      <c r="N1630" s="25">
        <f t="shared" si="688"/>
        <v>0</v>
      </c>
    </row>
    <row r="1631" spans="1:14">
      <c r="A1631" s="2">
        <f t="shared" si="686"/>
        <v>2038</v>
      </c>
      <c r="B1631" s="880">
        <f>[30]MW!B1194</f>
        <v>0</v>
      </c>
      <c r="C1631" s="880">
        <f>[30]MW!C1194</f>
        <v>0</v>
      </c>
      <c r="D1631" s="880">
        <f>[30]MW!D1194</f>
        <v>0</v>
      </c>
      <c r="E1631" s="880">
        <f>[30]MW!E1194</f>
        <v>0</v>
      </c>
      <c r="F1631" s="880">
        <f>[30]MW!F1194</f>
        <v>0</v>
      </c>
      <c r="G1631" s="880">
        <f>[30]MW!G1194</f>
        <v>0</v>
      </c>
      <c r="H1631" s="880">
        <f>[30]MW!H1194</f>
        <v>0</v>
      </c>
      <c r="I1631" s="880">
        <f>[30]MW!I1194</f>
        <v>0</v>
      </c>
      <c r="J1631" s="880">
        <f>[30]MW!J1194</f>
        <v>0</v>
      </c>
      <c r="K1631" s="880">
        <f>[30]MW!K1194</f>
        <v>0</v>
      </c>
      <c r="L1631" s="880">
        <f>[30]MW!L1194</f>
        <v>0</v>
      </c>
      <c r="M1631" s="880">
        <f>[30]MW!M1194</f>
        <v>0</v>
      </c>
      <c r="N1631" s="25">
        <f t="shared" si="688"/>
        <v>0</v>
      </c>
    </row>
    <row r="1632" spans="1:14">
      <c r="A1632" s="2">
        <f t="shared" si="686"/>
        <v>2039</v>
      </c>
      <c r="B1632" s="880">
        <f>[30]MW!B1195</f>
        <v>0</v>
      </c>
      <c r="C1632" s="880">
        <f>[30]MW!C1195</f>
        <v>0</v>
      </c>
      <c r="D1632" s="880">
        <f>[30]MW!D1195</f>
        <v>0</v>
      </c>
      <c r="E1632" s="880">
        <f>[30]MW!E1195</f>
        <v>0</v>
      </c>
      <c r="F1632" s="880">
        <f>[30]MW!F1195</f>
        <v>0</v>
      </c>
      <c r="G1632" s="880">
        <f>[30]MW!G1195</f>
        <v>0</v>
      </c>
      <c r="H1632" s="880">
        <f>[30]MW!H1195</f>
        <v>0</v>
      </c>
      <c r="I1632" s="880">
        <f>[30]MW!I1195</f>
        <v>0</v>
      </c>
      <c r="J1632" s="880">
        <f>[30]MW!J1195</f>
        <v>0</v>
      </c>
      <c r="K1632" s="880">
        <f>[30]MW!K1195</f>
        <v>0</v>
      </c>
      <c r="L1632" s="880">
        <f>[30]MW!L1195</f>
        <v>0</v>
      </c>
      <c r="M1632" s="880">
        <f>[30]MW!M1195</f>
        <v>0</v>
      </c>
      <c r="N1632" s="25">
        <f t="shared" si="688"/>
        <v>0</v>
      </c>
    </row>
    <row r="1633" spans="1:14">
      <c r="A1633" s="2">
        <f t="shared" si="686"/>
        <v>2040</v>
      </c>
      <c r="B1633" s="880">
        <f>[30]MW!B1196</f>
        <v>0</v>
      </c>
      <c r="C1633" s="880">
        <f>[30]MW!C1196</f>
        <v>0</v>
      </c>
      <c r="D1633" s="880">
        <f>[30]MW!D1196</f>
        <v>0</v>
      </c>
      <c r="E1633" s="880">
        <f>[30]MW!E1196</f>
        <v>0</v>
      </c>
      <c r="F1633" s="880">
        <f>[30]MW!F1196</f>
        <v>0</v>
      </c>
      <c r="G1633" s="880">
        <f>[30]MW!G1196</f>
        <v>0</v>
      </c>
      <c r="H1633" s="880">
        <f>[30]MW!H1196</f>
        <v>0</v>
      </c>
      <c r="I1633" s="880">
        <f>[30]MW!I1196</f>
        <v>0</v>
      </c>
      <c r="J1633" s="880">
        <f>[30]MW!J1196</f>
        <v>0</v>
      </c>
      <c r="K1633" s="880">
        <f>[30]MW!K1196</f>
        <v>0</v>
      </c>
      <c r="L1633" s="880">
        <f>[30]MW!L1196</f>
        <v>0</v>
      </c>
      <c r="M1633" s="880">
        <f>[30]MW!M1196</f>
        <v>0</v>
      </c>
      <c r="N1633" s="25">
        <f t="shared" si="688"/>
        <v>0</v>
      </c>
    </row>
    <row r="1634" spans="1:14">
      <c r="A1634" s="2">
        <f t="shared" si="686"/>
        <v>2041</v>
      </c>
    </row>
    <row r="1635" spans="1:14">
      <c r="A1635" s="2">
        <f t="shared" si="686"/>
        <v>2042</v>
      </c>
    </row>
    <row r="1636" spans="1:14">
      <c r="A1636" s="2">
        <f t="shared" si="686"/>
        <v>2043</v>
      </c>
    </row>
    <row r="1637" spans="1:14">
      <c r="A1637" s="2">
        <f t="shared" si="686"/>
        <v>2044</v>
      </c>
    </row>
    <row r="1638" spans="1:14">
      <c r="A1638" s="2">
        <f t="shared" si="686"/>
        <v>2045</v>
      </c>
    </row>
    <row r="1640" spans="1:14">
      <c r="J1640" s="882" t="s">
        <v>513</v>
      </c>
    </row>
    <row r="1641" spans="1:14">
      <c r="A1641" s="882" t="s">
        <v>587</v>
      </c>
      <c r="B1641" s="37"/>
      <c r="C1641" s="37"/>
      <c r="D1641" s="37"/>
      <c r="E1641" s="37"/>
      <c r="F1641" s="37" t="s">
        <v>512</v>
      </c>
      <c r="G1641" s="37"/>
      <c r="H1641" s="37"/>
      <c r="I1641" s="37"/>
      <c r="J1641" s="37"/>
      <c r="K1641" s="30" t="s">
        <v>311</v>
      </c>
      <c r="L1641" s="37"/>
      <c r="M1641" s="37"/>
      <c r="N1641" s="37"/>
    </row>
    <row r="1642" spans="1:14">
      <c r="A1642" s="326" t="s">
        <v>9</v>
      </c>
      <c r="B1642" s="333" t="s">
        <v>28</v>
      </c>
      <c r="C1642" s="333" t="s">
        <v>29</v>
      </c>
      <c r="D1642" s="333" t="s">
        <v>30</v>
      </c>
      <c r="E1642" s="333" t="s">
        <v>31</v>
      </c>
      <c r="F1642" s="333" t="s">
        <v>32</v>
      </c>
      <c r="G1642" s="333" t="s">
        <v>33</v>
      </c>
      <c r="H1642" s="333" t="s">
        <v>34</v>
      </c>
      <c r="I1642" s="333" t="s">
        <v>35</v>
      </c>
      <c r="J1642" s="333" t="s">
        <v>36</v>
      </c>
      <c r="K1642" s="333" t="s">
        <v>37</v>
      </c>
      <c r="L1642" s="333" t="s">
        <v>38</v>
      </c>
      <c r="M1642" s="333" t="s">
        <v>39</v>
      </c>
      <c r="N1642" s="334" t="s">
        <v>56</v>
      </c>
    </row>
    <row r="1643" spans="1:14">
      <c r="A1643" s="2">
        <f>A1603</f>
        <v>2010</v>
      </c>
      <c r="B1643" s="335">
        <f>[30]MW!B1366+[30]MW!B1406</f>
        <v>103.99699999999999</v>
      </c>
      <c r="C1643" s="335">
        <f>[30]MW!C1366+[30]MW!C1406</f>
        <v>80.314999999999998</v>
      </c>
      <c r="D1643" s="335">
        <f>[30]MW!D1366+[30]MW!D1406</f>
        <v>76.341999999999999</v>
      </c>
      <c r="E1643" s="335">
        <f>[30]MW!E1366+[30]MW!E1406</f>
        <v>50.72</v>
      </c>
      <c r="F1643" s="335">
        <f>[30]MW!F1366+[30]MW!F1406</f>
        <v>72.62</v>
      </c>
      <c r="G1643" s="335">
        <f>[30]MW!G1366+[30]MW!G1406</f>
        <v>85.36</v>
      </c>
      <c r="H1643" s="335">
        <f>[30]MW!H1366+[30]MW!H1406</f>
        <v>80.106999999999999</v>
      </c>
      <c r="I1643" s="335">
        <f>[30]MW!I1366+[30]MW!I1406</f>
        <v>83.787999999999997</v>
      </c>
      <c r="J1643" s="335">
        <f>[30]MW!J1366+[30]MW!J1406</f>
        <v>78.635999999999996</v>
      </c>
      <c r="K1643" s="335">
        <f>[30]MW!K1366+[30]MW!K1406</f>
        <v>67.674000000000007</v>
      </c>
      <c r="L1643" s="335">
        <f>[30]MW!L1366+[30]MW!L1406</f>
        <v>53.004000000000005</v>
      </c>
      <c r="M1643" s="335">
        <f>[30]MW!M1366+[30]MW!M1406</f>
        <v>86.5</v>
      </c>
      <c r="N1643" s="37">
        <f t="shared" ref="N1643:N1649" si="689">SUM(B1643:M1643)</f>
        <v>919.06299999999999</v>
      </c>
    </row>
    <row r="1644" spans="1:14">
      <c r="A1644" s="2">
        <f t="shared" ref="A1644:A1677" si="690">A1604</f>
        <v>2011</v>
      </c>
      <c r="B1644" s="335">
        <f>[30]MW!B1367+[30]MW!B1407</f>
        <v>0</v>
      </c>
      <c r="C1644" s="335">
        <f>[30]MW!C1367+[30]MW!C1407</f>
        <v>0</v>
      </c>
      <c r="D1644" s="335">
        <f>[30]MW!D1367+[30]MW!D1407</f>
        <v>0</v>
      </c>
      <c r="E1644" s="335">
        <f>[30]MW!E1367+[30]MW!E1407</f>
        <v>0</v>
      </c>
      <c r="F1644" s="335">
        <f>[30]MW!F1367+[30]MW!F1407</f>
        <v>0</v>
      </c>
      <c r="G1644" s="335">
        <f>[30]MW!G1367+[30]MW!G1407</f>
        <v>0</v>
      </c>
      <c r="H1644" s="335">
        <f>[30]MW!H1367+[30]MW!H1407</f>
        <v>0</v>
      </c>
      <c r="I1644" s="335">
        <f>[30]MW!I1367+[30]MW!I1407</f>
        <v>0</v>
      </c>
      <c r="J1644" s="335">
        <f>[30]MW!J1367+[30]MW!J1407</f>
        <v>0</v>
      </c>
      <c r="K1644" s="335">
        <f>[30]MW!K1367+[30]MW!K1407</f>
        <v>0</v>
      </c>
      <c r="L1644" s="335">
        <f>[30]MW!L1367+[30]MW!L1407</f>
        <v>0</v>
      </c>
      <c r="M1644" s="335">
        <f>[30]MW!M1367+[30]MW!M1407</f>
        <v>0</v>
      </c>
      <c r="N1644" s="37">
        <f t="shared" si="689"/>
        <v>0</v>
      </c>
    </row>
    <row r="1645" spans="1:14">
      <c r="A1645" s="2">
        <f t="shared" si="690"/>
        <v>2012</v>
      </c>
      <c r="B1645" s="335"/>
      <c r="C1645" s="335"/>
      <c r="D1645" s="335"/>
      <c r="E1645" s="335"/>
      <c r="F1645" s="335"/>
      <c r="G1645" s="335"/>
      <c r="H1645" s="335"/>
      <c r="I1645" s="335"/>
      <c r="J1645" s="335"/>
      <c r="K1645" s="335"/>
      <c r="L1645" s="335"/>
      <c r="M1645" s="335"/>
      <c r="N1645" s="37">
        <f t="shared" si="689"/>
        <v>0</v>
      </c>
    </row>
    <row r="1646" spans="1:14">
      <c r="A1646" s="2">
        <f t="shared" si="690"/>
        <v>2013</v>
      </c>
      <c r="B1646" s="941">
        <f>[30]MW!B1209</f>
        <v>0</v>
      </c>
      <c r="C1646" s="941">
        <f>[30]MW!C1209</f>
        <v>16.010000000000002</v>
      </c>
      <c r="D1646" s="941">
        <f>[30]MW!D1209</f>
        <v>0</v>
      </c>
      <c r="E1646" s="941">
        <f>[30]MW!E1209</f>
        <v>0</v>
      </c>
      <c r="F1646" s="941">
        <f>[30]MW!F1209</f>
        <v>5</v>
      </c>
      <c r="G1646" s="941">
        <f>[30]MW!G1209</f>
        <v>15.01</v>
      </c>
      <c r="H1646" s="941">
        <f>[30]MW!H1209</f>
        <v>18.010000000000002</v>
      </c>
      <c r="I1646" s="941">
        <f>[30]MW!I1209</f>
        <v>19.010000000000002</v>
      </c>
      <c r="J1646" s="941">
        <f>[30]MW!J1209</f>
        <v>9.01</v>
      </c>
      <c r="K1646" s="941">
        <f>[30]MW!K1209</f>
        <v>0</v>
      </c>
      <c r="L1646" s="941">
        <f>[30]MW!L1209</f>
        <v>0</v>
      </c>
      <c r="M1646" s="941">
        <f>[30]MW!M1209</f>
        <v>0</v>
      </c>
      <c r="N1646" s="37">
        <f t="shared" si="689"/>
        <v>82.050000000000011</v>
      </c>
    </row>
    <row r="1647" spans="1:14">
      <c r="A1647" s="2">
        <f t="shared" si="690"/>
        <v>2014</v>
      </c>
      <c r="B1647" s="941">
        <f>[30]MW!B1210</f>
        <v>21.02</v>
      </c>
      <c r="C1647" s="941">
        <f>[30]MW!C1210</f>
        <v>17.010000000000002</v>
      </c>
      <c r="D1647" s="941">
        <f>[30]MW!D1210</f>
        <v>0</v>
      </c>
      <c r="E1647" s="941">
        <f>[30]MW!E1210</f>
        <v>0</v>
      </c>
      <c r="F1647" s="941">
        <f>[30]MW!F1210</f>
        <v>0</v>
      </c>
      <c r="G1647" s="941">
        <f>[30]MW!G1210</f>
        <v>0</v>
      </c>
      <c r="H1647" s="941">
        <f>[30]MW!H1210</f>
        <v>0</v>
      </c>
      <c r="I1647" s="941">
        <f>[30]MW!I1210</f>
        <v>0</v>
      </c>
      <c r="J1647" s="941">
        <f>[30]MW!J1210</f>
        <v>0</v>
      </c>
      <c r="K1647" s="941">
        <f>[30]MW!K1210</f>
        <v>0</v>
      </c>
      <c r="L1647" s="941">
        <f>[30]MW!L1210</f>
        <v>0</v>
      </c>
      <c r="M1647" s="941">
        <f>[30]MW!M1210</f>
        <v>0</v>
      </c>
      <c r="N1647" s="37">
        <f t="shared" si="689"/>
        <v>38.03</v>
      </c>
    </row>
    <row r="1648" spans="1:14">
      <c r="A1648" s="2">
        <f t="shared" si="690"/>
        <v>2015</v>
      </c>
      <c r="B1648" s="335"/>
      <c r="C1648" s="335"/>
      <c r="D1648" s="335"/>
      <c r="E1648" s="335"/>
      <c r="F1648" s="335"/>
      <c r="G1648" s="335"/>
      <c r="H1648" s="335"/>
      <c r="I1648" s="335"/>
      <c r="J1648" s="335"/>
      <c r="K1648" s="335"/>
      <c r="L1648" s="335"/>
      <c r="M1648" s="335"/>
      <c r="N1648" s="37">
        <f t="shared" si="689"/>
        <v>0</v>
      </c>
    </row>
    <row r="1649" spans="1:14">
      <c r="A1649" s="2">
        <f t="shared" si="690"/>
        <v>2016</v>
      </c>
      <c r="B1649" s="335"/>
      <c r="C1649" s="335"/>
      <c r="D1649" s="335"/>
      <c r="E1649" s="335"/>
      <c r="F1649" s="335"/>
      <c r="G1649" s="335"/>
      <c r="H1649" s="335"/>
      <c r="I1649" s="335"/>
      <c r="J1649" s="335"/>
      <c r="K1649" s="335"/>
      <c r="L1649" s="335"/>
      <c r="M1649" s="335"/>
      <c r="N1649" s="37">
        <f t="shared" si="689"/>
        <v>0</v>
      </c>
    </row>
    <row r="1650" spans="1:14">
      <c r="A1650" s="2">
        <f t="shared" si="690"/>
        <v>2017</v>
      </c>
      <c r="B1650" s="335"/>
      <c r="C1650" s="335"/>
      <c r="D1650" s="335"/>
      <c r="E1650" s="335"/>
      <c r="F1650" s="335"/>
      <c r="G1650" s="335"/>
      <c r="H1650" s="335"/>
      <c r="I1650" s="335"/>
      <c r="J1650" s="335"/>
      <c r="K1650" s="335"/>
      <c r="L1650" s="335"/>
      <c r="M1650" s="335"/>
      <c r="N1650" s="37"/>
    </row>
    <row r="1651" spans="1:14">
      <c r="A1651" s="2">
        <f t="shared" si="690"/>
        <v>2018</v>
      </c>
      <c r="B1651" s="335"/>
      <c r="C1651" s="335"/>
      <c r="D1651" s="335"/>
      <c r="E1651" s="335"/>
      <c r="F1651" s="335"/>
      <c r="G1651" s="335"/>
      <c r="H1651" s="335"/>
      <c r="I1651" s="335"/>
      <c r="J1651" s="335"/>
      <c r="K1651" s="335"/>
      <c r="L1651" s="335"/>
      <c r="M1651" s="335"/>
      <c r="N1651" s="37"/>
    </row>
    <row r="1652" spans="1:14">
      <c r="A1652" s="2">
        <f t="shared" si="690"/>
        <v>2019</v>
      </c>
      <c r="B1652" s="335"/>
      <c r="C1652" s="335"/>
      <c r="D1652" s="335"/>
      <c r="E1652" s="335"/>
      <c r="F1652" s="335"/>
      <c r="G1652" s="335"/>
      <c r="H1652" s="335"/>
      <c r="I1652" s="335"/>
      <c r="J1652" s="335"/>
      <c r="K1652" s="335"/>
      <c r="L1652" s="335"/>
      <c r="M1652" s="335"/>
      <c r="N1652" s="37"/>
    </row>
    <row r="1653" spans="1:14">
      <c r="A1653" s="2">
        <f t="shared" si="690"/>
        <v>2020</v>
      </c>
      <c r="B1653" s="335"/>
      <c r="C1653" s="335"/>
      <c r="D1653" s="335"/>
      <c r="E1653" s="335"/>
      <c r="F1653" s="335"/>
      <c r="G1653" s="335"/>
      <c r="H1653" s="335"/>
      <c r="I1653" s="335"/>
      <c r="J1653" s="335"/>
      <c r="K1653" s="335"/>
      <c r="L1653" s="335"/>
      <c r="M1653" s="335"/>
      <c r="N1653" s="37"/>
    </row>
    <row r="1654" spans="1:14">
      <c r="A1654" s="2">
        <f t="shared" si="690"/>
        <v>2021</v>
      </c>
      <c r="B1654" s="335"/>
      <c r="C1654" s="335"/>
      <c r="D1654" s="335"/>
      <c r="E1654" s="335"/>
      <c r="F1654" s="335"/>
      <c r="G1654" s="335"/>
      <c r="H1654" s="335"/>
      <c r="I1654" s="335"/>
      <c r="J1654" s="335"/>
      <c r="K1654" s="335"/>
      <c r="L1654" s="335"/>
      <c r="M1654" s="335"/>
      <c r="N1654" s="37"/>
    </row>
    <row r="1655" spans="1:14">
      <c r="A1655" s="2">
        <f t="shared" si="690"/>
        <v>2022</v>
      </c>
      <c r="B1655" s="335"/>
      <c r="C1655" s="335"/>
      <c r="D1655" s="335"/>
      <c r="E1655" s="335"/>
      <c r="F1655" s="335"/>
      <c r="G1655" s="335"/>
      <c r="H1655" s="335"/>
      <c r="I1655" s="335"/>
      <c r="J1655" s="335"/>
      <c r="K1655" s="335"/>
      <c r="L1655" s="335"/>
      <c r="M1655" s="335"/>
      <c r="N1655" s="37"/>
    </row>
    <row r="1656" spans="1:14">
      <c r="A1656" s="2">
        <f t="shared" si="690"/>
        <v>2023</v>
      </c>
      <c r="B1656" s="881"/>
      <c r="C1656" s="881"/>
      <c r="D1656" s="881"/>
      <c r="E1656" s="881"/>
      <c r="F1656" s="881"/>
      <c r="G1656" s="881"/>
      <c r="H1656" s="881"/>
      <c r="I1656" s="881"/>
      <c r="J1656" s="881"/>
      <c r="K1656" s="881"/>
      <c r="L1656" s="881"/>
      <c r="M1656" s="881"/>
      <c r="N1656" s="37"/>
    </row>
    <row r="1657" spans="1:14">
      <c r="A1657" s="2">
        <f t="shared" si="690"/>
        <v>2024</v>
      </c>
      <c r="B1657" s="881"/>
      <c r="C1657" s="881"/>
      <c r="D1657" s="881"/>
      <c r="E1657" s="881"/>
      <c r="F1657" s="881"/>
      <c r="G1657" s="881"/>
      <c r="H1657" s="881"/>
      <c r="I1657" s="881"/>
      <c r="J1657" s="881"/>
      <c r="K1657" s="881"/>
      <c r="L1657" s="881"/>
      <c r="M1657" s="881"/>
      <c r="N1657" s="37"/>
    </row>
    <row r="1658" spans="1:14">
      <c r="A1658" s="2">
        <f t="shared" si="690"/>
        <v>2025</v>
      </c>
      <c r="B1658" s="881"/>
      <c r="C1658" s="881"/>
      <c r="D1658" s="881"/>
      <c r="E1658" s="881"/>
      <c r="F1658" s="881"/>
      <c r="G1658" s="881"/>
      <c r="H1658" s="881"/>
      <c r="I1658" s="881"/>
      <c r="J1658" s="881"/>
      <c r="K1658" s="881"/>
      <c r="L1658" s="881"/>
      <c r="M1658" s="881"/>
      <c r="N1658" s="37"/>
    </row>
    <row r="1659" spans="1:14">
      <c r="A1659" s="2">
        <f t="shared" si="690"/>
        <v>2026</v>
      </c>
      <c r="B1659" s="881"/>
      <c r="C1659" s="881"/>
      <c r="D1659" s="881"/>
      <c r="E1659" s="881"/>
      <c r="F1659" s="881"/>
      <c r="G1659" s="881"/>
      <c r="H1659" s="881"/>
      <c r="I1659" s="881"/>
      <c r="J1659" s="881"/>
      <c r="K1659" s="881"/>
      <c r="L1659" s="881"/>
      <c r="M1659" s="881"/>
      <c r="N1659" s="37"/>
    </row>
    <row r="1660" spans="1:14">
      <c r="A1660" s="2">
        <f t="shared" si="690"/>
        <v>2027</v>
      </c>
      <c r="B1660" s="881"/>
      <c r="C1660" s="881"/>
      <c r="D1660" s="881"/>
      <c r="E1660" s="881"/>
      <c r="F1660" s="881"/>
      <c r="G1660" s="881"/>
      <c r="H1660" s="881"/>
      <c r="I1660" s="881"/>
      <c r="J1660" s="881"/>
      <c r="K1660" s="881"/>
      <c r="L1660" s="881"/>
      <c r="M1660" s="881"/>
      <c r="N1660" s="37"/>
    </row>
    <row r="1661" spans="1:14">
      <c r="A1661" s="2">
        <f t="shared" si="690"/>
        <v>2028</v>
      </c>
      <c r="B1661" s="881"/>
      <c r="C1661" s="881"/>
      <c r="D1661" s="881"/>
      <c r="E1661" s="881"/>
      <c r="F1661" s="881"/>
      <c r="G1661" s="881"/>
      <c r="H1661" s="881"/>
      <c r="I1661" s="881"/>
      <c r="J1661" s="881"/>
      <c r="K1661" s="881"/>
      <c r="L1661" s="881"/>
      <c r="M1661" s="881"/>
      <c r="N1661" s="37"/>
    </row>
    <row r="1662" spans="1:14">
      <c r="A1662" s="2">
        <f t="shared" si="690"/>
        <v>2029</v>
      </c>
      <c r="B1662" s="881"/>
      <c r="C1662" s="881"/>
      <c r="D1662" s="881"/>
      <c r="E1662" s="881"/>
      <c r="F1662" s="881"/>
      <c r="G1662" s="881"/>
      <c r="H1662" s="881"/>
      <c r="I1662" s="881"/>
      <c r="J1662" s="881"/>
      <c r="K1662" s="881"/>
      <c r="L1662" s="881"/>
      <c r="M1662" s="881"/>
      <c r="N1662" s="37"/>
    </row>
    <row r="1663" spans="1:14">
      <c r="A1663" s="2">
        <f t="shared" si="690"/>
        <v>2030</v>
      </c>
      <c r="B1663" s="881"/>
      <c r="C1663" s="881"/>
      <c r="D1663" s="881"/>
      <c r="E1663" s="881"/>
      <c r="F1663" s="881"/>
      <c r="G1663" s="881"/>
      <c r="H1663" s="881"/>
      <c r="I1663" s="881"/>
      <c r="J1663" s="881"/>
      <c r="K1663" s="881"/>
      <c r="L1663" s="881"/>
      <c r="M1663" s="881"/>
      <c r="N1663" s="37"/>
    </row>
    <row r="1664" spans="1:14">
      <c r="A1664" s="2">
        <f t="shared" si="690"/>
        <v>2031</v>
      </c>
      <c r="B1664" s="881"/>
      <c r="C1664" s="881"/>
      <c r="D1664" s="881"/>
      <c r="E1664" s="881"/>
      <c r="F1664" s="881"/>
      <c r="G1664" s="881"/>
      <c r="H1664" s="881"/>
      <c r="I1664" s="881"/>
      <c r="J1664" s="881"/>
      <c r="K1664" s="881"/>
      <c r="L1664" s="881"/>
      <c r="M1664" s="881"/>
      <c r="N1664" s="37"/>
    </row>
    <row r="1665" spans="1:14">
      <c r="A1665" s="2">
        <f t="shared" si="690"/>
        <v>2032</v>
      </c>
      <c r="B1665" s="881"/>
      <c r="C1665" s="881"/>
      <c r="D1665" s="881"/>
      <c r="E1665" s="881"/>
      <c r="F1665" s="881"/>
      <c r="G1665" s="881"/>
      <c r="H1665" s="881"/>
      <c r="I1665" s="881"/>
      <c r="J1665" s="881"/>
      <c r="K1665" s="881"/>
      <c r="L1665" s="881"/>
      <c r="M1665" s="881"/>
      <c r="N1665" s="37"/>
    </row>
    <row r="1666" spans="1:14">
      <c r="A1666" s="2">
        <f t="shared" si="690"/>
        <v>2033</v>
      </c>
      <c r="B1666" s="881"/>
      <c r="C1666" s="881"/>
      <c r="D1666" s="881"/>
      <c r="E1666" s="881"/>
      <c r="F1666" s="881"/>
      <c r="G1666" s="881"/>
      <c r="H1666" s="881"/>
      <c r="I1666" s="881"/>
      <c r="J1666" s="881"/>
      <c r="K1666" s="881"/>
      <c r="L1666" s="881"/>
      <c r="M1666" s="881"/>
      <c r="N1666" s="37"/>
    </row>
    <row r="1667" spans="1:14">
      <c r="A1667" s="2">
        <f t="shared" si="690"/>
        <v>2034</v>
      </c>
      <c r="B1667" s="881"/>
      <c r="C1667" s="881"/>
      <c r="D1667" s="881"/>
      <c r="E1667" s="881"/>
      <c r="F1667" s="881"/>
      <c r="G1667" s="881"/>
      <c r="H1667" s="881"/>
      <c r="I1667" s="881"/>
      <c r="J1667" s="881"/>
      <c r="K1667" s="881"/>
      <c r="L1667" s="881"/>
      <c r="M1667" s="881"/>
      <c r="N1667" s="37"/>
    </row>
    <row r="1668" spans="1:14">
      <c r="A1668" s="2">
        <f t="shared" si="690"/>
        <v>2035</v>
      </c>
      <c r="B1668" s="881"/>
      <c r="C1668" s="881"/>
      <c r="D1668" s="881"/>
      <c r="E1668" s="881"/>
      <c r="F1668" s="881"/>
      <c r="G1668" s="881"/>
      <c r="H1668" s="881"/>
      <c r="I1668" s="881"/>
      <c r="J1668" s="881"/>
      <c r="K1668" s="881"/>
      <c r="L1668" s="881"/>
      <c r="M1668" s="881"/>
      <c r="N1668" s="37"/>
    </row>
    <row r="1669" spans="1:14">
      <c r="A1669" s="2">
        <f t="shared" si="690"/>
        <v>2036</v>
      </c>
      <c r="B1669" s="881"/>
      <c r="C1669" s="881"/>
      <c r="D1669" s="881"/>
      <c r="E1669" s="881"/>
      <c r="F1669" s="881"/>
      <c r="G1669" s="881"/>
      <c r="H1669" s="881"/>
      <c r="I1669" s="881"/>
      <c r="J1669" s="881"/>
      <c r="K1669" s="881"/>
      <c r="L1669" s="881"/>
      <c r="M1669" s="881"/>
      <c r="N1669" s="37"/>
    </row>
    <row r="1670" spans="1:14">
      <c r="A1670" s="2">
        <f t="shared" si="690"/>
        <v>2037</v>
      </c>
      <c r="B1670" s="881"/>
      <c r="C1670" s="881"/>
      <c r="D1670" s="881"/>
      <c r="E1670" s="881"/>
      <c r="F1670" s="881"/>
      <c r="G1670" s="881"/>
      <c r="H1670" s="881"/>
      <c r="I1670" s="881"/>
      <c r="J1670" s="881"/>
      <c r="K1670" s="881"/>
      <c r="L1670" s="881"/>
      <c r="M1670" s="881"/>
      <c r="N1670" s="37"/>
    </row>
    <row r="1671" spans="1:14">
      <c r="A1671" s="2">
        <f t="shared" si="690"/>
        <v>2038</v>
      </c>
      <c r="B1671" s="881"/>
      <c r="C1671" s="881"/>
      <c r="D1671" s="881"/>
      <c r="E1671" s="881"/>
      <c r="F1671" s="881"/>
      <c r="G1671" s="881"/>
      <c r="H1671" s="881"/>
      <c r="I1671" s="881"/>
      <c r="J1671" s="881"/>
      <c r="K1671" s="881"/>
      <c r="L1671" s="881"/>
      <c r="M1671" s="881"/>
      <c r="N1671" s="37"/>
    </row>
    <row r="1672" spans="1:14">
      <c r="A1672" s="2">
        <f t="shared" si="690"/>
        <v>2039</v>
      </c>
      <c r="B1672" s="881"/>
      <c r="C1672" s="881"/>
      <c r="D1672" s="881"/>
      <c r="E1672" s="881"/>
      <c r="F1672" s="881"/>
      <c r="G1672" s="881"/>
      <c r="H1672" s="881"/>
      <c r="I1672" s="881"/>
      <c r="J1672" s="881"/>
      <c r="K1672" s="881"/>
      <c r="L1672" s="881"/>
      <c r="M1672" s="881"/>
      <c r="N1672" s="37"/>
    </row>
    <row r="1673" spans="1:14">
      <c r="A1673" s="2">
        <f t="shared" si="690"/>
        <v>2040</v>
      </c>
      <c r="B1673" s="881"/>
      <c r="C1673" s="881"/>
      <c r="D1673" s="881"/>
      <c r="E1673" s="881"/>
      <c r="F1673" s="881"/>
      <c r="G1673" s="881"/>
      <c r="H1673" s="881"/>
      <c r="I1673" s="881"/>
      <c r="J1673" s="881"/>
      <c r="K1673" s="881"/>
      <c r="L1673" s="881"/>
      <c r="M1673" s="881"/>
      <c r="N1673" s="37"/>
    </row>
    <row r="1674" spans="1:14">
      <c r="A1674" s="2">
        <f t="shared" si="690"/>
        <v>2041</v>
      </c>
      <c r="B1674" s="881"/>
      <c r="C1674" s="881"/>
      <c r="D1674" s="881"/>
      <c r="E1674" s="881"/>
      <c r="F1674" s="881"/>
      <c r="G1674" s="881"/>
      <c r="H1674" s="881"/>
      <c r="I1674" s="881"/>
      <c r="J1674" s="881"/>
      <c r="K1674" s="881"/>
      <c r="L1674" s="881"/>
      <c r="M1674" s="881"/>
      <c r="N1674" s="37"/>
    </row>
    <row r="1675" spans="1:14">
      <c r="A1675" s="2">
        <f t="shared" si="690"/>
        <v>2042</v>
      </c>
      <c r="B1675" s="881"/>
      <c r="C1675" s="881"/>
      <c r="D1675" s="881"/>
      <c r="E1675" s="881"/>
      <c r="F1675" s="881"/>
      <c r="G1675" s="881"/>
      <c r="H1675" s="881"/>
      <c r="I1675" s="881"/>
      <c r="J1675" s="881"/>
      <c r="K1675" s="881"/>
      <c r="L1675" s="881"/>
      <c r="M1675" s="881"/>
      <c r="N1675" s="37"/>
    </row>
    <row r="1676" spans="1:14">
      <c r="A1676" s="2">
        <f t="shared" si="690"/>
        <v>2043</v>
      </c>
      <c r="B1676" s="881"/>
      <c r="C1676" s="881"/>
      <c r="D1676" s="881"/>
      <c r="E1676" s="881"/>
      <c r="F1676" s="881"/>
      <c r="G1676" s="881"/>
      <c r="H1676" s="881"/>
      <c r="I1676" s="881"/>
      <c r="J1676" s="881"/>
      <c r="K1676" s="881"/>
      <c r="L1676" s="881"/>
      <c r="M1676" s="881"/>
      <c r="N1676" s="37"/>
    </row>
    <row r="1677" spans="1:14">
      <c r="A1677" s="2">
        <f t="shared" si="690"/>
        <v>2044</v>
      </c>
      <c r="B1677" s="881"/>
      <c r="C1677" s="881"/>
      <c r="D1677" s="881"/>
      <c r="E1677" s="881"/>
      <c r="F1677" s="881"/>
      <c r="G1677" s="881"/>
      <c r="H1677" s="881"/>
      <c r="I1677" s="881"/>
      <c r="J1677" s="881"/>
      <c r="K1677" s="881"/>
      <c r="L1677" s="881"/>
      <c r="M1677" s="881"/>
      <c r="N1677" s="37"/>
    </row>
    <row r="1678" spans="1:14">
      <c r="A1678" s="2">
        <f>A1638</f>
        <v>2045</v>
      </c>
    </row>
    <row r="1681" spans="1:14">
      <c r="A1681" s="882" t="s">
        <v>515</v>
      </c>
      <c r="B1681" s="37"/>
      <c r="C1681" s="37"/>
      <c r="E1681" s="37"/>
      <c r="F1681" s="37" t="s">
        <v>514</v>
      </c>
      <c r="G1681" s="37"/>
      <c r="H1681" s="37"/>
      <c r="I1681" s="37"/>
      <c r="J1681" s="37"/>
      <c r="K1681" s="37"/>
      <c r="L1681" s="37"/>
      <c r="M1681" s="37"/>
      <c r="N1681" s="37"/>
    </row>
    <row r="1682" spans="1:14">
      <c r="A1682" s="326" t="s">
        <v>9</v>
      </c>
      <c r="B1682" s="333" t="s">
        <v>28</v>
      </c>
      <c r="C1682" s="333" t="s">
        <v>29</v>
      </c>
      <c r="D1682" s="333" t="s">
        <v>30</v>
      </c>
      <c r="E1682" s="333" t="s">
        <v>31</v>
      </c>
      <c r="F1682" s="333" t="s">
        <v>32</v>
      </c>
      <c r="G1682" s="333" t="s">
        <v>33</v>
      </c>
      <c r="H1682" s="333" t="s">
        <v>34</v>
      </c>
      <c r="I1682" s="333" t="s">
        <v>35</v>
      </c>
      <c r="J1682" s="333" t="s">
        <v>36</v>
      </c>
      <c r="K1682" s="333" t="s">
        <v>37</v>
      </c>
      <c r="L1682" s="333" t="s">
        <v>38</v>
      </c>
      <c r="M1682" s="333" t="s">
        <v>39</v>
      </c>
      <c r="N1682" s="334" t="s">
        <v>56</v>
      </c>
    </row>
    <row r="1683" spans="1:14">
      <c r="A1683" s="2">
        <f>A1643</f>
        <v>2010</v>
      </c>
      <c r="B1683" s="335">
        <v>106.8</v>
      </c>
      <c r="C1683" s="335">
        <v>106.4</v>
      </c>
      <c r="D1683" s="335">
        <v>55.4</v>
      </c>
      <c r="E1683" s="335">
        <v>5.8</v>
      </c>
      <c r="F1683" s="335">
        <v>104</v>
      </c>
      <c r="G1683" s="335">
        <v>80.900000000000006</v>
      </c>
      <c r="H1683" s="335">
        <v>105</v>
      </c>
      <c r="I1683" s="335">
        <v>100.0838115975688</v>
      </c>
      <c r="J1683" s="335">
        <v>65.619605008520807</v>
      </c>
      <c r="K1683" s="335">
        <v>47.026760391910045</v>
      </c>
      <c r="L1683" s="335">
        <v>32.410390801868004</v>
      </c>
      <c r="M1683" s="335">
        <v>49.423290878177568</v>
      </c>
      <c r="N1683" s="37">
        <f t="shared" ref="N1683" si="691">SUM(B1683:M1683)</f>
        <v>858.86385867804529</v>
      </c>
    </row>
    <row r="1684" spans="1:14">
      <c r="A1684" s="2">
        <f t="shared" ref="A1684:A1717" si="692">A1644</f>
        <v>2011</v>
      </c>
      <c r="B1684" s="335"/>
      <c r="C1684" s="335"/>
      <c r="D1684" s="335"/>
      <c r="E1684" s="335"/>
      <c r="F1684" s="335"/>
      <c r="G1684" s="335"/>
      <c r="H1684" s="335"/>
      <c r="I1684" s="335"/>
      <c r="J1684" s="335"/>
      <c r="K1684" s="335"/>
      <c r="L1684" s="335"/>
      <c r="M1684" s="335"/>
      <c r="N1684" s="37"/>
    </row>
    <row r="1685" spans="1:14">
      <c r="A1685" s="2">
        <f t="shared" si="692"/>
        <v>2012</v>
      </c>
      <c r="B1685" s="335"/>
      <c r="C1685" s="335"/>
      <c r="D1685" s="335"/>
      <c r="E1685" s="335"/>
      <c r="F1685" s="335"/>
      <c r="G1685" s="335"/>
      <c r="H1685" s="335"/>
      <c r="I1685" s="335"/>
      <c r="J1685" s="335"/>
      <c r="K1685" s="335"/>
      <c r="L1685" s="335"/>
      <c r="M1685" s="335"/>
      <c r="N1685" s="37"/>
    </row>
    <row r="1686" spans="1:14">
      <c r="A1686" s="2">
        <f t="shared" si="692"/>
        <v>2013</v>
      </c>
      <c r="B1686" s="335"/>
      <c r="C1686" s="335"/>
      <c r="D1686" s="335"/>
      <c r="E1686" s="335"/>
      <c r="F1686" s="335"/>
      <c r="G1686" s="335"/>
      <c r="H1686" s="335"/>
      <c r="I1686" s="335"/>
      <c r="J1686" s="335"/>
      <c r="K1686" s="335"/>
      <c r="L1686" s="335"/>
      <c r="M1686" s="335"/>
      <c r="N1686" s="37"/>
    </row>
    <row r="1687" spans="1:14">
      <c r="A1687" s="2">
        <f t="shared" si="692"/>
        <v>2014</v>
      </c>
      <c r="B1687" s="335"/>
      <c r="C1687" s="335"/>
      <c r="D1687" s="335"/>
      <c r="E1687" s="335"/>
      <c r="F1687" s="335"/>
      <c r="G1687" s="335"/>
      <c r="H1687" s="335"/>
      <c r="I1687" s="335"/>
      <c r="J1687" s="335"/>
      <c r="K1687" s="335"/>
      <c r="L1687" s="335"/>
      <c r="M1687" s="335"/>
      <c r="N1687" s="37"/>
    </row>
    <row r="1688" spans="1:14">
      <c r="A1688" s="2">
        <f t="shared" si="692"/>
        <v>2015</v>
      </c>
      <c r="B1688" s="335"/>
      <c r="C1688" s="335"/>
      <c r="D1688" s="335"/>
      <c r="E1688" s="335"/>
      <c r="F1688" s="335"/>
      <c r="G1688" s="335"/>
      <c r="H1688" s="335"/>
      <c r="I1688" s="335"/>
      <c r="J1688" s="335"/>
      <c r="K1688" s="335"/>
      <c r="L1688" s="335"/>
      <c r="M1688" s="335"/>
      <c r="N1688" s="37"/>
    </row>
    <row r="1689" spans="1:14">
      <c r="A1689" s="2">
        <f t="shared" si="692"/>
        <v>2016</v>
      </c>
      <c r="B1689" s="335"/>
      <c r="C1689" s="335"/>
      <c r="D1689" s="335"/>
      <c r="E1689" s="335"/>
      <c r="F1689" s="335"/>
      <c r="G1689" s="335"/>
      <c r="H1689" s="335"/>
      <c r="I1689" s="335"/>
      <c r="J1689" s="335"/>
      <c r="K1689" s="335"/>
      <c r="L1689" s="335"/>
      <c r="M1689" s="335"/>
      <c r="N1689" s="37"/>
    </row>
    <row r="1690" spans="1:14">
      <c r="A1690" s="2">
        <f t="shared" si="692"/>
        <v>2017</v>
      </c>
      <c r="B1690" s="335"/>
      <c r="C1690" s="335"/>
      <c r="D1690" s="335"/>
      <c r="E1690" s="335"/>
      <c r="F1690" s="335"/>
      <c r="G1690" s="335"/>
      <c r="H1690" s="335"/>
      <c r="I1690" s="335"/>
      <c r="J1690" s="335"/>
      <c r="K1690" s="335"/>
      <c r="L1690" s="335"/>
      <c r="M1690" s="335"/>
      <c r="N1690" s="37"/>
    </row>
    <row r="1691" spans="1:14">
      <c r="A1691" s="2">
        <f t="shared" si="692"/>
        <v>2018</v>
      </c>
      <c r="B1691" s="335"/>
      <c r="C1691" s="335"/>
      <c r="D1691" s="335"/>
      <c r="E1691" s="335"/>
      <c r="F1691" s="335"/>
      <c r="G1691" s="335"/>
      <c r="H1691" s="335"/>
      <c r="I1691" s="335"/>
      <c r="J1691" s="335"/>
      <c r="K1691" s="335"/>
      <c r="L1691" s="335"/>
      <c r="M1691" s="335"/>
      <c r="N1691" s="37"/>
    </row>
    <row r="1692" spans="1:14">
      <c r="A1692" s="2">
        <f t="shared" si="692"/>
        <v>2019</v>
      </c>
      <c r="B1692" s="335"/>
      <c r="C1692" s="335"/>
      <c r="D1692" s="335"/>
      <c r="E1692" s="335"/>
      <c r="F1692" s="335"/>
      <c r="G1692" s="335"/>
      <c r="H1692" s="335"/>
      <c r="I1692" s="335"/>
      <c r="J1692" s="335"/>
      <c r="K1692" s="335"/>
      <c r="L1692" s="335"/>
      <c r="M1692" s="335"/>
      <c r="N1692" s="37"/>
    </row>
    <row r="1693" spans="1:14">
      <c r="A1693" s="2">
        <f t="shared" si="692"/>
        <v>2020</v>
      </c>
      <c r="B1693" s="335"/>
      <c r="C1693" s="335"/>
      <c r="D1693" s="335"/>
      <c r="E1693" s="335"/>
      <c r="F1693" s="335"/>
      <c r="G1693" s="335"/>
      <c r="H1693" s="335"/>
      <c r="I1693" s="335"/>
      <c r="J1693" s="335"/>
      <c r="K1693" s="335"/>
      <c r="L1693" s="335"/>
      <c r="M1693" s="335"/>
      <c r="N1693" s="37"/>
    </row>
    <row r="1694" spans="1:14">
      <c r="A1694" s="2">
        <f t="shared" si="692"/>
        <v>2021</v>
      </c>
      <c r="B1694" s="335"/>
      <c r="C1694" s="335"/>
      <c r="D1694" s="335"/>
      <c r="E1694" s="335"/>
      <c r="F1694" s="335"/>
      <c r="G1694" s="335"/>
      <c r="H1694" s="335"/>
      <c r="I1694" s="335"/>
      <c r="J1694" s="335"/>
      <c r="K1694" s="335"/>
      <c r="L1694" s="335"/>
      <c r="M1694" s="335"/>
      <c r="N1694" s="37"/>
    </row>
    <row r="1695" spans="1:14">
      <c r="A1695" s="2">
        <f t="shared" si="692"/>
        <v>2022</v>
      </c>
      <c r="B1695" s="335"/>
      <c r="C1695" s="335"/>
      <c r="D1695" s="335"/>
      <c r="E1695" s="335"/>
      <c r="F1695" s="335"/>
      <c r="G1695" s="335"/>
      <c r="H1695" s="335"/>
      <c r="I1695" s="335"/>
      <c r="J1695" s="335"/>
      <c r="K1695" s="335"/>
      <c r="L1695" s="335"/>
      <c r="M1695" s="335"/>
      <c r="N1695" s="37"/>
    </row>
    <row r="1696" spans="1:14">
      <c r="A1696" s="2">
        <f t="shared" si="692"/>
        <v>2023</v>
      </c>
      <c r="B1696" s="881"/>
      <c r="C1696" s="881"/>
      <c r="D1696" s="881"/>
      <c r="E1696" s="881"/>
      <c r="F1696" s="881"/>
      <c r="G1696" s="881"/>
      <c r="H1696" s="881"/>
      <c r="I1696" s="881"/>
      <c r="J1696" s="881"/>
      <c r="K1696" s="881"/>
      <c r="L1696" s="881"/>
      <c r="M1696" s="881"/>
      <c r="N1696" s="37"/>
    </row>
    <row r="1697" spans="1:14">
      <c r="A1697" s="2">
        <f t="shared" si="692"/>
        <v>2024</v>
      </c>
      <c r="B1697" s="881"/>
      <c r="C1697" s="881"/>
      <c r="D1697" s="881"/>
      <c r="E1697" s="881"/>
      <c r="F1697" s="881"/>
      <c r="G1697" s="881"/>
      <c r="H1697" s="881"/>
      <c r="I1697" s="881"/>
      <c r="J1697" s="881"/>
      <c r="K1697" s="881"/>
      <c r="L1697" s="881"/>
      <c r="M1697" s="881"/>
      <c r="N1697" s="37"/>
    </row>
    <row r="1698" spans="1:14">
      <c r="A1698" s="2">
        <f t="shared" si="692"/>
        <v>2025</v>
      </c>
      <c r="B1698" s="881"/>
      <c r="C1698" s="881"/>
      <c r="D1698" s="881"/>
      <c r="E1698" s="881"/>
      <c r="F1698" s="881"/>
      <c r="G1698" s="881"/>
      <c r="H1698" s="881"/>
      <c r="I1698" s="881"/>
      <c r="J1698" s="881"/>
      <c r="K1698" s="881"/>
      <c r="L1698" s="881"/>
      <c r="M1698" s="881"/>
      <c r="N1698" s="37"/>
    </row>
    <row r="1699" spans="1:14">
      <c r="A1699" s="2">
        <f t="shared" si="692"/>
        <v>2026</v>
      </c>
      <c r="B1699" s="881"/>
      <c r="C1699" s="881"/>
      <c r="D1699" s="881"/>
      <c r="E1699" s="881"/>
      <c r="F1699" s="881"/>
      <c r="G1699" s="881"/>
      <c r="H1699" s="881"/>
      <c r="I1699" s="881"/>
      <c r="J1699" s="881"/>
      <c r="K1699" s="881"/>
      <c r="L1699" s="881"/>
      <c r="M1699" s="881"/>
      <c r="N1699" s="37"/>
    </row>
    <row r="1700" spans="1:14">
      <c r="A1700" s="2">
        <f t="shared" si="692"/>
        <v>2027</v>
      </c>
      <c r="B1700" s="881"/>
      <c r="C1700" s="881"/>
      <c r="D1700" s="881"/>
      <c r="E1700" s="881"/>
      <c r="F1700" s="881"/>
      <c r="G1700" s="881"/>
      <c r="H1700" s="881"/>
      <c r="I1700" s="881"/>
      <c r="J1700" s="881"/>
      <c r="K1700" s="881"/>
      <c r="L1700" s="881"/>
      <c r="M1700" s="881"/>
      <c r="N1700" s="37"/>
    </row>
    <row r="1701" spans="1:14">
      <c r="A1701" s="2">
        <f t="shared" si="692"/>
        <v>2028</v>
      </c>
      <c r="B1701" s="881"/>
      <c r="C1701" s="881"/>
      <c r="D1701" s="881"/>
      <c r="E1701" s="881"/>
      <c r="F1701" s="881"/>
      <c r="G1701" s="881"/>
      <c r="H1701" s="881"/>
      <c r="I1701" s="881"/>
      <c r="J1701" s="881"/>
      <c r="K1701" s="881"/>
      <c r="L1701" s="881"/>
      <c r="M1701" s="881"/>
      <c r="N1701" s="37"/>
    </row>
    <row r="1702" spans="1:14">
      <c r="A1702" s="2">
        <f t="shared" si="692"/>
        <v>2029</v>
      </c>
      <c r="B1702" s="881"/>
      <c r="C1702" s="881"/>
      <c r="D1702" s="881"/>
      <c r="E1702" s="881"/>
      <c r="F1702" s="881"/>
      <c r="G1702" s="881"/>
      <c r="H1702" s="881"/>
      <c r="I1702" s="881"/>
      <c r="J1702" s="881"/>
      <c r="K1702" s="881"/>
      <c r="L1702" s="881"/>
      <c r="M1702" s="881"/>
      <c r="N1702" s="37"/>
    </row>
    <row r="1703" spans="1:14">
      <c r="A1703" s="2">
        <f t="shared" si="692"/>
        <v>2030</v>
      </c>
      <c r="B1703" s="881"/>
      <c r="C1703" s="881"/>
      <c r="D1703" s="881"/>
      <c r="E1703" s="881"/>
      <c r="F1703" s="881"/>
      <c r="G1703" s="881"/>
      <c r="H1703" s="881"/>
      <c r="I1703" s="881"/>
      <c r="J1703" s="881"/>
      <c r="K1703" s="881"/>
      <c r="L1703" s="881"/>
      <c r="M1703" s="881"/>
      <c r="N1703" s="37"/>
    </row>
    <row r="1704" spans="1:14">
      <c r="A1704" s="2">
        <f t="shared" si="692"/>
        <v>2031</v>
      </c>
      <c r="B1704" s="881"/>
      <c r="C1704" s="881"/>
      <c r="D1704" s="881"/>
      <c r="E1704" s="881"/>
      <c r="F1704" s="881"/>
      <c r="G1704" s="881"/>
      <c r="H1704" s="881"/>
      <c r="I1704" s="881"/>
      <c r="J1704" s="881"/>
      <c r="K1704" s="881"/>
      <c r="L1704" s="881"/>
      <c r="M1704" s="881"/>
      <c r="N1704" s="37"/>
    </row>
    <row r="1705" spans="1:14">
      <c r="A1705" s="2">
        <f t="shared" si="692"/>
        <v>2032</v>
      </c>
      <c r="B1705" s="881"/>
      <c r="C1705" s="881"/>
      <c r="D1705" s="881"/>
      <c r="E1705" s="881"/>
      <c r="F1705" s="881"/>
      <c r="G1705" s="881"/>
      <c r="H1705" s="881"/>
      <c r="I1705" s="881"/>
      <c r="J1705" s="881"/>
      <c r="K1705" s="881"/>
      <c r="L1705" s="881"/>
      <c r="M1705" s="881"/>
      <c r="N1705" s="37"/>
    </row>
    <row r="1706" spans="1:14">
      <c r="A1706" s="2">
        <f t="shared" si="692"/>
        <v>2033</v>
      </c>
      <c r="B1706" s="881"/>
      <c r="C1706" s="881"/>
      <c r="D1706" s="881"/>
      <c r="E1706" s="881"/>
      <c r="F1706" s="881"/>
      <c r="G1706" s="881"/>
      <c r="H1706" s="881"/>
      <c r="I1706" s="881"/>
      <c r="J1706" s="881"/>
      <c r="K1706" s="881"/>
      <c r="L1706" s="881"/>
      <c r="M1706" s="881"/>
      <c r="N1706" s="37"/>
    </row>
    <row r="1707" spans="1:14">
      <c r="A1707" s="2">
        <f t="shared" si="692"/>
        <v>2034</v>
      </c>
      <c r="B1707" s="881"/>
      <c r="C1707" s="881"/>
      <c r="D1707" s="881"/>
      <c r="E1707" s="881"/>
      <c r="F1707" s="881"/>
      <c r="G1707" s="881"/>
      <c r="H1707" s="881"/>
      <c r="I1707" s="881"/>
      <c r="J1707" s="881"/>
      <c r="K1707" s="881"/>
      <c r="L1707" s="881"/>
      <c r="M1707" s="881"/>
      <c r="N1707" s="37"/>
    </row>
    <row r="1708" spans="1:14">
      <c r="A1708" s="2">
        <f t="shared" si="692"/>
        <v>2035</v>
      </c>
      <c r="B1708" s="881"/>
      <c r="C1708" s="881"/>
      <c r="D1708" s="881"/>
      <c r="E1708" s="881"/>
      <c r="F1708" s="881"/>
      <c r="G1708" s="881"/>
      <c r="H1708" s="881"/>
      <c r="I1708" s="881"/>
      <c r="J1708" s="881"/>
      <c r="K1708" s="881"/>
      <c r="L1708" s="881"/>
      <c r="M1708" s="881"/>
      <c r="N1708" s="37"/>
    </row>
    <row r="1709" spans="1:14">
      <c r="A1709" s="2">
        <f t="shared" si="692"/>
        <v>2036</v>
      </c>
      <c r="B1709" s="881"/>
      <c r="C1709" s="881"/>
      <c r="D1709" s="881"/>
      <c r="E1709" s="881"/>
      <c r="F1709" s="881"/>
      <c r="G1709" s="881"/>
      <c r="H1709" s="881"/>
      <c r="I1709" s="881"/>
      <c r="J1709" s="881"/>
      <c r="K1709" s="881"/>
      <c r="L1709" s="881"/>
      <c r="M1709" s="881"/>
      <c r="N1709" s="37"/>
    </row>
    <row r="1710" spans="1:14">
      <c r="A1710" s="2">
        <f t="shared" si="692"/>
        <v>2037</v>
      </c>
      <c r="B1710" s="881"/>
      <c r="C1710" s="881"/>
      <c r="D1710" s="881"/>
      <c r="E1710" s="881"/>
      <c r="F1710" s="881"/>
      <c r="G1710" s="881"/>
      <c r="H1710" s="881"/>
      <c r="I1710" s="881"/>
      <c r="J1710" s="881"/>
      <c r="K1710" s="881"/>
      <c r="L1710" s="881"/>
      <c r="M1710" s="881"/>
      <c r="N1710" s="37"/>
    </row>
    <row r="1711" spans="1:14">
      <c r="A1711" s="2">
        <f t="shared" si="692"/>
        <v>2038</v>
      </c>
      <c r="B1711" s="881"/>
      <c r="C1711" s="881"/>
      <c r="D1711" s="881"/>
      <c r="E1711" s="881"/>
      <c r="F1711" s="881"/>
      <c r="G1711" s="881"/>
      <c r="H1711" s="881"/>
      <c r="I1711" s="881"/>
      <c r="J1711" s="881"/>
      <c r="K1711" s="881"/>
      <c r="L1711" s="881"/>
      <c r="M1711" s="881"/>
      <c r="N1711" s="37"/>
    </row>
    <row r="1712" spans="1:14">
      <c r="A1712" s="2">
        <f t="shared" si="692"/>
        <v>2039</v>
      </c>
      <c r="B1712" s="881"/>
      <c r="C1712" s="881"/>
      <c r="D1712" s="881"/>
      <c r="E1712" s="881"/>
      <c r="F1712" s="881"/>
      <c r="G1712" s="881"/>
      <c r="H1712" s="881"/>
      <c r="I1712" s="881"/>
      <c r="J1712" s="881"/>
      <c r="K1712" s="881"/>
      <c r="L1712" s="881"/>
      <c r="M1712" s="881"/>
      <c r="N1712" s="37"/>
    </row>
    <row r="1713" spans="1:14">
      <c r="A1713" s="2">
        <f t="shared" si="692"/>
        <v>2040</v>
      </c>
      <c r="B1713" s="881"/>
      <c r="C1713" s="881"/>
      <c r="D1713" s="881"/>
      <c r="E1713" s="881"/>
      <c r="F1713" s="881"/>
      <c r="G1713" s="881"/>
      <c r="H1713" s="881"/>
      <c r="I1713" s="881"/>
      <c r="J1713" s="881"/>
      <c r="K1713" s="881"/>
      <c r="L1713" s="881"/>
      <c r="M1713" s="881"/>
      <c r="N1713" s="37"/>
    </row>
    <row r="1714" spans="1:14">
      <c r="A1714" s="2">
        <f t="shared" si="692"/>
        <v>2041</v>
      </c>
      <c r="B1714" s="881"/>
      <c r="C1714" s="881"/>
      <c r="D1714" s="881"/>
      <c r="E1714" s="881"/>
      <c r="F1714" s="881"/>
      <c r="G1714" s="881"/>
      <c r="H1714" s="881"/>
      <c r="I1714" s="881"/>
      <c r="J1714" s="881"/>
      <c r="K1714" s="881"/>
      <c r="L1714" s="881"/>
      <c r="M1714" s="881"/>
      <c r="N1714" s="37"/>
    </row>
    <row r="1715" spans="1:14">
      <c r="A1715" s="2">
        <f t="shared" si="692"/>
        <v>2042</v>
      </c>
      <c r="B1715" s="881"/>
      <c r="C1715" s="881"/>
      <c r="D1715" s="881"/>
      <c r="E1715" s="881"/>
      <c r="F1715" s="881"/>
      <c r="G1715" s="881"/>
      <c r="H1715" s="881"/>
      <c r="I1715" s="881"/>
      <c r="J1715" s="881"/>
      <c r="K1715" s="881"/>
      <c r="L1715" s="881"/>
      <c r="M1715" s="881"/>
      <c r="N1715" s="37"/>
    </row>
    <row r="1716" spans="1:14">
      <c r="A1716" s="2">
        <f t="shared" si="692"/>
        <v>2043</v>
      </c>
      <c r="B1716" s="881"/>
      <c r="C1716" s="881"/>
      <c r="D1716" s="881"/>
      <c r="E1716" s="881"/>
      <c r="F1716" s="881"/>
      <c r="G1716" s="881"/>
      <c r="H1716" s="881"/>
      <c r="I1716" s="881"/>
      <c r="J1716" s="881"/>
      <c r="K1716" s="881"/>
      <c r="L1716" s="881"/>
      <c r="M1716" s="881"/>
      <c r="N1716" s="37"/>
    </row>
    <row r="1717" spans="1:14">
      <c r="A1717" s="2">
        <f t="shared" si="692"/>
        <v>2044</v>
      </c>
      <c r="B1717" s="881"/>
      <c r="C1717" s="881"/>
      <c r="D1717" s="881"/>
      <c r="E1717" s="881"/>
      <c r="F1717" s="881"/>
      <c r="G1717" s="881"/>
      <c r="H1717" s="881"/>
      <c r="I1717" s="881"/>
      <c r="J1717" s="881"/>
      <c r="K1717" s="881"/>
      <c r="L1717" s="881"/>
      <c r="M1717" s="881"/>
      <c r="N1717" s="37"/>
    </row>
    <row r="1718" spans="1:14">
      <c r="A1718" s="2">
        <f>A1678</f>
        <v>2045</v>
      </c>
    </row>
    <row r="1721" spans="1:14">
      <c r="A1721" s="29" t="s">
        <v>306</v>
      </c>
    </row>
    <row r="1722" spans="1:14">
      <c r="A1722" s="27" t="s">
        <v>9</v>
      </c>
      <c r="B1722" s="27" t="s">
        <v>28</v>
      </c>
      <c r="C1722" s="27" t="s">
        <v>29</v>
      </c>
      <c r="D1722" s="27" t="s">
        <v>30</v>
      </c>
      <c r="E1722" s="27" t="s">
        <v>31</v>
      </c>
      <c r="F1722" s="27" t="s">
        <v>32</v>
      </c>
      <c r="G1722" s="27" t="s">
        <v>33</v>
      </c>
      <c r="H1722" s="27" t="s">
        <v>34</v>
      </c>
      <c r="I1722" s="27" t="s">
        <v>35</v>
      </c>
      <c r="J1722" s="27" t="s">
        <v>36</v>
      </c>
      <c r="K1722" s="27" t="s">
        <v>37</v>
      </c>
      <c r="L1722" s="27" t="s">
        <v>38</v>
      </c>
      <c r="M1722" s="27" t="s">
        <v>39</v>
      </c>
      <c r="N1722" s="27" t="s">
        <v>53</v>
      </c>
    </row>
    <row r="1723" spans="1:14">
      <c r="A1723" s="2">
        <f>A1683</f>
        <v>2010</v>
      </c>
      <c r="B1723" s="2">
        <v>-5</v>
      </c>
      <c r="C1723" s="2">
        <v>-5</v>
      </c>
      <c r="D1723" s="2">
        <v>-5</v>
      </c>
      <c r="E1723" s="2">
        <v>-5</v>
      </c>
      <c r="F1723" s="2">
        <v>-5</v>
      </c>
      <c r="G1723" s="2">
        <v>-5</v>
      </c>
      <c r="H1723" s="2">
        <v>-5</v>
      </c>
      <c r="I1723" s="2">
        <v>-5</v>
      </c>
      <c r="J1723" s="2">
        <v>-5</v>
      </c>
      <c r="K1723" s="2">
        <v>-5</v>
      </c>
      <c r="L1723" s="2">
        <v>-5</v>
      </c>
      <c r="M1723" s="2">
        <v>-5</v>
      </c>
    </row>
    <row r="1724" spans="1:14">
      <c r="A1724" s="2">
        <f t="shared" ref="A1724:A1758" si="693">A1684</f>
        <v>2011</v>
      </c>
      <c r="B1724" s="2">
        <v>-5</v>
      </c>
      <c r="C1724" s="2">
        <v>-5</v>
      </c>
      <c r="D1724" s="2">
        <v>-5</v>
      </c>
      <c r="E1724" s="2">
        <v>-5</v>
      </c>
      <c r="F1724" s="2">
        <v>-5</v>
      </c>
      <c r="G1724" s="2">
        <v>-5</v>
      </c>
      <c r="H1724" s="2">
        <v>-5</v>
      </c>
      <c r="I1724" s="2">
        <v>-5</v>
      </c>
      <c r="J1724" s="2">
        <v>-5</v>
      </c>
      <c r="K1724" s="2">
        <v>-5</v>
      </c>
      <c r="L1724" s="2">
        <v>-5</v>
      </c>
      <c r="M1724" s="2">
        <v>-5</v>
      </c>
    </row>
    <row r="1725" spans="1:14">
      <c r="A1725" s="2">
        <f t="shared" si="693"/>
        <v>2012</v>
      </c>
      <c r="B1725" s="2">
        <v>-5</v>
      </c>
      <c r="C1725" s="2">
        <v>-5</v>
      </c>
      <c r="D1725" s="2">
        <v>-5</v>
      </c>
      <c r="E1725" s="2">
        <v>-5</v>
      </c>
      <c r="F1725" s="2">
        <v>-5</v>
      </c>
      <c r="G1725" s="2">
        <v>-5</v>
      </c>
      <c r="H1725" s="2">
        <v>-5</v>
      </c>
      <c r="I1725" s="2">
        <v>-5</v>
      </c>
      <c r="J1725" s="2">
        <v>-5</v>
      </c>
      <c r="K1725" s="2">
        <v>-5</v>
      </c>
      <c r="L1725" s="2">
        <v>-5</v>
      </c>
      <c r="M1725" s="2">
        <v>-5</v>
      </c>
    </row>
    <row r="1726" spans="1:14">
      <c r="A1726" s="2">
        <f t="shared" si="693"/>
        <v>2013</v>
      </c>
      <c r="B1726" s="2">
        <v>-5</v>
      </c>
      <c r="C1726" s="2">
        <v>-5</v>
      </c>
      <c r="D1726" s="2">
        <v>-5</v>
      </c>
      <c r="E1726" s="2">
        <v>-5</v>
      </c>
      <c r="F1726" s="2">
        <v>-5</v>
      </c>
      <c r="G1726" s="2">
        <v>-5</v>
      </c>
      <c r="H1726" s="2">
        <v>-5</v>
      </c>
      <c r="I1726" s="2">
        <v>-5</v>
      </c>
      <c r="J1726" s="2">
        <v>-5</v>
      </c>
      <c r="K1726" s="2">
        <v>-5</v>
      </c>
      <c r="L1726" s="2">
        <v>-5</v>
      </c>
      <c r="M1726" s="2">
        <v>-5</v>
      </c>
    </row>
    <row r="1727" spans="1:14">
      <c r="A1727" s="2">
        <f t="shared" si="693"/>
        <v>2014</v>
      </c>
      <c r="B1727" s="2">
        <v>-5</v>
      </c>
      <c r="C1727" s="2">
        <v>-5</v>
      </c>
      <c r="D1727" s="2">
        <v>-5</v>
      </c>
      <c r="E1727" s="2">
        <v>-5</v>
      </c>
      <c r="F1727" s="2">
        <v>-5</v>
      </c>
      <c r="G1727" s="2">
        <v>-5</v>
      </c>
      <c r="H1727" s="2">
        <v>-5</v>
      </c>
      <c r="I1727" s="2">
        <v>-5</v>
      </c>
      <c r="J1727" s="2">
        <v>-5</v>
      </c>
      <c r="K1727" s="2">
        <v>-5</v>
      </c>
      <c r="L1727" s="2">
        <v>-5</v>
      </c>
      <c r="M1727" s="2">
        <v>-5</v>
      </c>
    </row>
    <row r="1728" spans="1:14">
      <c r="A1728" s="2">
        <f t="shared" si="693"/>
        <v>2015</v>
      </c>
      <c r="B1728" s="2">
        <v>-5</v>
      </c>
      <c r="C1728" s="2">
        <v>-5</v>
      </c>
      <c r="D1728" s="2">
        <v>-5</v>
      </c>
      <c r="E1728" s="2">
        <v>-5</v>
      </c>
      <c r="F1728" s="2">
        <v>-5</v>
      </c>
      <c r="G1728" s="2">
        <v>-5</v>
      </c>
      <c r="H1728" s="2">
        <v>-5</v>
      </c>
      <c r="I1728" s="2">
        <v>-5</v>
      </c>
      <c r="J1728" s="2">
        <v>-5</v>
      </c>
      <c r="K1728" s="2">
        <v>-5</v>
      </c>
      <c r="L1728" s="2">
        <v>-5</v>
      </c>
      <c r="M1728" s="2">
        <v>-5</v>
      </c>
    </row>
    <row r="1729" spans="1:13">
      <c r="A1729" s="2">
        <f t="shared" si="693"/>
        <v>2016</v>
      </c>
      <c r="B1729" s="2">
        <v>-5</v>
      </c>
      <c r="C1729" s="2">
        <v>-5</v>
      </c>
      <c r="D1729" s="2">
        <v>-5</v>
      </c>
      <c r="E1729" s="2">
        <v>-5</v>
      </c>
      <c r="F1729" s="2">
        <v>-5</v>
      </c>
      <c r="G1729" s="2">
        <v>-5</v>
      </c>
      <c r="H1729" s="2">
        <v>-5</v>
      </c>
      <c r="I1729" s="2">
        <v>-5</v>
      </c>
      <c r="J1729" s="2">
        <v>-5</v>
      </c>
      <c r="K1729" s="2">
        <v>-5</v>
      </c>
      <c r="L1729" s="2">
        <v>-5</v>
      </c>
      <c r="M1729" s="2">
        <v>-5</v>
      </c>
    </row>
    <row r="1730" spans="1:13">
      <c r="A1730" s="2">
        <f t="shared" si="693"/>
        <v>2017</v>
      </c>
      <c r="B1730" s="2">
        <v>-5</v>
      </c>
      <c r="C1730" s="2">
        <v>-5</v>
      </c>
      <c r="D1730" s="2">
        <v>-5</v>
      </c>
      <c r="E1730" s="2">
        <v>-5</v>
      </c>
      <c r="F1730" s="2">
        <v>-5</v>
      </c>
      <c r="G1730" s="2">
        <v>-5</v>
      </c>
      <c r="H1730" s="2">
        <v>-5</v>
      </c>
      <c r="I1730" s="2">
        <v>-5</v>
      </c>
      <c r="J1730" s="2">
        <v>-5</v>
      </c>
      <c r="K1730" s="2">
        <v>-5</v>
      </c>
      <c r="L1730" s="2">
        <v>-5</v>
      </c>
      <c r="M1730" s="2">
        <v>-5</v>
      </c>
    </row>
    <row r="1731" spans="1:13">
      <c r="A1731" s="2">
        <f t="shared" si="693"/>
        <v>2018</v>
      </c>
      <c r="B1731" s="2">
        <v>-5</v>
      </c>
      <c r="C1731" s="2">
        <v>-5</v>
      </c>
      <c r="D1731" s="2">
        <v>-5</v>
      </c>
      <c r="E1731" s="2">
        <v>-5</v>
      </c>
      <c r="F1731" s="2">
        <v>-5</v>
      </c>
      <c r="G1731" s="2">
        <v>-5</v>
      </c>
      <c r="H1731" s="2">
        <v>-5</v>
      </c>
      <c r="I1731" s="2">
        <v>-5</v>
      </c>
      <c r="J1731" s="2">
        <v>-5</v>
      </c>
      <c r="K1731" s="2">
        <v>-5</v>
      </c>
      <c r="L1731" s="2">
        <v>-5</v>
      </c>
      <c r="M1731" s="2">
        <v>-5</v>
      </c>
    </row>
    <row r="1732" spans="1:13">
      <c r="A1732" s="2">
        <f t="shared" si="693"/>
        <v>2019</v>
      </c>
      <c r="B1732" s="2">
        <v>-5</v>
      </c>
      <c r="C1732" s="2">
        <v>-5</v>
      </c>
      <c r="D1732" s="2">
        <v>-5</v>
      </c>
      <c r="E1732" s="2">
        <v>-5</v>
      </c>
      <c r="F1732" s="2">
        <v>-5</v>
      </c>
      <c r="G1732" s="2">
        <v>-5</v>
      </c>
      <c r="H1732" s="2">
        <v>-5</v>
      </c>
      <c r="I1732" s="2">
        <v>-5</v>
      </c>
      <c r="J1732" s="2">
        <v>-5</v>
      </c>
      <c r="K1732" s="2">
        <v>-5</v>
      </c>
      <c r="L1732" s="2">
        <v>-5</v>
      </c>
      <c r="M1732" s="2">
        <v>-5</v>
      </c>
    </row>
    <row r="1733" spans="1:13">
      <c r="A1733" s="2">
        <f t="shared" si="693"/>
        <v>2020</v>
      </c>
      <c r="B1733" s="2">
        <v>-5</v>
      </c>
      <c r="C1733" s="2">
        <v>-5</v>
      </c>
      <c r="D1733" s="2">
        <v>-5</v>
      </c>
      <c r="E1733" s="2">
        <v>-5</v>
      </c>
      <c r="F1733" s="2">
        <v>-5</v>
      </c>
      <c r="G1733" s="2">
        <v>-5</v>
      </c>
      <c r="H1733" s="2">
        <v>-5</v>
      </c>
      <c r="I1733" s="2">
        <v>-5</v>
      </c>
      <c r="J1733" s="2">
        <v>-5</v>
      </c>
      <c r="K1733" s="2">
        <v>-5</v>
      </c>
      <c r="L1733" s="2">
        <v>-5</v>
      </c>
      <c r="M1733" s="2">
        <v>-5</v>
      </c>
    </row>
    <row r="1734" spans="1:13">
      <c r="A1734" s="2">
        <f t="shared" si="693"/>
        <v>2021</v>
      </c>
      <c r="B1734" s="2">
        <v>-5</v>
      </c>
      <c r="C1734" s="2">
        <v>-5</v>
      </c>
      <c r="D1734" s="2">
        <v>-5</v>
      </c>
      <c r="E1734" s="2">
        <v>-5</v>
      </c>
      <c r="F1734" s="2">
        <v>-5</v>
      </c>
      <c r="G1734" s="2">
        <v>-5</v>
      </c>
      <c r="H1734" s="2">
        <v>-5</v>
      </c>
      <c r="I1734" s="2">
        <v>-5</v>
      </c>
      <c r="J1734" s="2">
        <v>-5</v>
      </c>
      <c r="K1734" s="2">
        <v>-5</v>
      </c>
      <c r="L1734" s="2">
        <v>-5</v>
      </c>
      <c r="M1734" s="2">
        <v>-5</v>
      </c>
    </row>
    <row r="1735" spans="1:13">
      <c r="A1735" s="2">
        <f t="shared" si="693"/>
        <v>2022</v>
      </c>
      <c r="B1735" s="2">
        <v>-5</v>
      </c>
      <c r="C1735" s="2">
        <v>-5</v>
      </c>
      <c r="D1735" s="2">
        <v>-5</v>
      </c>
      <c r="E1735" s="2">
        <v>-5</v>
      </c>
      <c r="F1735" s="2">
        <v>-5</v>
      </c>
      <c r="G1735" s="2">
        <v>-5</v>
      </c>
      <c r="H1735" s="2">
        <v>-5</v>
      </c>
      <c r="I1735" s="2">
        <v>-5</v>
      </c>
      <c r="J1735" s="2">
        <v>-5</v>
      </c>
      <c r="K1735" s="2">
        <v>-5</v>
      </c>
      <c r="L1735" s="2">
        <v>-5</v>
      </c>
      <c r="M1735" s="2">
        <v>-5</v>
      </c>
    </row>
    <row r="1736" spans="1:13">
      <c r="A1736" s="2">
        <f t="shared" si="693"/>
        <v>2023</v>
      </c>
      <c r="B1736" s="2">
        <v>-5</v>
      </c>
      <c r="C1736" s="2">
        <v>-5</v>
      </c>
      <c r="D1736" s="2">
        <v>-5</v>
      </c>
      <c r="E1736" s="2">
        <v>-5</v>
      </c>
      <c r="F1736" s="2">
        <v>-5</v>
      </c>
      <c r="G1736" s="2">
        <v>-5</v>
      </c>
      <c r="H1736" s="2">
        <v>-5</v>
      </c>
      <c r="I1736" s="2">
        <v>-5</v>
      </c>
      <c r="J1736" s="2">
        <v>-5</v>
      </c>
      <c r="K1736" s="2">
        <v>-5</v>
      </c>
      <c r="L1736" s="2">
        <v>-5</v>
      </c>
      <c r="M1736" s="2">
        <v>-5</v>
      </c>
    </row>
    <row r="1737" spans="1:13">
      <c r="A1737" s="2">
        <f t="shared" si="693"/>
        <v>2024</v>
      </c>
      <c r="B1737" s="2">
        <v>-5</v>
      </c>
      <c r="C1737" s="2">
        <v>-5</v>
      </c>
      <c r="D1737" s="2">
        <v>-5</v>
      </c>
      <c r="E1737" s="2">
        <v>-5</v>
      </c>
      <c r="F1737" s="2">
        <v>-5</v>
      </c>
      <c r="G1737" s="2">
        <v>-5</v>
      </c>
      <c r="H1737" s="2">
        <v>-5</v>
      </c>
      <c r="I1737" s="2">
        <v>-5</v>
      </c>
      <c r="J1737" s="2">
        <v>-5</v>
      </c>
      <c r="K1737" s="2">
        <v>-5</v>
      </c>
      <c r="L1737" s="2">
        <v>-5</v>
      </c>
      <c r="M1737" s="2">
        <v>-5</v>
      </c>
    </row>
    <row r="1738" spans="1:13">
      <c r="A1738" s="2">
        <f t="shared" si="693"/>
        <v>2025</v>
      </c>
      <c r="B1738" s="2">
        <v>-5</v>
      </c>
      <c r="C1738" s="2">
        <v>-5</v>
      </c>
      <c r="D1738" s="2">
        <v>-5</v>
      </c>
      <c r="E1738" s="2">
        <v>-5</v>
      </c>
      <c r="F1738" s="2">
        <v>-5</v>
      </c>
      <c r="G1738" s="2">
        <v>-5</v>
      </c>
      <c r="H1738" s="2">
        <v>-5</v>
      </c>
      <c r="I1738" s="2">
        <v>-5</v>
      </c>
      <c r="J1738" s="2">
        <v>-5</v>
      </c>
      <c r="K1738" s="2">
        <v>-5</v>
      </c>
      <c r="L1738" s="2">
        <v>-5</v>
      </c>
      <c r="M1738" s="2">
        <v>-5</v>
      </c>
    </row>
    <row r="1739" spans="1:13">
      <c r="A1739" s="2">
        <f t="shared" si="693"/>
        <v>2026</v>
      </c>
      <c r="B1739" s="2">
        <v>-5</v>
      </c>
      <c r="C1739" s="2">
        <v>-5</v>
      </c>
      <c r="D1739" s="2">
        <v>-5</v>
      </c>
      <c r="E1739" s="2">
        <v>-5</v>
      </c>
      <c r="F1739" s="2">
        <v>-5</v>
      </c>
      <c r="G1739" s="2">
        <v>-5</v>
      </c>
      <c r="H1739" s="2">
        <v>-5</v>
      </c>
      <c r="I1739" s="2">
        <v>-5</v>
      </c>
      <c r="J1739" s="2">
        <v>-5</v>
      </c>
      <c r="K1739" s="2">
        <v>-5</v>
      </c>
      <c r="L1739" s="2">
        <v>-5</v>
      </c>
      <c r="M1739" s="2">
        <v>-5</v>
      </c>
    </row>
    <row r="1740" spans="1:13">
      <c r="A1740" s="2">
        <f t="shared" si="693"/>
        <v>2027</v>
      </c>
      <c r="B1740" s="2">
        <v>-5</v>
      </c>
      <c r="C1740" s="2">
        <v>-5</v>
      </c>
      <c r="D1740" s="2">
        <v>-5</v>
      </c>
      <c r="E1740" s="2">
        <v>-5</v>
      </c>
      <c r="F1740" s="2">
        <v>-5</v>
      </c>
      <c r="G1740" s="2">
        <v>-5</v>
      </c>
      <c r="H1740" s="2">
        <v>-5</v>
      </c>
      <c r="I1740" s="2">
        <v>-5</v>
      </c>
      <c r="J1740" s="2">
        <v>-5</v>
      </c>
      <c r="K1740" s="2">
        <v>-5</v>
      </c>
      <c r="L1740" s="2">
        <v>-5</v>
      </c>
      <c r="M1740" s="2">
        <v>-5</v>
      </c>
    </row>
    <row r="1741" spans="1:13">
      <c r="A1741" s="2">
        <f t="shared" si="693"/>
        <v>2028</v>
      </c>
      <c r="B1741" s="2">
        <v>-5</v>
      </c>
      <c r="C1741" s="2">
        <v>-5</v>
      </c>
      <c r="D1741" s="2">
        <v>-5</v>
      </c>
      <c r="E1741" s="2">
        <v>-5</v>
      </c>
      <c r="F1741" s="2">
        <v>-5</v>
      </c>
      <c r="G1741" s="2">
        <v>-5</v>
      </c>
      <c r="H1741" s="2">
        <v>-5</v>
      </c>
      <c r="I1741" s="2">
        <v>-5</v>
      </c>
      <c r="J1741" s="2">
        <v>-5</v>
      </c>
      <c r="K1741" s="2">
        <v>-5</v>
      </c>
      <c r="L1741" s="2">
        <v>-5</v>
      </c>
      <c r="M1741" s="2">
        <v>-5</v>
      </c>
    </row>
    <row r="1742" spans="1:13">
      <c r="A1742" s="2">
        <f t="shared" si="693"/>
        <v>2029</v>
      </c>
      <c r="B1742" s="2">
        <v>-5</v>
      </c>
      <c r="C1742" s="2">
        <v>-5</v>
      </c>
      <c r="D1742" s="2">
        <v>-5</v>
      </c>
      <c r="E1742" s="2">
        <v>-5</v>
      </c>
      <c r="F1742" s="2">
        <v>-5</v>
      </c>
      <c r="G1742" s="2">
        <v>-5</v>
      </c>
      <c r="H1742" s="2">
        <v>-5</v>
      </c>
      <c r="I1742" s="2">
        <v>-5</v>
      </c>
      <c r="J1742" s="2">
        <v>-5</v>
      </c>
      <c r="K1742" s="2">
        <v>-5</v>
      </c>
      <c r="L1742" s="2">
        <v>-5</v>
      </c>
      <c r="M1742" s="2">
        <v>-5</v>
      </c>
    </row>
    <row r="1743" spans="1:13">
      <c r="A1743" s="2">
        <f t="shared" si="693"/>
        <v>2030</v>
      </c>
      <c r="B1743" s="2">
        <v>-5</v>
      </c>
      <c r="C1743" s="2">
        <v>-5</v>
      </c>
      <c r="D1743" s="2">
        <v>-5</v>
      </c>
      <c r="E1743" s="2">
        <v>-5</v>
      </c>
      <c r="F1743" s="2">
        <v>-5</v>
      </c>
      <c r="G1743" s="2">
        <v>-5</v>
      </c>
      <c r="H1743" s="2">
        <v>-5</v>
      </c>
      <c r="I1743" s="2">
        <v>-5</v>
      </c>
      <c r="J1743" s="2">
        <v>-5</v>
      </c>
      <c r="K1743" s="2">
        <v>-5</v>
      </c>
      <c r="L1743" s="2">
        <v>-5</v>
      </c>
      <c r="M1743" s="2">
        <v>-5</v>
      </c>
    </row>
    <row r="1744" spans="1:13">
      <c r="A1744" s="2">
        <f t="shared" si="693"/>
        <v>2031</v>
      </c>
      <c r="B1744" s="2">
        <v>-5</v>
      </c>
      <c r="C1744" s="2">
        <v>-5</v>
      </c>
      <c r="D1744" s="2">
        <v>-5</v>
      </c>
      <c r="E1744" s="2">
        <v>-5</v>
      </c>
      <c r="F1744" s="2">
        <v>-5</v>
      </c>
      <c r="G1744" s="2">
        <v>-5</v>
      </c>
      <c r="H1744" s="2">
        <v>-5</v>
      </c>
      <c r="I1744" s="2">
        <v>-5</v>
      </c>
      <c r="J1744" s="2">
        <v>-5</v>
      </c>
      <c r="K1744" s="2">
        <v>-5</v>
      </c>
      <c r="L1744" s="2">
        <v>-5</v>
      </c>
      <c r="M1744" s="2">
        <v>-5</v>
      </c>
    </row>
    <row r="1745" spans="1:13">
      <c r="A1745" s="2">
        <f t="shared" si="693"/>
        <v>2032</v>
      </c>
      <c r="B1745" s="2">
        <v>-5</v>
      </c>
      <c r="C1745" s="2">
        <v>-5</v>
      </c>
      <c r="D1745" s="2">
        <v>-5</v>
      </c>
      <c r="E1745" s="2">
        <v>-5</v>
      </c>
      <c r="F1745" s="2">
        <v>-5</v>
      </c>
      <c r="G1745" s="2">
        <v>-5</v>
      </c>
      <c r="H1745" s="2">
        <v>-5</v>
      </c>
      <c r="I1745" s="2">
        <v>-5</v>
      </c>
      <c r="J1745" s="2">
        <v>-5</v>
      </c>
      <c r="K1745" s="2">
        <v>-5</v>
      </c>
      <c r="L1745" s="2">
        <v>-5</v>
      </c>
      <c r="M1745" s="2">
        <v>-5</v>
      </c>
    </row>
    <row r="1746" spans="1:13">
      <c r="A1746" s="2">
        <f t="shared" si="693"/>
        <v>2033</v>
      </c>
      <c r="B1746" s="2">
        <v>-5</v>
      </c>
      <c r="C1746" s="2">
        <v>-5</v>
      </c>
      <c r="D1746" s="2">
        <v>-5</v>
      </c>
      <c r="E1746" s="2">
        <v>-5</v>
      </c>
      <c r="F1746" s="2">
        <v>-5</v>
      </c>
      <c r="G1746" s="2">
        <v>-5</v>
      </c>
      <c r="H1746" s="2">
        <v>-5</v>
      </c>
      <c r="I1746" s="2">
        <v>-5</v>
      </c>
      <c r="J1746" s="2">
        <v>-5</v>
      </c>
      <c r="K1746" s="2">
        <v>-5</v>
      </c>
      <c r="L1746" s="2">
        <v>-5</v>
      </c>
      <c r="M1746" s="2">
        <v>-5</v>
      </c>
    </row>
    <row r="1747" spans="1:13">
      <c r="A1747" s="2">
        <f t="shared" si="693"/>
        <v>2034</v>
      </c>
      <c r="B1747" s="2">
        <v>-5</v>
      </c>
      <c r="C1747" s="2">
        <v>-5</v>
      </c>
      <c r="D1747" s="2">
        <v>-5</v>
      </c>
      <c r="E1747" s="2">
        <v>-5</v>
      </c>
      <c r="F1747" s="2">
        <v>-5</v>
      </c>
      <c r="G1747" s="2">
        <v>-5</v>
      </c>
      <c r="H1747" s="2">
        <v>-5</v>
      </c>
      <c r="I1747" s="2">
        <v>-5</v>
      </c>
      <c r="J1747" s="2">
        <v>-5</v>
      </c>
      <c r="K1747" s="2">
        <v>-5</v>
      </c>
      <c r="L1747" s="2">
        <v>-5</v>
      </c>
      <c r="M1747" s="2">
        <v>-5</v>
      </c>
    </row>
    <row r="1748" spans="1:13">
      <c r="A1748" s="2">
        <f t="shared" si="693"/>
        <v>2035</v>
      </c>
      <c r="B1748" s="2">
        <v>-5</v>
      </c>
      <c r="C1748" s="2">
        <v>-5</v>
      </c>
      <c r="D1748" s="2">
        <v>-5</v>
      </c>
      <c r="E1748" s="2">
        <v>-5</v>
      </c>
      <c r="F1748" s="2">
        <v>-5</v>
      </c>
      <c r="G1748" s="2">
        <v>-5</v>
      </c>
      <c r="H1748" s="2">
        <v>-5</v>
      </c>
      <c r="I1748" s="2">
        <v>-5</v>
      </c>
      <c r="J1748" s="2">
        <v>-5</v>
      </c>
      <c r="K1748" s="2">
        <v>-5</v>
      </c>
      <c r="L1748" s="2">
        <v>-5</v>
      </c>
      <c r="M1748" s="2">
        <v>-5</v>
      </c>
    </row>
    <row r="1749" spans="1:13">
      <c r="A1749" s="2">
        <f t="shared" si="693"/>
        <v>2036</v>
      </c>
      <c r="B1749" s="2">
        <v>-5</v>
      </c>
      <c r="C1749" s="2">
        <v>-5</v>
      </c>
      <c r="D1749" s="2">
        <v>-5</v>
      </c>
      <c r="E1749" s="2">
        <v>-5</v>
      </c>
      <c r="F1749" s="2">
        <v>-5</v>
      </c>
      <c r="G1749" s="2">
        <v>-5</v>
      </c>
      <c r="H1749" s="2">
        <v>-5</v>
      </c>
      <c r="I1749" s="2">
        <v>-5</v>
      </c>
      <c r="J1749" s="2">
        <v>-5</v>
      </c>
      <c r="K1749" s="2">
        <v>-5</v>
      </c>
      <c r="L1749" s="2">
        <v>-5</v>
      </c>
      <c r="M1749" s="2">
        <v>-5</v>
      </c>
    </row>
    <row r="1750" spans="1:13">
      <c r="A1750" s="2">
        <f t="shared" si="693"/>
        <v>2037</v>
      </c>
      <c r="B1750" s="2">
        <v>-5</v>
      </c>
      <c r="C1750" s="2">
        <v>-5</v>
      </c>
      <c r="D1750" s="2">
        <v>-5</v>
      </c>
      <c r="E1750" s="2">
        <v>-5</v>
      </c>
      <c r="F1750" s="2">
        <v>-5</v>
      </c>
      <c r="G1750" s="2">
        <v>-5</v>
      </c>
      <c r="H1750" s="2">
        <v>-5</v>
      </c>
      <c r="I1750" s="2">
        <v>-5</v>
      </c>
      <c r="J1750" s="2">
        <v>-5</v>
      </c>
      <c r="K1750" s="2">
        <v>-5</v>
      </c>
      <c r="L1750" s="2">
        <v>-5</v>
      </c>
      <c r="M1750" s="2">
        <v>-5</v>
      </c>
    </row>
    <row r="1751" spans="1:13">
      <c r="A1751" s="2">
        <f t="shared" si="693"/>
        <v>2038</v>
      </c>
      <c r="B1751" s="2">
        <v>-5</v>
      </c>
      <c r="C1751" s="2">
        <v>-5</v>
      </c>
      <c r="D1751" s="2">
        <v>-5</v>
      </c>
      <c r="E1751" s="2">
        <v>-5</v>
      </c>
      <c r="F1751" s="2">
        <v>-5</v>
      </c>
      <c r="G1751" s="2">
        <v>-5</v>
      </c>
      <c r="H1751" s="2">
        <v>-5</v>
      </c>
      <c r="I1751" s="2">
        <v>-5</v>
      </c>
      <c r="J1751" s="2">
        <v>-5</v>
      </c>
      <c r="K1751" s="2">
        <v>-5</v>
      </c>
      <c r="L1751" s="2">
        <v>-5</v>
      </c>
      <c r="M1751" s="2">
        <v>-5</v>
      </c>
    </row>
    <row r="1752" spans="1:13">
      <c r="A1752" s="2">
        <f t="shared" si="693"/>
        <v>2039</v>
      </c>
      <c r="B1752" s="2">
        <v>-5</v>
      </c>
      <c r="C1752" s="2">
        <v>-5</v>
      </c>
      <c r="D1752" s="2">
        <v>-5</v>
      </c>
      <c r="E1752" s="2">
        <v>-5</v>
      </c>
      <c r="F1752" s="2">
        <v>-5</v>
      </c>
      <c r="G1752" s="2">
        <v>-5</v>
      </c>
      <c r="H1752" s="2">
        <v>-5</v>
      </c>
      <c r="I1752" s="2">
        <v>-5</v>
      </c>
      <c r="J1752" s="2">
        <v>-5</v>
      </c>
      <c r="K1752" s="2">
        <v>-5</v>
      </c>
      <c r="L1752" s="2">
        <v>-5</v>
      </c>
      <c r="M1752" s="2">
        <v>-5</v>
      </c>
    </row>
    <row r="1753" spans="1:13">
      <c r="A1753" s="2">
        <f t="shared" si="693"/>
        <v>2040</v>
      </c>
      <c r="B1753" s="2">
        <v>-5</v>
      </c>
      <c r="C1753" s="2">
        <v>-5</v>
      </c>
      <c r="D1753" s="2">
        <v>-5</v>
      </c>
      <c r="E1753" s="2">
        <v>-5</v>
      </c>
      <c r="F1753" s="2">
        <v>-5</v>
      </c>
      <c r="G1753" s="2">
        <v>-5</v>
      </c>
      <c r="H1753" s="2">
        <v>-5</v>
      </c>
      <c r="I1753" s="2">
        <v>-5</v>
      </c>
      <c r="J1753" s="2">
        <v>-5</v>
      </c>
      <c r="K1753" s="2">
        <v>-5</v>
      </c>
      <c r="L1753" s="2">
        <v>-5</v>
      </c>
      <c r="M1753" s="2">
        <v>-5</v>
      </c>
    </row>
    <row r="1754" spans="1:13">
      <c r="A1754" s="2">
        <f t="shared" si="693"/>
        <v>2041</v>
      </c>
    </row>
    <row r="1755" spans="1:13">
      <c r="A1755" s="2">
        <f t="shared" si="693"/>
        <v>2042</v>
      </c>
    </row>
    <row r="1756" spans="1:13">
      <c r="A1756" s="2">
        <f t="shared" si="693"/>
        <v>2043</v>
      </c>
    </row>
    <row r="1757" spans="1:13">
      <c r="A1757" s="2">
        <f t="shared" si="693"/>
        <v>2044</v>
      </c>
    </row>
    <row r="1758" spans="1:13">
      <c r="A1758" s="2">
        <f t="shared" si="693"/>
        <v>2045</v>
      </c>
    </row>
    <row r="1768" spans="1:29">
      <c r="P1768" s="174"/>
    </row>
    <row r="1769" spans="1:29">
      <c r="P1769" s="608"/>
    </row>
    <row r="1770" spans="1:29">
      <c r="AC1770" s="1116"/>
    </row>
    <row r="1771" spans="1:29">
      <c r="A1771" s="537"/>
      <c r="B1771" s="194" t="s">
        <v>279</v>
      </c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</row>
    <row r="1772" spans="1:29">
      <c r="A1772" s="537"/>
      <c r="B1772" s="1118" t="s">
        <v>267</v>
      </c>
      <c r="C1772" s="1119"/>
      <c r="D1772" s="1120">
        <v>4</v>
      </c>
      <c r="E1772" s="1120">
        <v>164</v>
      </c>
      <c r="I1772" s="547">
        <v>7</v>
      </c>
      <c r="J1772" s="547">
        <v>47</v>
      </c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</row>
    <row r="1773" spans="1:29">
      <c r="A1773" s="538"/>
      <c r="B1773" s="538"/>
      <c r="C1773" s="538"/>
      <c r="D1773" s="546" t="s">
        <v>282</v>
      </c>
      <c r="E1773" s="540" t="s">
        <v>21</v>
      </c>
      <c r="I1773" s="547" t="s">
        <v>283</v>
      </c>
      <c r="J1773" s="547" t="s">
        <v>285</v>
      </c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</row>
    <row r="1774" spans="1:29" ht="13.5">
      <c r="A1774" s="549" t="s">
        <v>268</v>
      </c>
      <c r="B1774" s="544" t="s">
        <v>126</v>
      </c>
      <c r="C1774" s="545" t="s">
        <v>269</v>
      </c>
      <c r="D1774" s="543" t="s">
        <v>280</v>
      </c>
      <c r="E1774" s="543" t="s">
        <v>281</v>
      </c>
      <c r="F1774" s="544" t="s">
        <v>126</v>
      </c>
      <c r="I1774" s="548" t="s">
        <v>284</v>
      </c>
      <c r="J1774" s="548" t="s">
        <v>284</v>
      </c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</row>
    <row r="1775" spans="1:29">
      <c r="A1775" s="537" t="s">
        <v>270</v>
      </c>
      <c r="B1775" s="541">
        <v>2012</v>
      </c>
      <c r="C1775" s="991">
        <v>1</v>
      </c>
      <c r="D1775" s="539">
        <f t="shared" ref="D1775:E1794" ca="1" si="694">ROUND(INDIRECT(CONCATENATE($A1775,D$1772+($B1775-2011))),0)</f>
        <v>8729</v>
      </c>
      <c r="E1775" s="539">
        <f t="shared" ca="1" si="694"/>
        <v>1023</v>
      </c>
      <c r="F1775" s="654">
        <v>2000</v>
      </c>
      <c r="G1775" s="2" t="s">
        <v>325</v>
      </c>
      <c r="H1775" s="2" t="s">
        <v>527</v>
      </c>
      <c r="I1775" s="1123">
        <f ca="1">ROUND(INDIRECT(CONCATENATE($H1775,I$1772+($F1775-2000))),0)</f>
        <v>9293</v>
      </c>
      <c r="J1775" s="1123">
        <f ca="1">ROUND(INDIRECT(CONCATENATE($H1775,J$1772+($F1775-2000))),0)</f>
        <v>1724</v>
      </c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</row>
    <row r="1776" spans="1:29">
      <c r="A1776" s="537" t="s">
        <v>271</v>
      </c>
      <c r="B1776" s="541">
        <f t="shared" ref="B1776:B1786" si="695">B1775</f>
        <v>2012</v>
      </c>
      <c r="C1776" s="991">
        <v>2</v>
      </c>
      <c r="D1776" s="539">
        <f t="shared" ca="1" si="694"/>
        <v>8540</v>
      </c>
      <c r="E1776" s="539">
        <f t="shared" ca="1" si="694"/>
        <v>1020</v>
      </c>
      <c r="F1776" s="654">
        <f>F1775</f>
        <v>2000</v>
      </c>
      <c r="G1776" s="2" t="s">
        <v>133</v>
      </c>
      <c r="H1776" s="2" t="s">
        <v>50</v>
      </c>
      <c r="I1776" s="1123">
        <f t="shared" ref="I1776:I1807" ca="1" si="696">ROUND(INDIRECT(CONCATENATE($H1776,I$1772+($F1776-2000))),0)</f>
        <v>8127</v>
      </c>
      <c r="J1776" s="1123">
        <f t="shared" ref="J1776:J1839" ca="1" si="697">ROUND(INDIRECT(CONCATENATE($H1776,J$1772+($F1776-2000))),0)</f>
        <v>1531</v>
      </c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</row>
    <row r="1777" spans="1:29">
      <c r="A1777" s="537" t="s">
        <v>272</v>
      </c>
      <c r="B1777" s="541">
        <f t="shared" si="695"/>
        <v>2012</v>
      </c>
      <c r="C1777" s="991">
        <v>3</v>
      </c>
      <c r="D1777" s="539">
        <f t="shared" ca="1" si="694"/>
        <v>6670</v>
      </c>
      <c r="E1777" s="539">
        <f t="shared" ca="1" si="694"/>
        <v>960</v>
      </c>
      <c r="F1777" s="654">
        <f t="shared" ref="F1777:F1786" si="698">F1776</f>
        <v>2000</v>
      </c>
      <c r="G1777" s="2" t="s">
        <v>134</v>
      </c>
      <c r="H1777" s="2" t="s">
        <v>528</v>
      </c>
      <c r="I1777" s="1123">
        <f t="shared" ca="1" si="696"/>
        <v>5912</v>
      </c>
      <c r="J1777" s="1123">
        <f t="shared" ca="1" si="697"/>
        <v>611</v>
      </c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</row>
    <row r="1778" spans="1:29">
      <c r="A1778" s="537" t="s">
        <v>49</v>
      </c>
      <c r="B1778" s="541">
        <f t="shared" si="695"/>
        <v>2012</v>
      </c>
      <c r="C1778" s="991">
        <v>4</v>
      </c>
      <c r="D1778" s="539">
        <f t="shared" ca="1" si="694"/>
        <v>7409</v>
      </c>
      <c r="E1778" s="539">
        <f t="shared" ca="1" si="694"/>
        <v>934</v>
      </c>
      <c r="F1778" s="654">
        <f t="shared" si="698"/>
        <v>2000</v>
      </c>
      <c r="G1778" s="2" t="s">
        <v>135</v>
      </c>
      <c r="H1778" s="2" t="s">
        <v>48</v>
      </c>
      <c r="I1778" s="1123">
        <f t="shared" ca="1" si="696"/>
        <v>5913</v>
      </c>
      <c r="J1778" s="1123">
        <f t="shared" ca="1" si="697"/>
        <v>621</v>
      </c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</row>
    <row r="1779" spans="1:29">
      <c r="A1779" s="537" t="s">
        <v>273</v>
      </c>
      <c r="B1779" s="541">
        <f t="shared" si="695"/>
        <v>2012</v>
      </c>
      <c r="C1779" s="991">
        <v>5</v>
      </c>
      <c r="D1779" s="539">
        <f t="shared" ca="1" si="694"/>
        <v>8367</v>
      </c>
      <c r="E1779" s="539">
        <f t="shared" ca="1" si="694"/>
        <v>1003</v>
      </c>
      <c r="F1779" s="654">
        <f t="shared" si="698"/>
        <v>2000</v>
      </c>
      <c r="G1779" s="2" t="s">
        <v>136</v>
      </c>
      <c r="H1779" s="2" t="s">
        <v>529</v>
      </c>
      <c r="I1779" s="1123">
        <f t="shared" ca="1" si="696"/>
        <v>8151</v>
      </c>
      <c r="J1779" s="1123">
        <f t="shared" ca="1" si="697"/>
        <v>1207</v>
      </c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</row>
    <row r="1780" spans="1:29">
      <c r="A1780" s="537" t="s">
        <v>274</v>
      </c>
      <c r="B1780" s="541">
        <f t="shared" si="695"/>
        <v>2012</v>
      </c>
      <c r="C1780" s="991">
        <v>6</v>
      </c>
      <c r="D1780" s="539">
        <f t="shared" ca="1" si="694"/>
        <v>8749</v>
      </c>
      <c r="E1780" s="539">
        <f t="shared" ca="1" si="694"/>
        <v>1090</v>
      </c>
      <c r="F1780" s="654">
        <f t="shared" si="698"/>
        <v>2000</v>
      </c>
      <c r="G1780" s="2" t="s">
        <v>137</v>
      </c>
      <c r="H1780" s="2" t="s">
        <v>530</v>
      </c>
      <c r="I1780" s="1123">
        <f t="shared" ca="1" si="696"/>
        <v>8139</v>
      </c>
      <c r="J1780" s="1123">
        <f t="shared" ca="1" si="697"/>
        <v>1161</v>
      </c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</row>
    <row r="1781" spans="1:29">
      <c r="A1781" s="537" t="s">
        <v>275</v>
      </c>
      <c r="B1781" s="541">
        <f t="shared" si="695"/>
        <v>2012</v>
      </c>
      <c r="C1781" s="991">
        <v>7</v>
      </c>
      <c r="D1781" s="539">
        <f t="shared" ca="1" si="694"/>
        <v>8927</v>
      </c>
      <c r="E1781" s="539">
        <f t="shared" ca="1" si="694"/>
        <v>1105</v>
      </c>
      <c r="F1781" s="654">
        <f t="shared" si="698"/>
        <v>2000</v>
      </c>
      <c r="G1781" s="2" t="s">
        <v>138</v>
      </c>
      <c r="H1781" s="2" t="s">
        <v>45</v>
      </c>
      <c r="I1781" s="1123">
        <f t="shared" ca="1" si="696"/>
        <v>8344</v>
      </c>
      <c r="J1781" s="1123">
        <f t="shared" ca="1" si="697"/>
        <v>1254</v>
      </c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</row>
    <row r="1782" spans="1:29">
      <c r="A1782" s="537" t="s">
        <v>46</v>
      </c>
      <c r="B1782" s="541">
        <f t="shared" si="695"/>
        <v>2012</v>
      </c>
      <c r="C1782" s="991">
        <v>8</v>
      </c>
      <c r="D1782" s="539">
        <f t="shared" ca="1" si="694"/>
        <v>8956</v>
      </c>
      <c r="E1782" s="539">
        <f t="shared" ca="1" si="694"/>
        <v>1092</v>
      </c>
      <c r="F1782" s="654">
        <f t="shared" si="698"/>
        <v>2000</v>
      </c>
      <c r="G1782" s="2" t="s">
        <v>327</v>
      </c>
      <c r="H1782" s="2" t="s">
        <v>531</v>
      </c>
      <c r="I1782" s="1123">
        <f t="shared" ca="1" si="696"/>
        <v>8484</v>
      </c>
      <c r="J1782" s="1123">
        <f t="shared" ca="1" si="697"/>
        <v>1315</v>
      </c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</row>
    <row r="1783" spans="1:29">
      <c r="A1783" s="537" t="s">
        <v>276</v>
      </c>
      <c r="B1783" s="541">
        <f t="shared" si="695"/>
        <v>2012</v>
      </c>
      <c r="C1783" s="991">
        <v>9</v>
      </c>
      <c r="D1783" s="539">
        <f t="shared" ca="1" si="694"/>
        <v>8558</v>
      </c>
      <c r="E1783" s="539">
        <f t="shared" ca="1" si="694"/>
        <v>1084</v>
      </c>
      <c r="F1783" s="654">
        <f t="shared" si="698"/>
        <v>2000</v>
      </c>
      <c r="G1783" s="2" t="s">
        <v>140</v>
      </c>
      <c r="H1783" s="2" t="s">
        <v>532</v>
      </c>
      <c r="I1783" s="1123">
        <f t="shared" ca="1" si="696"/>
        <v>7998</v>
      </c>
      <c r="J1783" s="1123">
        <f t="shared" ca="1" si="697"/>
        <v>1190</v>
      </c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</row>
    <row r="1784" spans="1:29">
      <c r="A1784" s="537" t="s">
        <v>277</v>
      </c>
      <c r="B1784" s="541">
        <f t="shared" si="695"/>
        <v>2012</v>
      </c>
      <c r="C1784" s="991">
        <v>10</v>
      </c>
      <c r="D1784" s="539">
        <f t="shared" ca="1" si="694"/>
        <v>8011</v>
      </c>
      <c r="E1784" s="539">
        <f t="shared" ca="1" si="694"/>
        <v>1005</v>
      </c>
      <c r="F1784" s="654">
        <f t="shared" si="698"/>
        <v>2000</v>
      </c>
      <c r="G1784" s="2" t="s">
        <v>141</v>
      </c>
      <c r="H1784" s="2" t="s">
        <v>533</v>
      </c>
      <c r="I1784" s="1123">
        <f t="shared" ca="1" si="696"/>
        <v>7683</v>
      </c>
      <c r="J1784" s="1123">
        <f t="shared" ca="1" si="697"/>
        <v>1087</v>
      </c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</row>
    <row r="1785" spans="1:29">
      <c r="A1785" s="537" t="s">
        <v>278</v>
      </c>
      <c r="B1785" s="541">
        <f t="shared" si="695"/>
        <v>2012</v>
      </c>
      <c r="C1785" s="991">
        <v>11</v>
      </c>
      <c r="D1785" s="539">
        <f t="shared" ca="1" si="694"/>
        <v>5820</v>
      </c>
      <c r="E1785" s="539">
        <f t="shared" ca="1" si="694"/>
        <v>932</v>
      </c>
      <c r="F1785" s="654">
        <f t="shared" si="698"/>
        <v>2000</v>
      </c>
      <c r="G1785" s="2" t="s">
        <v>142</v>
      </c>
      <c r="H1785" s="2" t="s">
        <v>534</v>
      </c>
      <c r="I1785" s="1123">
        <f t="shared" ca="1" si="696"/>
        <v>7589</v>
      </c>
      <c r="J1785" s="1123">
        <f t="shared" ca="1" si="697"/>
        <v>1413</v>
      </c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</row>
    <row r="1786" spans="1:29">
      <c r="A1786" s="537" t="s">
        <v>269</v>
      </c>
      <c r="B1786" s="541">
        <f t="shared" si="695"/>
        <v>2012</v>
      </c>
      <c r="C1786" s="991">
        <v>12</v>
      </c>
      <c r="D1786" s="539">
        <f t="shared" ca="1" si="694"/>
        <v>6718</v>
      </c>
      <c r="E1786" s="539">
        <f t="shared" ca="1" si="694"/>
        <v>960</v>
      </c>
      <c r="F1786" s="654">
        <f t="shared" si="698"/>
        <v>2000</v>
      </c>
      <c r="G1786" s="2" t="s">
        <v>143</v>
      </c>
      <c r="H1786" s="2" t="s">
        <v>535</v>
      </c>
      <c r="I1786" s="1123">
        <f t="shared" ca="1" si="696"/>
        <v>9187</v>
      </c>
      <c r="J1786" s="1123">
        <f t="shared" ca="1" si="697"/>
        <v>1812</v>
      </c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</row>
    <row r="1787" spans="1:29">
      <c r="A1787" s="37" t="str">
        <f>A1775</f>
        <v>B</v>
      </c>
      <c r="B1787" s="541">
        <f>B1775+1</f>
        <v>2013</v>
      </c>
      <c r="C1787" s="451">
        <f>C1775</f>
        <v>1</v>
      </c>
      <c r="D1787" s="542">
        <f t="shared" ca="1" si="694"/>
        <v>6377</v>
      </c>
      <c r="E1787" s="542">
        <f t="shared" ca="1" si="694"/>
        <v>897</v>
      </c>
      <c r="F1787" s="654">
        <f>F1775+1</f>
        <v>2001</v>
      </c>
      <c r="G1787" s="2" t="str">
        <f>G1775</f>
        <v>Jan</v>
      </c>
      <c r="H1787" s="2" t="str">
        <f>H1775</f>
        <v>Q</v>
      </c>
      <c r="I1787" s="1123">
        <f t="shared" ca="1" si="696"/>
        <v>9839</v>
      </c>
      <c r="J1787" s="1123">
        <f t="shared" ca="1" si="697"/>
        <v>1980</v>
      </c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</row>
    <row r="1788" spans="1:29">
      <c r="A1788" s="37" t="str">
        <f t="shared" ref="A1788:A1851" si="699">A1776</f>
        <v>C</v>
      </c>
      <c r="B1788" s="541">
        <f t="shared" ref="B1788:B1851" si="700">B1776+1</f>
        <v>2013</v>
      </c>
      <c r="C1788" s="451">
        <f t="shared" ref="C1788:C1851" si="701">C1776</f>
        <v>2</v>
      </c>
      <c r="D1788" s="542">
        <f t="shared" ca="1" si="694"/>
        <v>7977</v>
      </c>
      <c r="E1788" s="542">
        <f t="shared" ca="1" si="694"/>
        <v>902</v>
      </c>
      <c r="F1788" s="654">
        <f t="shared" ref="F1788:F1851" si="702">F1776+1</f>
        <v>2001</v>
      </c>
      <c r="G1788" s="2" t="str">
        <f t="shared" ref="G1788:H1799" si="703">G1776</f>
        <v>Feb</v>
      </c>
      <c r="H1788" s="2" t="str">
        <f t="shared" si="703"/>
        <v>R</v>
      </c>
      <c r="I1788" s="1123">
        <f t="shared" ca="1" si="696"/>
        <v>7735</v>
      </c>
      <c r="J1788" s="1123">
        <f t="shared" ca="1" si="697"/>
        <v>1250</v>
      </c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</row>
    <row r="1789" spans="1:29">
      <c r="A1789" s="37" t="str">
        <f t="shared" si="699"/>
        <v>D</v>
      </c>
      <c r="B1789" s="541">
        <f t="shared" si="700"/>
        <v>2013</v>
      </c>
      <c r="C1789" s="451">
        <f t="shared" si="701"/>
        <v>3</v>
      </c>
      <c r="D1789" s="542">
        <f t="shared" ca="1" si="694"/>
        <v>7812</v>
      </c>
      <c r="E1789" s="542">
        <f t="shared" ca="1" si="694"/>
        <v>917</v>
      </c>
      <c r="F1789" s="654">
        <f t="shared" si="702"/>
        <v>2001</v>
      </c>
      <c r="G1789" s="2" t="str">
        <f t="shared" si="703"/>
        <v>Mar</v>
      </c>
      <c r="H1789" s="2" t="str">
        <f t="shared" si="703"/>
        <v>S</v>
      </c>
      <c r="I1789" s="1123">
        <f t="shared" ca="1" si="696"/>
        <v>6271</v>
      </c>
      <c r="J1789" s="1123">
        <f t="shared" ca="1" si="697"/>
        <v>967</v>
      </c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</row>
    <row r="1790" spans="1:29">
      <c r="A1790" s="37" t="str">
        <f t="shared" si="699"/>
        <v>E</v>
      </c>
      <c r="B1790" s="541">
        <f t="shared" si="700"/>
        <v>2013</v>
      </c>
      <c r="C1790" s="451">
        <f t="shared" si="701"/>
        <v>4</v>
      </c>
      <c r="D1790" s="542">
        <f t="shared" ca="1" si="694"/>
        <v>7263</v>
      </c>
      <c r="E1790" s="542">
        <f t="shared" ca="1" si="694"/>
        <v>891</v>
      </c>
      <c r="F1790" s="654">
        <f t="shared" si="702"/>
        <v>2001</v>
      </c>
      <c r="G1790" s="2" t="str">
        <f t="shared" si="703"/>
        <v>Apr</v>
      </c>
      <c r="H1790" s="2" t="str">
        <f t="shared" si="703"/>
        <v>T</v>
      </c>
      <c r="I1790" s="1123">
        <f t="shared" ca="1" si="696"/>
        <v>7157</v>
      </c>
      <c r="J1790" s="1123">
        <f t="shared" ca="1" si="697"/>
        <v>1062</v>
      </c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</row>
    <row r="1791" spans="1:29">
      <c r="A1791" s="37" t="str">
        <f t="shared" si="699"/>
        <v>F</v>
      </c>
      <c r="B1791" s="541">
        <f t="shared" si="700"/>
        <v>2013</v>
      </c>
      <c r="C1791" s="451">
        <f t="shared" si="701"/>
        <v>5</v>
      </c>
      <c r="D1791" s="542">
        <f t="shared" ca="1" si="694"/>
        <v>8071</v>
      </c>
      <c r="E1791" s="542">
        <f t="shared" ca="1" si="694"/>
        <v>925</v>
      </c>
      <c r="F1791" s="654">
        <f t="shared" si="702"/>
        <v>2001</v>
      </c>
      <c r="G1791" s="2" t="str">
        <f t="shared" si="703"/>
        <v>May</v>
      </c>
      <c r="H1791" s="2" t="str">
        <f t="shared" si="703"/>
        <v>U</v>
      </c>
      <c r="I1791" s="1123">
        <f t="shared" ca="1" si="696"/>
        <v>7752</v>
      </c>
      <c r="J1791" s="1123">
        <f t="shared" ca="1" si="697"/>
        <v>839</v>
      </c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</row>
    <row r="1792" spans="1:29">
      <c r="A1792" s="37" t="str">
        <f t="shared" si="699"/>
        <v>G</v>
      </c>
      <c r="B1792" s="541">
        <f t="shared" si="700"/>
        <v>2013</v>
      </c>
      <c r="C1792" s="451">
        <f t="shared" si="701"/>
        <v>6</v>
      </c>
      <c r="D1792" s="542">
        <f t="shared" ca="1" si="694"/>
        <v>8634</v>
      </c>
      <c r="E1792" s="542">
        <f t="shared" ca="1" si="694"/>
        <v>941</v>
      </c>
      <c r="F1792" s="654">
        <f t="shared" si="702"/>
        <v>2001</v>
      </c>
      <c r="G1792" s="2" t="str">
        <f t="shared" si="703"/>
        <v>Jun</v>
      </c>
      <c r="H1792" s="2" t="str">
        <f t="shared" si="703"/>
        <v>V</v>
      </c>
      <c r="I1792" s="1123">
        <f t="shared" ca="1" si="696"/>
        <v>8269</v>
      </c>
      <c r="J1792" s="1123">
        <f t="shared" ca="1" si="697"/>
        <v>1003</v>
      </c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</row>
    <row r="1793" spans="1:29">
      <c r="A1793" s="37" t="str">
        <f t="shared" si="699"/>
        <v>H</v>
      </c>
      <c r="B1793" s="541">
        <f t="shared" si="700"/>
        <v>2013</v>
      </c>
      <c r="C1793" s="451">
        <f t="shared" si="701"/>
        <v>7</v>
      </c>
      <c r="D1793" s="542">
        <f t="shared" ca="1" si="694"/>
        <v>9275</v>
      </c>
      <c r="E1793" s="542">
        <f t="shared" ca="1" si="694"/>
        <v>944</v>
      </c>
      <c r="F1793" s="654">
        <f t="shared" si="702"/>
        <v>2001</v>
      </c>
      <c r="G1793" s="2" t="str">
        <f t="shared" si="703"/>
        <v>Jul</v>
      </c>
      <c r="H1793" s="2" t="str">
        <f t="shared" si="703"/>
        <v>W</v>
      </c>
      <c r="I1793" s="1123">
        <f t="shared" ca="1" si="696"/>
        <v>8163</v>
      </c>
      <c r="J1793" s="1123">
        <f t="shared" ca="1" si="697"/>
        <v>1017</v>
      </c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</row>
    <row r="1794" spans="1:29">
      <c r="A1794" s="37" t="str">
        <f t="shared" si="699"/>
        <v>I</v>
      </c>
      <c r="B1794" s="541">
        <f t="shared" si="700"/>
        <v>2013</v>
      </c>
      <c r="C1794" s="451">
        <f t="shared" si="701"/>
        <v>8</v>
      </c>
      <c r="D1794" s="542">
        <f t="shared" ca="1" si="694"/>
        <v>9415</v>
      </c>
      <c r="E1794" s="542">
        <f t="shared" ca="1" si="694"/>
        <v>945</v>
      </c>
      <c r="F1794" s="654">
        <f t="shared" si="702"/>
        <v>2001</v>
      </c>
      <c r="G1794" s="2" t="str">
        <f t="shared" si="703"/>
        <v>Aug</v>
      </c>
      <c r="H1794" s="2" t="str">
        <f t="shared" si="703"/>
        <v>X</v>
      </c>
      <c r="I1794" s="1123">
        <f t="shared" ca="1" si="696"/>
        <v>8471</v>
      </c>
      <c r="J1794" s="1123">
        <f t="shared" ca="1" si="697"/>
        <v>1113</v>
      </c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</row>
    <row r="1795" spans="1:29">
      <c r="A1795" s="37" t="str">
        <f t="shared" si="699"/>
        <v>J</v>
      </c>
      <c r="B1795" s="541">
        <f t="shared" si="700"/>
        <v>2013</v>
      </c>
      <c r="C1795" s="451">
        <f t="shared" si="701"/>
        <v>9</v>
      </c>
      <c r="D1795" s="542">
        <f t="shared" ref="D1795:E1814" ca="1" si="704">ROUND(INDIRECT(CONCATENATE($A1795,D$1772+($B1795-2011))),0)</f>
        <v>8733</v>
      </c>
      <c r="E1795" s="542">
        <f t="shared" ca="1" si="704"/>
        <v>924</v>
      </c>
      <c r="F1795" s="654">
        <f t="shared" si="702"/>
        <v>2001</v>
      </c>
      <c r="G1795" s="2" t="str">
        <f t="shared" si="703"/>
        <v>Sep</v>
      </c>
      <c r="H1795" s="2" t="str">
        <f t="shared" si="703"/>
        <v>Y</v>
      </c>
      <c r="I1795" s="1123">
        <f t="shared" ca="1" si="696"/>
        <v>7930</v>
      </c>
      <c r="J1795" s="1123">
        <f t="shared" ca="1" si="697"/>
        <v>858</v>
      </c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</row>
    <row r="1796" spans="1:29">
      <c r="A1796" s="37" t="str">
        <f t="shared" si="699"/>
        <v>K</v>
      </c>
      <c r="B1796" s="541">
        <f t="shared" si="700"/>
        <v>2013</v>
      </c>
      <c r="C1796" s="451">
        <f t="shared" si="701"/>
        <v>10</v>
      </c>
      <c r="D1796" s="542">
        <f t="shared" ca="1" si="704"/>
        <v>8063</v>
      </c>
      <c r="E1796" s="542">
        <f t="shared" ca="1" si="704"/>
        <v>904</v>
      </c>
      <c r="F1796" s="654">
        <f t="shared" si="702"/>
        <v>2001</v>
      </c>
      <c r="G1796" s="2" t="str">
        <f t="shared" si="703"/>
        <v>Oct</v>
      </c>
      <c r="H1796" s="2" t="str">
        <f t="shared" si="703"/>
        <v>Z</v>
      </c>
      <c r="I1796" s="1123">
        <f t="shared" ca="1" si="696"/>
        <v>6909</v>
      </c>
      <c r="J1796" s="1123">
        <f t="shared" ca="1" si="697"/>
        <v>951</v>
      </c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</row>
    <row r="1797" spans="1:29">
      <c r="A1797" s="37" t="str">
        <f t="shared" si="699"/>
        <v>L</v>
      </c>
      <c r="B1797" s="541">
        <f t="shared" si="700"/>
        <v>2013</v>
      </c>
      <c r="C1797" s="451">
        <f t="shared" si="701"/>
        <v>11</v>
      </c>
      <c r="D1797" s="542">
        <f t="shared" ca="1" si="704"/>
        <v>6633</v>
      </c>
      <c r="E1797" s="542">
        <f t="shared" ca="1" si="704"/>
        <v>878</v>
      </c>
      <c r="F1797" s="654">
        <f t="shared" si="702"/>
        <v>2001</v>
      </c>
      <c r="G1797" s="2" t="str">
        <f t="shared" si="703"/>
        <v>Nov</v>
      </c>
      <c r="H1797" s="2" t="str">
        <f t="shared" si="703"/>
        <v>AA</v>
      </c>
      <c r="I1797" s="1123">
        <f t="shared" ca="1" si="696"/>
        <v>5386</v>
      </c>
      <c r="J1797" s="1123">
        <f t="shared" ca="1" si="697"/>
        <v>365</v>
      </c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</row>
    <row r="1798" spans="1:29">
      <c r="A1798" s="37" t="str">
        <f t="shared" si="699"/>
        <v>M</v>
      </c>
      <c r="B1798" s="541">
        <f t="shared" si="700"/>
        <v>2013</v>
      </c>
      <c r="C1798" s="451">
        <f t="shared" si="701"/>
        <v>12</v>
      </c>
      <c r="D1798" s="542">
        <f t="shared" ca="1" si="704"/>
        <v>8190</v>
      </c>
      <c r="E1798" s="542">
        <f t="shared" ca="1" si="704"/>
        <v>893</v>
      </c>
      <c r="F1798" s="654">
        <f t="shared" si="702"/>
        <v>2001</v>
      </c>
      <c r="G1798" s="2" t="str">
        <f t="shared" si="703"/>
        <v>Dec</v>
      </c>
      <c r="H1798" s="2" t="str">
        <f t="shared" si="703"/>
        <v>AB</v>
      </c>
      <c r="I1798" s="1123">
        <f t="shared" ca="1" si="696"/>
        <v>6465</v>
      </c>
      <c r="J1798" s="1123">
        <f t="shared" ca="1" si="697"/>
        <v>581</v>
      </c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</row>
    <row r="1799" spans="1:29">
      <c r="A1799" s="37" t="str">
        <f t="shared" si="699"/>
        <v>B</v>
      </c>
      <c r="B1799" s="541">
        <f t="shared" si="700"/>
        <v>2014</v>
      </c>
      <c r="C1799" s="451">
        <f t="shared" si="701"/>
        <v>1</v>
      </c>
      <c r="D1799" s="542">
        <f t="shared" ca="1" si="704"/>
        <v>9973</v>
      </c>
      <c r="E1799" s="542">
        <f t="shared" ca="1" si="704"/>
        <v>895</v>
      </c>
      <c r="F1799" s="654">
        <f t="shared" si="702"/>
        <v>2002</v>
      </c>
      <c r="G1799" s="2" t="str">
        <f t="shared" si="703"/>
        <v>Jan</v>
      </c>
      <c r="H1799" s="2" t="str">
        <f t="shared" si="703"/>
        <v>Q</v>
      </c>
      <c r="I1799" s="1123">
        <f t="shared" ca="1" si="696"/>
        <v>9721</v>
      </c>
      <c r="J1799" s="1123">
        <f t="shared" ca="1" si="697"/>
        <v>1619</v>
      </c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</row>
    <row r="1800" spans="1:29">
      <c r="A1800" s="37" t="str">
        <f t="shared" si="699"/>
        <v>C</v>
      </c>
      <c r="B1800" s="541">
        <f t="shared" si="700"/>
        <v>2014</v>
      </c>
      <c r="C1800" s="451">
        <f t="shared" si="701"/>
        <v>2</v>
      </c>
      <c r="D1800" s="542">
        <f t="shared" ca="1" si="704"/>
        <v>8454</v>
      </c>
      <c r="E1800" s="542">
        <f t="shared" ca="1" si="704"/>
        <v>872</v>
      </c>
      <c r="F1800" s="654">
        <f t="shared" si="702"/>
        <v>2002</v>
      </c>
      <c r="G1800" s="2" t="str">
        <f t="shared" ref="G1800:H1800" si="705">G1788</f>
        <v>Feb</v>
      </c>
      <c r="H1800" s="2" t="str">
        <f t="shared" si="705"/>
        <v>R</v>
      </c>
      <c r="I1800" s="1123">
        <f t="shared" ca="1" si="696"/>
        <v>8941</v>
      </c>
      <c r="J1800" s="1123">
        <f t="shared" ca="1" si="697"/>
        <v>1404</v>
      </c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</row>
    <row r="1801" spans="1:29">
      <c r="A1801" s="37" t="str">
        <f t="shared" si="699"/>
        <v>D</v>
      </c>
      <c r="B1801" s="541">
        <f t="shared" si="700"/>
        <v>2014</v>
      </c>
      <c r="C1801" s="451">
        <f t="shared" si="701"/>
        <v>3</v>
      </c>
      <c r="D1801" s="542">
        <f t="shared" ca="1" si="704"/>
        <v>7479</v>
      </c>
      <c r="E1801" s="542">
        <f t="shared" ca="1" si="704"/>
        <v>895</v>
      </c>
      <c r="F1801" s="654">
        <f t="shared" si="702"/>
        <v>2002</v>
      </c>
      <c r="G1801" s="2" t="str">
        <f t="shared" ref="G1801:H1801" si="706">G1789</f>
        <v>Mar</v>
      </c>
      <c r="H1801" s="2" t="str">
        <f t="shared" si="706"/>
        <v>S</v>
      </c>
      <c r="I1801" s="1123">
        <f t="shared" ca="1" si="696"/>
        <v>8345</v>
      </c>
      <c r="J1801" s="1123">
        <f t="shared" ca="1" si="697"/>
        <v>1132</v>
      </c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</row>
    <row r="1802" spans="1:29">
      <c r="A1802" s="37" t="str">
        <f t="shared" si="699"/>
        <v>E</v>
      </c>
      <c r="B1802" s="541">
        <f t="shared" si="700"/>
        <v>2014</v>
      </c>
      <c r="C1802" s="451">
        <f t="shared" si="701"/>
        <v>4</v>
      </c>
      <c r="D1802" s="542">
        <f t="shared" ca="1" si="704"/>
        <v>7537</v>
      </c>
      <c r="E1802" s="542">
        <f t="shared" ca="1" si="704"/>
        <v>770</v>
      </c>
      <c r="F1802" s="654">
        <f t="shared" si="702"/>
        <v>2002</v>
      </c>
      <c r="G1802" s="2" t="str">
        <f t="shared" ref="G1802:H1802" si="707">G1790</f>
        <v>Apr</v>
      </c>
      <c r="H1802" s="2" t="str">
        <f t="shared" si="707"/>
        <v>T</v>
      </c>
      <c r="I1802" s="1123">
        <f t="shared" ca="1" si="696"/>
        <v>7208</v>
      </c>
      <c r="J1802" s="1123">
        <f t="shared" ca="1" si="697"/>
        <v>663</v>
      </c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</row>
    <row r="1803" spans="1:29">
      <c r="A1803" s="37" t="str">
        <f t="shared" si="699"/>
        <v>F</v>
      </c>
      <c r="B1803" s="541">
        <f t="shared" si="700"/>
        <v>2014</v>
      </c>
      <c r="C1803" s="451">
        <f t="shared" si="701"/>
        <v>5</v>
      </c>
      <c r="D1803" s="542">
        <f t="shared" ca="1" si="704"/>
        <v>8467</v>
      </c>
      <c r="E1803" s="542">
        <f t="shared" ca="1" si="704"/>
        <v>801</v>
      </c>
      <c r="F1803" s="654">
        <f t="shared" si="702"/>
        <v>2002</v>
      </c>
      <c r="G1803" s="2" t="str">
        <f t="shared" ref="G1803:H1803" si="708">G1791</f>
        <v>May</v>
      </c>
      <c r="H1803" s="2" t="str">
        <f t="shared" si="708"/>
        <v>U</v>
      </c>
      <c r="I1803" s="1123">
        <f t="shared" ca="1" si="696"/>
        <v>8127</v>
      </c>
      <c r="J1803" s="1123">
        <f t="shared" ca="1" si="697"/>
        <v>1019</v>
      </c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</row>
    <row r="1804" spans="1:29">
      <c r="A1804" s="37" t="str">
        <f t="shared" si="699"/>
        <v>G</v>
      </c>
      <c r="B1804" s="541">
        <f t="shared" si="700"/>
        <v>2014</v>
      </c>
      <c r="C1804" s="451">
        <f t="shared" si="701"/>
        <v>6</v>
      </c>
      <c r="D1804" s="542">
        <f t="shared" ca="1" si="704"/>
        <v>9021</v>
      </c>
      <c r="E1804" s="542">
        <f t="shared" ca="1" si="704"/>
        <v>804</v>
      </c>
      <c r="F1804" s="654">
        <f t="shared" si="702"/>
        <v>2002</v>
      </c>
      <c r="G1804" s="2" t="str">
        <f t="shared" ref="G1804:H1804" si="709">G1792</f>
        <v>Jun</v>
      </c>
      <c r="H1804" s="2" t="str">
        <f t="shared" si="709"/>
        <v>V</v>
      </c>
      <c r="I1804" s="1123">
        <f t="shared" ca="1" si="696"/>
        <v>8076</v>
      </c>
      <c r="J1804" s="1123">
        <f t="shared" ca="1" si="697"/>
        <v>746</v>
      </c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</row>
    <row r="1805" spans="1:29">
      <c r="A1805" s="37" t="str">
        <f t="shared" si="699"/>
        <v>H</v>
      </c>
      <c r="B1805" s="541">
        <f t="shared" si="700"/>
        <v>2014</v>
      </c>
      <c r="C1805" s="451">
        <f t="shared" si="701"/>
        <v>7</v>
      </c>
      <c r="D1805" s="542">
        <f t="shared" ca="1" si="704"/>
        <v>9327</v>
      </c>
      <c r="E1805" s="542">
        <f t="shared" ca="1" si="704"/>
        <v>804</v>
      </c>
      <c r="F1805" s="654">
        <f t="shared" si="702"/>
        <v>2002</v>
      </c>
      <c r="G1805" s="2" t="str">
        <f t="shared" ref="G1805:H1805" si="710">G1793</f>
        <v>Jul</v>
      </c>
      <c r="H1805" s="2" t="str">
        <f t="shared" si="710"/>
        <v>W</v>
      </c>
      <c r="I1805" s="1123">
        <f t="shared" ca="1" si="696"/>
        <v>9034</v>
      </c>
      <c r="J1805" s="1123">
        <f t="shared" ca="1" si="697"/>
        <v>1199</v>
      </c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</row>
    <row r="1806" spans="1:29">
      <c r="A1806" s="37" t="str">
        <f t="shared" si="699"/>
        <v>I</v>
      </c>
      <c r="B1806" s="541">
        <f t="shared" si="700"/>
        <v>2014</v>
      </c>
      <c r="C1806" s="451">
        <f t="shared" si="701"/>
        <v>8</v>
      </c>
      <c r="D1806" s="542">
        <f t="shared" ca="1" si="704"/>
        <v>9509</v>
      </c>
      <c r="E1806" s="542">
        <f t="shared" ca="1" si="704"/>
        <v>804</v>
      </c>
      <c r="F1806" s="654">
        <f t="shared" si="702"/>
        <v>2002</v>
      </c>
      <c r="G1806" s="2" t="str">
        <f t="shared" ref="G1806:H1806" si="711">G1794</f>
        <v>Aug</v>
      </c>
      <c r="H1806" s="2" t="str">
        <f t="shared" si="711"/>
        <v>X</v>
      </c>
      <c r="I1806" s="1123">
        <f t="shared" ca="1" si="696"/>
        <v>8372</v>
      </c>
      <c r="J1806" s="1123">
        <f t="shared" ca="1" si="697"/>
        <v>924</v>
      </c>
    </row>
    <row r="1807" spans="1:29">
      <c r="A1807" s="37" t="str">
        <f t="shared" si="699"/>
        <v>J</v>
      </c>
      <c r="B1807" s="541">
        <f t="shared" si="700"/>
        <v>2014</v>
      </c>
      <c r="C1807" s="451">
        <f t="shared" si="701"/>
        <v>9</v>
      </c>
      <c r="D1807" s="542">
        <f t="shared" ca="1" si="704"/>
        <v>8778</v>
      </c>
      <c r="E1807" s="542">
        <f t="shared" ca="1" si="704"/>
        <v>791</v>
      </c>
      <c r="F1807" s="654">
        <f t="shared" si="702"/>
        <v>2002</v>
      </c>
      <c r="G1807" s="2" t="str">
        <f t="shared" ref="G1807:H1807" si="712">G1795</f>
        <v>Sep</v>
      </c>
      <c r="H1807" s="2" t="str">
        <f t="shared" si="712"/>
        <v>Y</v>
      </c>
      <c r="I1807" s="1123">
        <f t="shared" ca="1" si="696"/>
        <v>8362</v>
      </c>
      <c r="J1807" s="1123">
        <f t="shared" ca="1" si="697"/>
        <v>974</v>
      </c>
    </row>
    <row r="1808" spans="1:29">
      <c r="A1808" s="37" t="str">
        <f t="shared" si="699"/>
        <v>K</v>
      </c>
      <c r="B1808" s="541">
        <f t="shared" si="700"/>
        <v>2014</v>
      </c>
      <c r="C1808" s="451">
        <f t="shared" si="701"/>
        <v>10</v>
      </c>
      <c r="D1808" s="542">
        <f t="shared" ca="1" si="704"/>
        <v>8192</v>
      </c>
      <c r="E1808" s="542">
        <f t="shared" ca="1" si="704"/>
        <v>782</v>
      </c>
      <c r="F1808" s="654">
        <f t="shared" si="702"/>
        <v>2002</v>
      </c>
      <c r="G1808" s="2" t="str">
        <f t="shared" ref="G1808:H1808" si="713">G1796</f>
        <v>Oct</v>
      </c>
      <c r="H1808" s="2" t="str">
        <f t="shared" si="713"/>
        <v>Z</v>
      </c>
      <c r="I1808" s="1123">
        <f t="shared" ref="I1808:I1839" ca="1" si="714">ROUND(INDIRECT(CONCATENATE($H1808,I$1772+($F1808-2000))),0)</f>
        <v>7920</v>
      </c>
      <c r="J1808" s="1123">
        <f t="shared" ca="1" si="697"/>
        <v>986</v>
      </c>
    </row>
    <row r="1809" spans="1:10">
      <c r="A1809" s="37" t="str">
        <f t="shared" si="699"/>
        <v>L</v>
      </c>
      <c r="B1809" s="541">
        <f t="shared" si="700"/>
        <v>2014</v>
      </c>
      <c r="C1809" s="451">
        <f t="shared" si="701"/>
        <v>11</v>
      </c>
      <c r="D1809" s="542">
        <f t="shared" ca="1" si="704"/>
        <v>6697</v>
      </c>
      <c r="E1809" s="542">
        <f t="shared" ca="1" si="704"/>
        <v>754</v>
      </c>
      <c r="F1809" s="654">
        <f t="shared" si="702"/>
        <v>2002</v>
      </c>
      <c r="G1809" s="2" t="str">
        <f t="shared" ref="G1809:H1809" si="715">G1797</f>
        <v>Nov</v>
      </c>
      <c r="H1809" s="2" t="str">
        <f t="shared" si="715"/>
        <v>AA</v>
      </c>
      <c r="I1809" s="1123">
        <f t="shared" ca="1" si="714"/>
        <v>6978</v>
      </c>
      <c r="J1809" s="1123">
        <f t="shared" ca="1" si="697"/>
        <v>806</v>
      </c>
    </row>
    <row r="1810" spans="1:10">
      <c r="A1810" s="37" t="str">
        <f t="shared" si="699"/>
        <v>M</v>
      </c>
      <c r="B1810" s="541">
        <f t="shared" si="700"/>
        <v>2014</v>
      </c>
      <c r="C1810" s="451">
        <f t="shared" si="701"/>
        <v>12</v>
      </c>
      <c r="D1810" s="542">
        <f t="shared" ca="1" si="704"/>
        <v>8764</v>
      </c>
      <c r="E1810" s="542">
        <f t="shared" ca="1" si="704"/>
        <v>1371</v>
      </c>
      <c r="F1810" s="654">
        <f t="shared" si="702"/>
        <v>2002</v>
      </c>
      <c r="G1810" s="2" t="str">
        <f t="shared" ref="G1810:H1810" si="716">G1798</f>
        <v>Dec</v>
      </c>
      <c r="H1810" s="2" t="str">
        <f t="shared" si="716"/>
        <v>AB</v>
      </c>
      <c r="I1810" s="1123">
        <f t="shared" ca="1" si="714"/>
        <v>7828</v>
      </c>
      <c r="J1810" s="1123">
        <f t="shared" ca="1" si="697"/>
        <v>1056</v>
      </c>
    </row>
    <row r="1811" spans="1:10">
      <c r="A1811" s="37" t="str">
        <f t="shared" si="699"/>
        <v>B</v>
      </c>
      <c r="B1811" s="541">
        <f t="shared" si="700"/>
        <v>2015</v>
      </c>
      <c r="C1811" s="451">
        <f t="shared" si="701"/>
        <v>1</v>
      </c>
      <c r="D1811" s="542">
        <f t="shared" ca="1" si="704"/>
        <v>10257</v>
      </c>
      <c r="E1811" s="542">
        <f t="shared" ca="1" si="704"/>
        <v>1376</v>
      </c>
      <c r="F1811" s="654">
        <f t="shared" si="702"/>
        <v>2003</v>
      </c>
      <c r="G1811" s="2" t="str">
        <f t="shared" ref="G1811:H1811" si="717">G1799</f>
        <v>Jan</v>
      </c>
      <c r="H1811" s="2" t="str">
        <f t="shared" si="717"/>
        <v>Q</v>
      </c>
      <c r="I1811" s="1123">
        <f t="shared" ca="1" si="714"/>
        <v>10507</v>
      </c>
      <c r="J1811" s="1123">
        <f t="shared" ca="1" si="697"/>
        <v>1533</v>
      </c>
    </row>
    <row r="1812" spans="1:10">
      <c r="A1812" s="37" t="str">
        <f t="shared" si="699"/>
        <v>C</v>
      </c>
      <c r="B1812" s="541">
        <f t="shared" si="700"/>
        <v>2015</v>
      </c>
      <c r="C1812" s="451">
        <f t="shared" si="701"/>
        <v>2</v>
      </c>
      <c r="D1812" s="542">
        <f t="shared" ca="1" si="704"/>
        <v>9127</v>
      </c>
      <c r="E1812" s="542">
        <f t="shared" ca="1" si="704"/>
        <v>1356</v>
      </c>
      <c r="F1812" s="654">
        <f t="shared" si="702"/>
        <v>2003</v>
      </c>
      <c r="G1812" s="2" t="str">
        <f t="shared" ref="G1812:H1812" si="718">G1800</f>
        <v>Feb</v>
      </c>
      <c r="H1812" s="2" t="str">
        <f t="shared" si="718"/>
        <v>R</v>
      </c>
      <c r="I1812" s="1123">
        <f t="shared" ca="1" si="714"/>
        <v>6508</v>
      </c>
      <c r="J1812" s="1123">
        <f t="shared" ca="1" si="697"/>
        <v>651</v>
      </c>
    </row>
    <row r="1813" spans="1:10">
      <c r="A1813" s="37" t="str">
        <f t="shared" si="699"/>
        <v>D</v>
      </c>
      <c r="B1813" s="541">
        <f t="shared" si="700"/>
        <v>2015</v>
      </c>
      <c r="C1813" s="451">
        <f t="shared" si="701"/>
        <v>3</v>
      </c>
      <c r="D1813" s="542">
        <f t="shared" ca="1" si="704"/>
        <v>8188</v>
      </c>
      <c r="E1813" s="542">
        <f t="shared" ca="1" si="704"/>
        <v>1397</v>
      </c>
      <c r="F1813" s="654">
        <f t="shared" si="702"/>
        <v>2003</v>
      </c>
      <c r="G1813" s="2" t="str">
        <f t="shared" ref="G1813:H1813" si="719">G1801</f>
        <v>Mar</v>
      </c>
      <c r="H1813" s="2" t="str">
        <f t="shared" si="719"/>
        <v>S</v>
      </c>
      <c r="I1813" s="1123">
        <f t="shared" ca="1" si="714"/>
        <v>7178</v>
      </c>
      <c r="J1813" s="1123">
        <f t="shared" ca="1" si="697"/>
        <v>726</v>
      </c>
    </row>
    <row r="1814" spans="1:10">
      <c r="A1814" s="37" t="str">
        <f t="shared" si="699"/>
        <v>E</v>
      </c>
      <c r="B1814" s="541">
        <f t="shared" si="700"/>
        <v>2015</v>
      </c>
      <c r="C1814" s="451">
        <f t="shared" si="701"/>
        <v>4</v>
      </c>
      <c r="D1814" s="542">
        <f t="shared" ca="1" si="704"/>
        <v>7781</v>
      </c>
      <c r="E1814" s="542">
        <f t="shared" ca="1" si="704"/>
        <v>770</v>
      </c>
      <c r="F1814" s="654">
        <f t="shared" si="702"/>
        <v>2003</v>
      </c>
      <c r="G1814" s="2" t="str">
        <f t="shared" ref="G1814:H1814" si="720">G1802</f>
        <v>Apr</v>
      </c>
      <c r="H1814" s="2" t="str">
        <f t="shared" si="720"/>
        <v>T</v>
      </c>
      <c r="I1814" s="1123">
        <f t="shared" ca="1" si="714"/>
        <v>7209</v>
      </c>
      <c r="J1814" s="1123">
        <f t="shared" ca="1" si="697"/>
        <v>710</v>
      </c>
    </row>
    <row r="1815" spans="1:10">
      <c r="A1815" s="37" t="str">
        <f t="shared" si="699"/>
        <v>F</v>
      </c>
      <c r="B1815" s="541">
        <f t="shared" si="700"/>
        <v>2015</v>
      </c>
      <c r="C1815" s="451">
        <f t="shared" si="701"/>
        <v>5</v>
      </c>
      <c r="D1815" s="542">
        <f t="shared" ref="D1815:E1834" ca="1" si="721">ROUND(INDIRECT(CONCATENATE($A1815,D$1772+($B1815-2011))),0)</f>
        <v>8694</v>
      </c>
      <c r="E1815" s="542">
        <f t="shared" ca="1" si="721"/>
        <v>804</v>
      </c>
      <c r="F1815" s="654">
        <f t="shared" si="702"/>
        <v>2003</v>
      </c>
      <c r="G1815" s="2" t="str">
        <f t="shared" ref="G1815:H1815" si="722">G1803</f>
        <v>May</v>
      </c>
      <c r="H1815" s="2" t="str">
        <f t="shared" si="722"/>
        <v>U</v>
      </c>
      <c r="I1815" s="1123">
        <f t="shared" ca="1" si="714"/>
        <v>8037</v>
      </c>
      <c r="J1815" s="1123">
        <f t="shared" ca="1" si="697"/>
        <v>709</v>
      </c>
    </row>
    <row r="1816" spans="1:10">
      <c r="A1816" s="37" t="str">
        <f t="shared" si="699"/>
        <v>G</v>
      </c>
      <c r="B1816" s="541">
        <f t="shared" si="700"/>
        <v>2015</v>
      </c>
      <c r="C1816" s="451">
        <f t="shared" si="701"/>
        <v>6</v>
      </c>
      <c r="D1816" s="542">
        <f t="shared" ca="1" si="721"/>
        <v>9246</v>
      </c>
      <c r="E1816" s="542">
        <f t="shared" ca="1" si="721"/>
        <v>806</v>
      </c>
      <c r="F1816" s="654">
        <f t="shared" si="702"/>
        <v>2003</v>
      </c>
      <c r="G1816" s="2" t="str">
        <f t="shared" ref="G1816:H1816" si="723">G1804</f>
        <v>Jun</v>
      </c>
      <c r="H1816" s="2" t="str">
        <f t="shared" si="723"/>
        <v>V</v>
      </c>
      <c r="I1816" s="1123">
        <f t="shared" ca="1" si="714"/>
        <v>8287</v>
      </c>
      <c r="J1816" s="1123">
        <f t="shared" ca="1" si="697"/>
        <v>728</v>
      </c>
    </row>
    <row r="1817" spans="1:10">
      <c r="A1817" s="37" t="str">
        <f t="shared" si="699"/>
        <v>H</v>
      </c>
      <c r="B1817" s="541">
        <f t="shared" si="700"/>
        <v>2015</v>
      </c>
      <c r="C1817" s="451">
        <f t="shared" si="701"/>
        <v>7</v>
      </c>
      <c r="D1817" s="542">
        <f t="shared" ca="1" si="721"/>
        <v>9562</v>
      </c>
      <c r="E1817" s="542">
        <f t="shared" ca="1" si="721"/>
        <v>806</v>
      </c>
      <c r="F1817" s="654">
        <f t="shared" si="702"/>
        <v>2003</v>
      </c>
      <c r="G1817" s="2" t="str">
        <f t="shared" ref="G1817:H1817" si="724">G1805</f>
        <v>Jul</v>
      </c>
      <c r="H1817" s="2" t="str">
        <f t="shared" si="724"/>
        <v>W</v>
      </c>
      <c r="I1817" s="1123">
        <f t="shared" ca="1" si="714"/>
        <v>8476</v>
      </c>
      <c r="J1817" s="1123">
        <f t="shared" ca="1" si="697"/>
        <v>883</v>
      </c>
    </row>
    <row r="1818" spans="1:10">
      <c r="A1818" s="37" t="str">
        <f t="shared" si="699"/>
        <v>I</v>
      </c>
      <c r="B1818" s="541">
        <f t="shared" si="700"/>
        <v>2015</v>
      </c>
      <c r="C1818" s="451">
        <f t="shared" si="701"/>
        <v>8</v>
      </c>
      <c r="D1818" s="542">
        <f t="shared" ca="1" si="721"/>
        <v>9750</v>
      </c>
      <c r="E1818" s="542">
        <f t="shared" ca="1" si="721"/>
        <v>806</v>
      </c>
      <c r="F1818" s="654">
        <f t="shared" si="702"/>
        <v>2003</v>
      </c>
      <c r="G1818" s="2" t="str">
        <f t="shared" ref="G1818:H1818" si="725">G1806</f>
        <v>Aug</v>
      </c>
      <c r="H1818" s="2" t="str">
        <f t="shared" si="725"/>
        <v>X</v>
      </c>
      <c r="I1818" s="1123">
        <f t="shared" ca="1" si="714"/>
        <v>8254</v>
      </c>
      <c r="J1818" s="1123">
        <f t="shared" ca="1" si="697"/>
        <v>791</v>
      </c>
    </row>
    <row r="1819" spans="1:10">
      <c r="A1819" s="37" t="str">
        <f t="shared" si="699"/>
        <v>J</v>
      </c>
      <c r="B1819" s="541">
        <f t="shared" si="700"/>
        <v>2015</v>
      </c>
      <c r="C1819" s="451">
        <f t="shared" si="701"/>
        <v>9</v>
      </c>
      <c r="D1819" s="542">
        <f t="shared" ca="1" si="721"/>
        <v>8984</v>
      </c>
      <c r="E1819" s="542">
        <f t="shared" ca="1" si="721"/>
        <v>791</v>
      </c>
      <c r="F1819" s="654">
        <f t="shared" si="702"/>
        <v>2003</v>
      </c>
      <c r="G1819" s="2" t="str">
        <f t="shared" ref="G1819:H1819" si="726">G1807</f>
        <v>Sep</v>
      </c>
      <c r="H1819" s="2" t="str">
        <f t="shared" si="726"/>
        <v>Y</v>
      </c>
      <c r="I1819" s="1123">
        <f t="shared" ca="1" si="714"/>
        <v>7982</v>
      </c>
      <c r="J1819" s="1123">
        <f t="shared" ca="1" si="697"/>
        <v>703</v>
      </c>
    </row>
    <row r="1820" spans="1:10">
      <c r="A1820" s="37" t="str">
        <f t="shared" si="699"/>
        <v>K</v>
      </c>
      <c r="B1820" s="541">
        <f t="shared" si="700"/>
        <v>2015</v>
      </c>
      <c r="C1820" s="451">
        <f t="shared" si="701"/>
        <v>10</v>
      </c>
      <c r="D1820" s="542">
        <f t="shared" ca="1" si="721"/>
        <v>8472</v>
      </c>
      <c r="E1820" s="542">
        <f t="shared" ca="1" si="721"/>
        <v>783</v>
      </c>
      <c r="F1820" s="654">
        <f t="shared" si="702"/>
        <v>2003</v>
      </c>
      <c r="G1820" s="2" t="str">
        <f t="shared" ref="G1820:H1820" si="727">G1808</f>
        <v>Oct</v>
      </c>
      <c r="H1820" s="2" t="str">
        <f t="shared" si="727"/>
        <v>Z</v>
      </c>
      <c r="I1820" s="1123">
        <f t="shared" ca="1" si="714"/>
        <v>7383</v>
      </c>
      <c r="J1820" s="1123">
        <f t="shared" ca="1" si="697"/>
        <v>536</v>
      </c>
    </row>
    <row r="1821" spans="1:10">
      <c r="A1821" s="37" t="str">
        <f t="shared" si="699"/>
        <v>L</v>
      </c>
      <c r="B1821" s="541">
        <f t="shared" si="700"/>
        <v>2015</v>
      </c>
      <c r="C1821" s="451">
        <f t="shared" si="701"/>
        <v>11</v>
      </c>
      <c r="D1821" s="542">
        <f t="shared" ca="1" si="721"/>
        <v>6902</v>
      </c>
      <c r="E1821" s="542">
        <f t="shared" ca="1" si="721"/>
        <v>756</v>
      </c>
      <c r="F1821" s="654">
        <f t="shared" si="702"/>
        <v>2003</v>
      </c>
      <c r="G1821" s="2" t="str">
        <f t="shared" ref="G1821:H1821" si="728">G1809</f>
        <v>Nov</v>
      </c>
      <c r="H1821" s="2" t="str">
        <f t="shared" si="728"/>
        <v>AA</v>
      </c>
      <c r="I1821" s="1123">
        <f t="shared" ca="1" si="714"/>
        <v>6887</v>
      </c>
      <c r="J1821" s="1123">
        <f t="shared" ca="1" si="697"/>
        <v>544</v>
      </c>
    </row>
    <row r="1822" spans="1:10">
      <c r="A1822" s="37" t="str">
        <f t="shared" si="699"/>
        <v>M</v>
      </c>
      <c r="B1822" s="541">
        <f t="shared" si="700"/>
        <v>2015</v>
      </c>
      <c r="C1822" s="451">
        <f t="shared" si="701"/>
        <v>12</v>
      </c>
      <c r="D1822" s="542">
        <f t="shared" ca="1" si="721"/>
        <v>8879</v>
      </c>
      <c r="E1822" s="542">
        <f t="shared" ca="1" si="721"/>
        <v>1374</v>
      </c>
      <c r="F1822" s="654">
        <f t="shared" si="702"/>
        <v>2003</v>
      </c>
      <c r="G1822" s="2" t="str">
        <f t="shared" ref="G1822:H1822" si="729">G1810</f>
        <v>Dec</v>
      </c>
      <c r="H1822" s="2" t="str">
        <f t="shared" si="729"/>
        <v>AB</v>
      </c>
      <c r="I1822" s="1123">
        <f t="shared" ca="1" si="714"/>
        <v>8172</v>
      </c>
      <c r="J1822" s="1123">
        <f t="shared" ca="1" si="697"/>
        <v>1195</v>
      </c>
    </row>
    <row r="1823" spans="1:10">
      <c r="A1823" s="37" t="str">
        <f t="shared" si="699"/>
        <v>B</v>
      </c>
      <c r="B1823" s="541">
        <f t="shared" si="700"/>
        <v>2016</v>
      </c>
      <c r="C1823" s="451">
        <f t="shared" si="701"/>
        <v>1</v>
      </c>
      <c r="D1823" s="542">
        <f t="shared" ca="1" si="721"/>
        <v>10511</v>
      </c>
      <c r="E1823" s="542">
        <f t="shared" ca="1" si="721"/>
        <v>1378</v>
      </c>
      <c r="F1823" s="654">
        <f t="shared" si="702"/>
        <v>2004</v>
      </c>
      <c r="G1823" s="2" t="str">
        <f t="shared" ref="G1823:H1823" si="730">G1811</f>
        <v>Jan</v>
      </c>
      <c r="H1823" s="2" t="str">
        <f t="shared" si="730"/>
        <v>Q</v>
      </c>
      <c r="I1823" s="1123">
        <f t="shared" ca="1" si="714"/>
        <v>8748</v>
      </c>
      <c r="J1823" s="1123">
        <f t="shared" ca="1" si="697"/>
        <v>1163</v>
      </c>
    </row>
    <row r="1824" spans="1:10">
      <c r="A1824" s="37" t="str">
        <f t="shared" si="699"/>
        <v>C</v>
      </c>
      <c r="B1824" s="541">
        <f t="shared" si="700"/>
        <v>2016</v>
      </c>
      <c r="C1824" s="451">
        <f t="shared" si="701"/>
        <v>2</v>
      </c>
      <c r="D1824" s="542">
        <f t="shared" ca="1" si="721"/>
        <v>9338</v>
      </c>
      <c r="E1824" s="542">
        <f t="shared" ca="1" si="721"/>
        <v>1357</v>
      </c>
      <c r="F1824" s="654">
        <f t="shared" si="702"/>
        <v>2004</v>
      </c>
      <c r="G1824" s="2" t="str">
        <f t="shared" ref="G1824:H1824" si="731">G1812</f>
        <v>Feb</v>
      </c>
      <c r="H1824" s="2" t="str">
        <f t="shared" si="731"/>
        <v>R</v>
      </c>
      <c r="I1824" s="1123">
        <f t="shared" ca="1" si="714"/>
        <v>7791</v>
      </c>
      <c r="J1824" s="1123">
        <f t="shared" ca="1" si="697"/>
        <v>890</v>
      </c>
    </row>
    <row r="1825" spans="1:10">
      <c r="A1825" s="37" t="str">
        <f t="shared" si="699"/>
        <v>D</v>
      </c>
      <c r="B1825" s="541">
        <f t="shared" si="700"/>
        <v>2016</v>
      </c>
      <c r="C1825" s="451">
        <f t="shared" si="701"/>
        <v>3</v>
      </c>
      <c r="D1825" s="542">
        <f t="shared" ca="1" si="721"/>
        <v>8445</v>
      </c>
      <c r="E1825" s="542">
        <f t="shared" ca="1" si="721"/>
        <v>1399</v>
      </c>
      <c r="F1825" s="654">
        <f t="shared" si="702"/>
        <v>2004</v>
      </c>
      <c r="G1825" s="2" t="str">
        <f t="shared" ref="G1825:H1825" si="732">G1813</f>
        <v>Mar</v>
      </c>
      <c r="H1825" s="2" t="str">
        <f t="shared" si="732"/>
        <v>S</v>
      </c>
      <c r="I1825" s="1123">
        <f t="shared" ca="1" si="714"/>
        <v>6017</v>
      </c>
      <c r="J1825" s="1123">
        <f t="shared" ca="1" si="697"/>
        <v>552</v>
      </c>
    </row>
    <row r="1826" spans="1:10">
      <c r="A1826" s="37" t="str">
        <f t="shared" si="699"/>
        <v>E</v>
      </c>
      <c r="B1826" s="541">
        <f t="shared" si="700"/>
        <v>2016</v>
      </c>
      <c r="C1826" s="451">
        <f t="shared" si="701"/>
        <v>4</v>
      </c>
      <c r="D1826" s="542">
        <f t="shared" ca="1" si="721"/>
        <v>8037</v>
      </c>
      <c r="E1826" s="542">
        <f t="shared" ca="1" si="721"/>
        <v>770</v>
      </c>
      <c r="F1826" s="654">
        <f t="shared" si="702"/>
        <v>2004</v>
      </c>
      <c r="G1826" s="2" t="str">
        <f t="shared" ref="G1826:H1826" si="733">G1814</f>
        <v>Apr</v>
      </c>
      <c r="H1826" s="2" t="str">
        <f t="shared" si="733"/>
        <v>T</v>
      </c>
      <c r="I1826" s="1123">
        <f t="shared" ca="1" si="714"/>
        <v>6760</v>
      </c>
      <c r="J1826" s="1123">
        <f t="shared" ca="1" si="697"/>
        <v>549</v>
      </c>
    </row>
    <row r="1827" spans="1:10">
      <c r="A1827" s="37" t="str">
        <f t="shared" si="699"/>
        <v>F</v>
      </c>
      <c r="B1827" s="541">
        <f t="shared" si="700"/>
        <v>2016</v>
      </c>
      <c r="C1827" s="451">
        <f t="shared" si="701"/>
        <v>5</v>
      </c>
      <c r="D1827" s="542">
        <f t="shared" ca="1" si="721"/>
        <v>9013</v>
      </c>
      <c r="E1827" s="542">
        <f t="shared" ca="1" si="721"/>
        <v>806</v>
      </c>
      <c r="F1827" s="654">
        <f t="shared" si="702"/>
        <v>2004</v>
      </c>
      <c r="G1827" s="2" t="str">
        <f t="shared" ref="G1827:H1827" si="734">G1815</f>
        <v>May</v>
      </c>
      <c r="H1827" s="2" t="str">
        <f t="shared" si="734"/>
        <v>U</v>
      </c>
      <c r="I1827" s="1123">
        <f t="shared" ca="1" si="714"/>
        <v>8446</v>
      </c>
      <c r="J1827" s="1123">
        <f t="shared" ca="1" si="697"/>
        <v>837</v>
      </c>
    </row>
    <row r="1828" spans="1:10">
      <c r="A1828" s="37" t="str">
        <f t="shared" si="699"/>
        <v>G</v>
      </c>
      <c r="B1828" s="541">
        <f t="shared" si="700"/>
        <v>2016</v>
      </c>
      <c r="C1828" s="451">
        <f t="shared" si="701"/>
        <v>6</v>
      </c>
      <c r="D1828" s="542">
        <f t="shared" ca="1" si="721"/>
        <v>9319</v>
      </c>
      <c r="E1828" s="542">
        <f t="shared" ca="1" si="721"/>
        <v>659</v>
      </c>
      <c r="F1828" s="654">
        <f t="shared" si="702"/>
        <v>2004</v>
      </c>
      <c r="G1828" s="2" t="str">
        <f t="shared" ref="G1828:H1828" si="735">G1816</f>
        <v>Jun</v>
      </c>
      <c r="H1828" s="2" t="str">
        <f t="shared" si="735"/>
        <v>V</v>
      </c>
      <c r="I1828" s="1123">
        <f t="shared" ca="1" si="714"/>
        <v>9125</v>
      </c>
      <c r="J1828" s="1123">
        <f t="shared" ca="1" si="697"/>
        <v>1067</v>
      </c>
    </row>
    <row r="1829" spans="1:10">
      <c r="A1829" s="37" t="str">
        <f t="shared" si="699"/>
        <v>H</v>
      </c>
      <c r="B1829" s="541">
        <f t="shared" si="700"/>
        <v>2016</v>
      </c>
      <c r="C1829" s="451">
        <f t="shared" si="701"/>
        <v>7</v>
      </c>
      <c r="D1829" s="542">
        <f t="shared" ca="1" si="721"/>
        <v>9641</v>
      </c>
      <c r="E1829" s="542">
        <f t="shared" ca="1" si="721"/>
        <v>658</v>
      </c>
      <c r="F1829" s="654">
        <f t="shared" si="702"/>
        <v>2004</v>
      </c>
      <c r="G1829" s="2" t="str">
        <f t="shared" ref="G1829:H1829" si="736">G1817</f>
        <v>Jul</v>
      </c>
      <c r="H1829" s="2" t="str">
        <f t="shared" si="736"/>
        <v>W</v>
      </c>
      <c r="I1829" s="1123">
        <f t="shared" ca="1" si="714"/>
        <v>9058</v>
      </c>
      <c r="J1829" s="1123">
        <f t="shared" ca="1" si="697"/>
        <v>1078</v>
      </c>
    </row>
    <row r="1830" spans="1:10">
      <c r="A1830" s="37" t="str">
        <f t="shared" si="699"/>
        <v>I</v>
      </c>
      <c r="B1830" s="541">
        <f t="shared" si="700"/>
        <v>2016</v>
      </c>
      <c r="C1830" s="451">
        <f t="shared" si="701"/>
        <v>8</v>
      </c>
      <c r="D1830" s="542">
        <f t="shared" ca="1" si="721"/>
        <v>9865</v>
      </c>
      <c r="E1830" s="542">
        <f t="shared" ca="1" si="721"/>
        <v>658</v>
      </c>
      <c r="F1830" s="654">
        <f t="shared" si="702"/>
        <v>2004</v>
      </c>
      <c r="G1830" s="2" t="str">
        <f t="shared" ref="G1830:H1830" si="737">G1818</f>
        <v>Aug</v>
      </c>
      <c r="H1830" s="2" t="str">
        <f t="shared" si="737"/>
        <v>X</v>
      </c>
      <c r="I1830" s="1123">
        <f t="shared" ca="1" si="714"/>
        <v>8842</v>
      </c>
      <c r="J1830" s="1123">
        <f t="shared" ca="1" si="697"/>
        <v>1002</v>
      </c>
    </row>
    <row r="1831" spans="1:10">
      <c r="A1831" s="37" t="str">
        <f t="shared" si="699"/>
        <v>J</v>
      </c>
      <c r="B1831" s="541">
        <f t="shared" si="700"/>
        <v>2016</v>
      </c>
      <c r="C1831" s="451">
        <f t="shared" si="701"/>
        <v>9</v>
      </c>
      <c r="D1831" s="542">
        <f t="shared" ca="1" si="721"/>
        <v>9037</v>
      </c>
      <c r="E1831" s="542">
        <f t="shared" ca="1" si="721"/>
        <v>642</v>
      </c>
      <c r="F1831" s="654">
        <f t="shared" si="702"/>
        <v>2004</v>
      </c>
      <c r="G1831" s="2" t="str">
        <f t="shared" ref="G1831:H1831" si="738">G1819</f>
        <v>Sep</v>
      </c>
      <c r="H1831" s="2" t="str">
        <f t="shared" si="738"/>
        <v>Y</v>
      </c>
      <c r="I1831" s="1123">
        <f t="shared" ca="1" si="714"/>
        <v>8628</v>
      </c>
      <c r="J1831" s="1123">
        <f t="shared" ca="1" si="697"/>
        <v>959</v>
      </c>
    </row>
    <row r="1832" spans="1:10">
      <c r="A1832" s="37" t="str">
        <f t="shared" si="699"/>
        <v>K</v>
      </c>
      <c r="B1832" s="541">
        <f t="shared" si="700"/>
        <v>2016</v>
      </c>
      <c r="C1832" s="451">
        <f t="shared" si="701"/>
        <v>10</v>
      </c>
      <c r="D1832" s="542">
        <f t="shared" ca="1" si="721"/>
        <v>8597</v>
      </c>
      <c r="E1832" s="542">
        <f t="shared" ca="1" si="721"/>
        <v>634</v>
      </c>
      <c r="F1832" s="654">
        <f t="shared" si="702"/>
        <v>2004</v>
      </c>
      <c r="G1832" s="2" t="str">
        <f t="shared" ref="G1832:H1832" si="739">G1820</f>
        <v>Oct</v>
      </c>
      <c r="H1832" s="2" t="str">
        <f t="shared" si="739"/>
        <v>Z</v>
      </c>
      <c r="I1832" s="1123">
        <f t="shared" ca="1" si="714"/>
        <v>8324</v>
      </c>
      <c r="J1832" s="1123">
        <f t="shared" ca="1" si="697"/>
        <v>820</v>
      </c>
    </row>
    <row r="1833" spans="1:10">
      <c r="A1833" s="37" t="str">
        <f t="shared" si="699"/>
        <v>L</v>
      </c>
      <c r="B1833" s="541">
        <f t="shared" si="700"/>
        <v>2016</v>
      </c>
      <c r="C1833" s="451">
        <f t="shared" si="701"/>
        <v>11</v>
      </c>
      <c r="D1833" s="542">
        <f t="shared" ca="1" si="721"/>
        <v>6955</v>
      </c>
      <c r="E1833" s="542">
        <f t="shared" ca="1" si="721"/>
        <v>608</v>
      </c>
      <c r="F1833" s="654">
        <f t="shared" si="702"/>
        <v>2004</v>
      </c>
      <c r="G1833" s="2" t="str">
        <f t="shared" ref="G1833:H1833" si="740">G1821</f>
        <v>Nov</v>
      </c>
      <c r="H1833" s="2" t="str">
        <f t="shared" si="740"/>
        <v>AA</v>
      </c>
      <c r="I1833" s="1123">
        <f t="shared" ca="1" si="714"/>
        <v>7313</v>
      </c>
      <c r="J1833" s="1123">
        <f t="shared" ca="1" si="697"/>
        <v>752</v>
      </c>
    </row>
    <row r="1834" spans="1:10">
      <c r="A1834" s="37" t="str">
        <f t="shared" si="699"/>
        <v>M</v>
      </c>
      <c r="B1834" s="541">
        <f t="shared" si="700"/>
        <v>2016</v>
      </c>
      <c r="C1834" s="451">
        <f t="shared" si="701"/>
        <v>12</v>
      </c>
      <c r="D1834" s="542">
        <f t="shared" ca="1" si="721"/>
        <v>8842</v>
      </c>
      <c r="E1834" s="542">
        <f t="shared" ca="1" si="721"/>
        <v>1227</v>
      </c>
      <c r="F1834" s="654">
        <f t="shared" si="702"/>
        <v>2004</v>
      </c>
      <c r="G1834" s="2" t="str">
        <f t="shared" ref="G1834:H1834" si="741">G1822</f>
        <v>Dec</v>
      </c>
      <c r="H1834" s="2" t="str">
        <f t="shared" si="741"/>
        <v>AB</v>
      </c>
      <c r="I1834" s="1123">
        <f t="shared" ca="1" si="714"/>
        <v>8303</v>
      </c>
      <c r="J1834" s="1123">
        <f t="shared" ca="1" si="697"/>
        <v>1067</v>
      </c>
    </row>
    <row r="1835" spans="1:10">
      <c r="A1835" s="37" t="str">
        <f t="shared" si="699"/>
        <v>B</v>
      </c>
      <c r="B1835" s="541">
        <f t="shared" si="700"/>
        <v>2017</v>
      </c>
      <c r="C1835" s="451">
        <f t="shared" si="701"/>
        <v>1</v>
      </c>
      <c r="D1835" s="542">
        <f t="shared" ref="D1835:E1850" ca="1" si="742">ROUND(INDIRECT(CONCATENATE($A1835,D$1772+($B1835-2011))),0)</f>
        <v>10473</v>
      </c>
      <c r="E1835" s="542">
        <f t="shared" ca="1" si="742"/>
        <v>1088</v>
      </c>
      <c r="F1835" s="654">
        <f t="shared" si="702"/>
        <v>2005</v>
      </c>
      <c r="G1835" s="2" t="str">
        <f t="shared" ref="G1835:H1835" si="743">G1823</f>
        <v>Jan</v>
      </c>
      <c r="H1835" s="2" t="str">
        <f t="shared" si="743"/>
        <v>Q</v>
      </c>
      <c r="I1835" s="1123">
        <f t="shared" ca="1" si="714"/>
        <v>10226</v>
      </c>
      <c r="J1835" s="1123">
        <f t="shared" ca="1" si="697"/>
        <v>1600</v>
      </c>
    </row>
    <row r="1836" spans="1:10">
      <c r="A1836" s="37" t="str">
        <f t="shared" si="699"/>
        <v>C</v>
      </c>
      <c r="B1836" s="541">
        <f t="shared" si="700"/>
        <v>2017</v>
      </c>
      <c r="C1836" s="451">
        <f t="shared" si="701"/>
        <v>2</v>
      </c>
      <c r="D1836" s="542">
        <f t="shared" ca="1" si="742"/>
        <v>9281</v>
      </c>
      <c r="E1836" s="542">
        <f t="shared" ca="1" si="742"/>
        <v>1086</v>
      </c>
      <c r="F1836" s="654">
        <f t="shared" si="702"/>
        <v>2005</v>
      </c>
      <c r="G1836" s="2" t="str">
        <f t="shared" ref="G1836:H1836" si="744">G1824</f>
        <v>Feb</v>
      </c>
      <c r="H1836" s="2" t="str">
        <f t="shared" si="744"/>
        <v>R</v>
      </c>
      <c r="I1836" s="1123">
        <f t="shared" ca="1" si="714"/>
        <v>7398</v>
      </c>
      <c r="J1836" s="1123">
        <f t="shared" ca="1" si="697"/>
        <v>950</v>
      </c>
    </row>
    <row r="1837" spans="1:10">
      <c r="A1837" s="37" t="str">
        <f t="shared" si="699"/>
        <v>D</v>
      </c>
      <c r="B1837" s="541">
        <f t="shared" si="700"/>
        <v>2017</v>
      </c>
      <c r="C1837" s="451">
        <f t="shared" si="701"/>
        <v>3</v>
      </c>
      <c r="D1837" s="542">
        <f t="shared" ca="1" si="742"/>
        <v>8212</v>
      </c>
      <c r="E1837" s="542">
        <f t="shared" ca="1" si="742"/>
        <v>1084</v>
      </c>
      <c r="F1837" s="654">
        <f t="shared" si="702"/>
        <v>2005</v>
      </c>
      <c r="G1837" s="2" t="str">
        <f t="shared" ref="G1837:H1837" si="745">G1825</f>
        <v>Mar</v>
      </c>
      <c r="H1837" s="2" t="str">
        <f t="shared" si="745"/>
        <v>S</v>
      </c>
      <c r="I1837" s="1123">
        <f t="shared" ca="1" si="714"/>
        <v>7610</v>
      </c>
      <c r="J1837" s="1123">
        <f t="shared" ca="1" si="697"/>
        <v>948</v>
      </c>
    </row>
    <row r="1838" spans="1:10">
      <c r="A1838" s="37" t="str">
        <f t="shared" si="699"/>
        <v>E</v>
      </c>
      <c r="B1838" s="541">
        <f t="shared" si="700"/>
        <v>2017</v>
      </c>
      <c r="C1838" s="451">
        <f t="shared" si="701"/>
        <v>4</v>
      </c>
      <c r="D1838" s="542">
        <f t="shared" ca="1" si="742"/>
        <v>8011</v>
      </c>
      <c r="E1838" s="542">
        <f t="shared" ca="1" si="742"/>
        <v>484</v>
      </c>
      <c r="F1838" s="654">
        <f t="shared" si="702"/>
        <v>2005</v>
      </c>
      <c r="G1838" s="2" t="str">
        <f t="shared" ref="G1838:H1838" si="746">G1826</f>
        <v>Apr</v>
      </c>
      <c r="H1838" s="2" t="str">
        <f t="shared" si="746"/>
        <v>T</v>
      </c>
      <c r="I1838" s="1123">
        <f t="shared" ca="1" si="714"/>
        <v>7012</v>
      </c>
      <c r="J1838" s="1123">
        <f t="shared" ca="1" si="697"/>
        <v>689</v>
      </c>
    </row>
    <row r="1839" spans="1:10">
      <c r="A1839" s="37" t="str">
        <f t="shared" si="699"/>
        <v>F</v>
      </c>
      <c r="B1839" s="541">
        <f t="shared" si="700"/>
        <v>2017</v>
      </c>
      <c r="C1839" s="451">
        <f t="shared" si="701"/>
        <v>5</v>
      </c>
      <c r="D1839" s="542">
        <f t="shared" ca="1" si="742"/>
        <v>9017</v>
      </c>
      <c r="E1839" s="542">
        <f t="shared" ca="1" si="742"/>
        <v>486</v>
      </c>
      <c r="F1839" s="654">
        <f t="shared" si="702"/>
        <v>2005</v>
      </c>
      <c r="G1839" s="2" t="str">
        <f t="shared" ref="G1839:H1839" si="747">G1827</f>
        <v>May</v>
      </c>
      <c r="H1839" s="2" t="str">
        <f t="shared" si="747"/>
        <v>U</v>
      </c>
      <c r="I1839" s="1123">
        <f t="shared" ca="1" si="714"/>
        <v>8478</v>
      </c>
      <c r="J1839" s="1123">
        <f t="shared" ca="1" si="697"/>
        <v>1025</v>
      </c>
    </row>
    <row r="1840" spans="1:10">
      <c r="A1840" s="37" t="str">
        <f t="shared" si="699"/>
        <v>G</v>
      </c>
      <c r="B1840" s="541">
        <f t="shared" si="700"/>
        <v>2017</v>
      </c>
      <c r="C1840" s="451">
        <f t="shared" si="701"/>
        <v>6</v>
      </c>
      <c r="D1840" s="542">
        <f t="shared" ca="1" si="742"/>
        <v>9476</v>
      </c>
      <c r="E1840" s="542">
        <f t="shared" ca="1" si="742"/>
        <v>589</v>
      </c>
      <c r="F1840" s="654">
        <f t="shared" si="702"/>
        <v>2005</v>
      </c>
      <c r="G1840" s="2" t="str">
        <f t="shared" ref="G1840:H1840" si="748">G1828</f>
        <v>Jun</v>
      </c>
      <c r="H1840" s="2" t="str">
        <f t="shared" si="748"/>
        <v>V</v>
      </c>
      <c r="I1840" s="1123">
        <f t="shared" ref="I1840:I1871" ca="1" si="749">ROUND(INDIRECT(CONCATENATE($H1840,I$1772+($F1840-2000))),0)</f>
        <v>8927</v>
      </c>
      <c r="J1840" s="1123">
        <f t="shared" ref="J1840:J1903" ca="1" si="750">ROUND(INDIRECT(CONCATENATE($H1840,J$1772+($F1840-2000))),0)</f>
        <v>1032</v>
      </c>
    </row>
    <row r="1841" spans="1:15">
      <c r="A1841" s="37" t="str">
        <f t="shared" si="699"/>
        <v>H</v>
      </c>
      <c r="B1841" s="541">
        <f t="shared" si="700"/>
        <v>2017</v>
      </c>
      <c r="C1841" s="451">
        <f t="shared" si="701"/>
        <v>7</v>
      </c>
      <c r="D1841" s="542">
        <f t="shared" ca="1" si="742"/>
        <v>9806</v>
      </c>
      <c r="E1841" s="542">
        <f t="shared" ca="1" si="742"/>
        <v>588</v>
      </c>
      <c r="F1841" s="654">
        <f t="shared" si="702"/>
        <v>2005</v>
      </c>
      <c r="G1841" s="2" t="str">
        <f t="shared" ref="G1841:H1841" si="751">G1829</f>
        <v>Jul</v>
      </c>
      <c r="H1841" s="2" t="str">
        <f t="shared" si="751"/>
        <v>W</v>
      </c>
      <c r="I1841" s="1123">
        <f t="shared" ca="1" si="749"/>
        <v>9671</v>
      </c>
      <c r="J1841" s="1123">
        <f t="shared" ca="1" si="750"/>
        <v>1267</v>
      </c>
    </row>
    <row r="1842" spans="1:15">
      <c r="A1842" s="37" t="str">
        <f t="shared" si="699"/>
        <v>I</v>
      </c>
      <c r="B1842" s="541">
        <f t="shared" si="700"/>
        <v>2017</v>
      </c>
      <c r="C1842" s="451">
        <f t="shared" si="701"/>
        <v>8</v>
      </c>
      <c r="D1842" s="542">
        <f t="shared" ca="1" si="742"/>
        <v>10064</v>
      </c>
      <c r="E1842" s="542">
        <f t="shared" ca="1" si="742"/>
        <v>587</v>
      </c>
      <c r="F1842" s="654">
        <f t="shared" si="702"/>
        <v>2005</v>
      </c>
      <c r="G1842" s="2" t="str">
        <f t="shared" ref="G1842:H1842" si="752">G1830</f>
        <v>Aug</v>
      </c>
      <c r="H1842" s="2" t="str">
        <f t="shared" si="752"/>
        <v>X</v>
      </c>
      <c r="I1842" s="1123">
        <f t="shared" ca="1" si="749"/>
        <v>9686</v>
      </c>
      <c r="J1842" s="1123">
        <f t="shared" ca="1" si="750"/>
        <v>1117</v>
      </c>
    </row>
    <row r="1843" spans="1:15">
      <c r="A1843" s="37" t="str">
        <f t="shared" si="699"/>
        <v>J</v>
      </c>
      <c r="B1843" s="541">
        <f t="shared" si="700"/>
        <v>2017</v>
      </c>
      <c r="C1843" s="451">
        <f t="shared" si="701"/>
        <v>9</v>
      </c>
      <c r="D1843" s="542">
        <f t="shared" ca="1" si="742"/>
        <v>9192</v>
      </c>
      <c r="E1843" s="542">
        <f t="shared" ca="1" si="742"/>
        <v>587</v>
      </c>
      <c r="F1843" s="654">
        <f t="shared" si="702"/>
        <v>2005</v>
      </c>
      <c r="G1843" s="2" t="str">
        <f t="shared" ref="G1843:H1843" si="753">G1831</f>
        <v>Sep</v>
      </c>
      <c r="H1843" s="2" t="str">
        <f t="shared" si="753"/>
        <v>Y</v>
      </c>
      <c r="I1843" s="1123">
        <f t="shared" ca="1" si="749"/>
        <v>9095</v>
      </c>
      <c r="J1843" s="1123">
        <f t="shared" ca="1" si="750"/>
        <v>1140</v>
      </c>
    </row>
    <row r="1844" spans="1:15">
      <c r="A1844" s="37" t="str">
        <f t="shared" si="699"/>
        <v>K</v>
      </c>
      <c r="B1844" s="541">
        <f t="shared" si="700"/>
        <v>2017</v>
      </c>
      <c r="C1844" s="451">
        <f t="shared" si="701"/>
        <v>10</v>
      </c>
      <c r="D1844" s="542">
        <f t="shared" ca="1" si="742"/>
        <v>8728</v>
      </c>
      <c r="E1844" s="542">
        <f t="shared" ca="1" si="742"/>
        <v>485</v>
      </c>
      <c r="F1844" s="654">
        <f t="shared" si="702"/>
        <v>2005</v>
      </c>
      <c r="G1844" s="2" t="str">
        <f t="shared" ref="G1844:H1844" si="754">G1832</f>
        <v>Oct</v>
      </c>
      <c r="H1844" s="2" t="str">
        <f t="shared" si="754"/>
        <v>Z</v>
      </c>
      <c r="I1844" s="1123">
        <f t="shared" ca="1" si="749"/>
        <v>8301</v>
      </c>
      <c r="J1844" s="1123">
        <f t="shared" ca="1" si="750"/>
        <v>866</v>
      </c>
    </row>
    <row r="1845" spans="1:15">
      <c r="A1845" s="37" t="str">
        <f t="shared" si="699"/>
        <v>L</v>
      </c>
      <c r="B1845" s="541">
        <f t="shared" si="700"/>
        <v>2017</v>
      </c>
      <c r="C1845" s="451">
        <f t="shared" si="701"/>
        <v>11</v>
      </c>
      <c r="D1845" s="542">
        <f t="shared" ca="1" si="742"/>
        <v>7039</v>
      </c>
      <c r="E1845" s="542">
        <f t="shared" ca="1" si="742"/>
        <v>481</v>
      </c>
      <c r="F1845" s="654">
        <f t="shared" si="702"/>
        <v>2005</v>
      </c>
      <c r="G1845" s="2" t="str">
        <f t="shared" ref="G1845:H1845" si="755">G1833</f>
        <v>Nov</v>
      </c>
      <c r="H1845" s="2" t="str">
        <f t="shared" si="755"/>
        <v>AA</v>
      </c>
      <c r="I1845" s="1123">
        <f t="shared" ca="1" si="749"/>
        <v>6424</v>
      </c>
      <c r="J1845" s="1123">
        <f t="shared" ca="1" si="750"/>
        <v>667</v>
      </c>
    </row>
    <row r="1846" spans="1:15">
      <c r="A1846" s="37" t="str">
        <f t="shared" si="699"/>
        <v>M</v>
      </c>
      <c r="B1846" s="541">
        <f t="shared" si="700"/>
        <v>2017</v>
      </c>
      <c r="C1846" s="451">
        <f t="shared" si="701"/>
        <v>12</v>
      </c>
      <c r="D1846" s="542">
        <f t="shared" ca="1" si="742"/>
        <v>8822</v>
      </c>
      <c r="E1846" s="542">
        <f t="shared" ca="1" si="742"/>
        <v>1086</v>
      </c>
      <c r="F1846" s="654">
        <f t="shared" si="702"/>
        <v>2005</v>
      </c>
      <c r="G1846" s="2" t="str">
        <f t="shared" ref="G1846:H1846" si="756">G1834</f>
        <v>Dec</v>
      </c>
      <c r="H1846" s="2" t="str">
        <f t="shared" si="756"/>
        <v>AB</v>
      </c>
      <c r="I1846" s="1123">
        <f t="shared" ca="1" si="749"/>
        <v>7772</v>
      </c>
      <c r="J1846" s="1123">
        <f t="shared" ca="1" si="750"/>
        <v>1166</v>
      </c>
    </row>
    <row r="1847" spans="1:15">
      <c r="A1847" s="37" t="str">
        <f t="shared" si="699"/>
        <v>B</v>
      </c>
      <c r="B1847" s="541">
        <f t="shared" si="700"/>
        <v>2018</v>
      </c>
      <c r="C1847" s="451">
        <f t="shared" si="701"/>
        <v>1</v>
      </c>
      <c r="D1847" s="542">
        <f t="shared" ca="1" si="742"/>
        <v>10742</v>
      </c>
      <c r="E1847" s="542">
        <f t="shared" ca="1" si="742"/>
        <v>1088</v>
      </c>
      <c r="F1847" s="654">
        <f t="shared" si="702"/>
        <v>2006</v>
      </c>
      <c r="G1847" s="2" t="str">
        <f t="shared" ref="G1847:H1847" si="757">G1835</f>
        <v>Jan</v>
      </c>
      <c r="H1847" s="2" t="str">
        <f t="shared" si="757"/>
        <v>Q</v>
      </c>
      <c r="I1847" s="1123">
        <f t="shared" ca="1" si="749"/>
        <v>7870</v>
      </c>
      <c r="J1847" s="1123">
        <f t="shared" ca="1" si="750"/>
        <v>990</v>
      </c>
    </row>
    <row r="1848" spans="1:15">
      <c r="A1848" s="37" t="str">
        <f t="shared" si="699"/>
        <v>C</v>
      </c>
      <c r="B1848" s="541">
        <f t="shared" si="700"/>
        <v>2018</v>
      </c>
      <c r="C1848" s="451">
        <f t="shared" si="701"/>
        <v>2</v>
      </c>
      <c r="D1848" s="542">
        <f t="shared" ca="1" si="742"/>
        <v>9370</v>
      </c>
      <c r="E1848" s="542">
        <f t="shared" ca="1" si="742"/>
        <v>1086</v>
      </c>
      <c r="F1848" s="654">
        <f t="shared" si="702"/>
        <v>2006</v>
      </c>
      <c r="G1848" s="2" t="str">
        <f t="shared" ref="G1848:H1848" si="758">G1836</f>
        <v>Feb</v>
      </c>
      <c r="H1848" s="2" t="str">
        <f t="shared" si="758"/>
        <v>R</v>
      </c>
      <c r="I1848" s="1123">
        <f t="shared" ca="1" si="749"/>
        <v>10095</v>
      </c>
      <c r="J1848" s="1123">
        <f t="shared" ca="1" si="750"/>
        <v>1467</v>
      </c>
    </row>
    <row r="1849" spans="1:15">
      <c r="A1849" s="37" t="str">
        <f t="shared" si="699"/>
        <v>D</v>
      </c>
      <c r="B1849" s="541">
        <f t="shared" si="700"/>
        <v>2018</v>
      </c>
      <c r="C1849" s="451">
        <f t="shared" si="701"/>
        <v>3</v>
      </c>
      <c r="D1849" s="542">
        <f t="shared" ca="1" si="742"/>
        <v>8309</v>
      </c>
      <c r="E1849" s="542">
        <f t="shared" ca="1" si="742"/>
        <v>1085</v>
      </c>
      <c r="F1849" s="654">
        <f t="shared" si="702"/>
        <v>2006</v>
      </c>
      <c r="G1849" s="2" t="str">
        <f t="shared" ref="G1849:H1849" si="759">G1837</f>
        <v>Mar</v>
      </c>
      <c r="H1849" s="2" t="str">
        <f t="shared" si="759"/>
        <v>S</v>
      </c>
      <c r="I1849" s="1123">
        <f t="shared" ca="1" si="749"/>
        <v>6441</v>
      </c>
      <c r="J1849" s="1123">
        <f t="shared" ca="1" si="750"/>
        <v>507</v>
      </c>
    </row>
    <row r="1850" spans="1:15">
      <c r="A1850" s="37" t="str">
        <f t="shared" si="699"/>
        <v>E</v>
      </c>
      <c r="B1850" s="541">
        <f t="shared" si="700"/>
        <v>2018</v>
      </c>
      <c r="C1850" s="451">
        <f t="shared" si="701"/>
        <v>4</v>
      </c>
      <c r="D1850" s="542">
        <f t="shared" ref="D1850:E1867" ca="1" si="760">ROUND(INDIRECT(CONCATENATE($A1850,D$1772+($B1850-2011))),0)</f>
        <v>8277</v>
      </c>
      <c r="E1850" s="542">
        <f t="shared" ca="1" si="742"/>
        <v>484</v>
      </c>
      <c r="F1850" s="654">
        <f t="shared" si="702"/>
        <v>2006</v>
      </c>
      <c r="G1850" s="2" t="str">
        <f t="shared" ref="G1850:H1850" si="761">G1838</f>
        <v>Apr</v>
      </c>
      <c r="H1850" s="2" t="str">
        <f t="shared" si="761"/>
        <v>T</v>
      </c>
      <c r="I1850" s="1123">
        <f t="shared" ca="1" si="749"/>
        <v>7837</v>
      </c>
      <c r="J1850" s="1123">
        <f t="shared" ca="1" si="750"/>
        <v>654</v>
      </c>
    </row>
    <row r="1851" spans="1:15">
      <c r="A1851" s="37" t="str">
        <f t="shared" si="699"/>
        <v>F</v>
      </c>
      <c r="B1851" s="541">
        <f t="shared" si="700"/>
        <v>2018</v>
      </c>
      <c r="C1851" s="451">
        <f t="shared" si="701"/>
        <v>5</v>
      </c>
      <c r="D1851" s="542">
        <f t="shared" ca="1" si="760"/>
        <v>9344</v>
      </c>
      <c r="E1851" s="542">
        <f t="shared" ca="1" si="760"/>
        <v>486</v>
      </c>
      <c r="F1851" s="654">
        <f t="shared" si="702"/>
        <v>2006</v>
      </c>
      <c r="G1851" s="2" t="str">
        <f t="shared" ref="G1851:H1851" si="762">G1839</f>
        <v>May</v>
      </c>
      <c r="H1851" s="2" t="str">
        <f t="shared" si="762"/>
        <v>U</v>
      </c>
      <c r="I1851" s="1123">
        <f t="shared" ca="1" si="749"/>
        <v>8382</v>
      </c>
      <c r="J1851" s="1123">
        <f t="shared" ca="1" si="750"/>
        <v>914</v>
      </c>
      <c r="O1851" s="25"/>
    </row>
    <row r="1852" spans="1:15">
      <c r="A1852" s="37" t="str">
        <f t="shared" ref="A1852:A1915" si="763">A1840</f>
        <v>G</v>
      </c>
      <c r="B1852" s="541">
        <f t="shared" ref="B1852:B1915" si="764">B1840+1</f>
        <v>2018</v>
      </c>
      <c r="C1852" s="451">
        <f t="shared" ref="C1852:C1915" si="765">C1840</f>
        <v>6</v>
      </c>
      <c r="D1852" s="542">
        <f t="shared" ca="1" si="760"/>
        <v>9706</v>
      </c>
      <c r="E1852" s="542">
        <f t="shared" ca="1" si="760"/>
        <v>589</v>
      </c>
      <c r="F1852" s="654">
        <f t="shared" ref="F1852:F1915" si="766">F1840+1</f>
        <v>2006</v>
      </c>
      <c r="G1852" s="2" t="str">
        <f t="shared" ref="G1852:H1852" si="767">G1840</f>
        <v>Jun</v>
      </c>
      <c r="H1852" s="2" t="str">
        <f t="shared" si="767"/>
        <v>V</v>
      </c>
      <c r="I1852" s="1123">
        <f t="shared" ca="1" si="749"/>
        <v>9349</v>
      </c>
      <c r="J1852" s="1123">
        <f t="shared" ca="1" si="750"/>
        <v>1148</v>
      </c>
      <c r="O1852" s="25"/>
    </row>
    <row r="1853" spans="1:15">
      <c r="A1853" s="37" t="str">
        <f t="shared" si="763"/>
        <v>H</v>
      </c>
      <c r="B1853" s="541">
        <f t="shared" si="764"/>
        <v>2018</v>
      </c>
      <c r="C1853" s="451">
        <f t="shared" si="765"/>
        <v>7</v>
      </c>
      <c r="D1853" s="542">
        <f t="shared" ca="1" si="760"/>
        <v>9950</v>
      </c>
      <c r="E1853" s="542">
        <f t="shared" ca="1" si="760"/>
        <v>588</v>
      </c>
      <c r="F1853" s="654">
        <f t="shared" si="766"/>
        <v>2006</v>
      </c>
      <c r="G1853" s="2" t="str">
        <f t="shared" ref="G1853:H1853" si="768">G1841</f>
        <v>Jul</v>
      </c>
      <c r="H1853" s="2" t="str">
        <f t="shared" si="768"/>
        <v>W</v>
      </c>
      <c r="I1853" s="1123">
        <f t="shared" ca="1" si="749"/>
        <v>9462</v>
      </c>
      <c r="J1853" s="1123">
        <f t="shared" ca="1" si="750"/>
        <v>1204</v>
      </c>
      <c r="O1853" s="25"/>
    </row>
    <row r="1854" spans="1:15">
      <c r="A1854" s="37" t="str">
        <f t="shared" si="763"/>
        <v>I</v>
      </c>
      <c r="B1854" s="541">
        <f t="shared" si="764"/>
        <v>2018</v>
      </c>
      <c r="C1854" s="451">
        <f t="shared" si="765"/>
        <v>8</v>
      </c>
      <c r="D1854" s="542">
        <f t="shared" ca="1" si="760"/>
        <v>10213</v>
      </c>
      <c r="E1854" s="542">
        <f t="shared" ca="1" si="760"/>
        <v>587</v>
      </c>
      <c r="F1854" s="654">
        <f t="shared" si="766"/>
        <v>2006</v>
      </c>
      <c r="G1854" s="2" t="str">
        <f t="shared" ref="G1854:H1854" si="769">G1842</f>
        <v>Aug</v>
      </c>
      <c r="H1854" s="2" t="str">
        <f t="shared" si="769"/>
        <v>X</v>
      </c>
      <c r="I1854" s="1123">
        <f t="shared" ca="1" si="749"/>
        <v>9689</v>
      </c>
      <c r="J1854" s="1123">
        <f t="shared" ca="1" si="750"/>
        <v>1257</v>
      </c>
      <c r="O1854" s="25"/>
    </row>
    <row r="1855" spans="1:15">
      <c r="A1855" s="37" t="str">
        <f t="shared" si="763"/>
        <v>J</v>
      </c>
      <c r="B1855" s="541">
        <f t="shared" si="764"/>
        <v>2018</v>
      </c>
      <c r="C1855" s="451">
        <f t="shared" si="765"/>
        <v>9</v>
      </c>
      <c r="D1855" s="542">
        <f t="shared" ca="1" si="760"/>
        <v>9311</v>
      </c>
      <c r="E1855" s="542">
        <f t="shared" ca="1" si="760"/>
        <v>587</v>
      </c>
      <c r="F1855" s="654">
        <f t="shared" si="766"/>
        <v>2006</v>
      </c>
      <c r="G1855" s="2" t="str">
        <f t="shared" ref="G1855:H1855" si="770">G1843</f>
        <v>Sep</v>
      </c>
      <c r="H1855" s="2" t="str">
        <f t="shared" si="770"/>
        <v>Y</v>
      </c>
      <c r="I1855" s="1123">
        <f t="shared" ca="1" si="749"/>
        <v>8794</v>
      </c>
      <c r="J1855" s="1123">
        <f t="shared" ca="1" si="750"/>
        <v>954</v>
      </c>
      <c r="O1855" s="25"/>
    </row>
    <row r="1856" spans="1:15">
      <c r="A1856" s="37" t="str">
        <f t="shared" si="763"/>
        <v>K</v>
      </c>
      <c r="B1856" s="541">
        <f t="shared" si="764"/>
        <v>2018</v>
      </c>
      <c r="C1856" s="451">
        <f t="shared" si="765"/>
        <v>10</v>
      </c>
      <c r="D1856" s="542">
        <f t="shared" ca="1" si="760"/>
        <v>8863</v>
      </c>
      <c r="E1856" s="542">
        <f t="shared" ca="1" si="760"/>
        <v>485</v>
      </c>
      <c r="F1856" s="654">
        <f t="shared" si="766"/>
        <v>2006</v>
      </c>
      <c r="G1856" s="2" t="str">
        <f t="shared" ref="G1856:H1856" si="771">G1844</f>
        <v>Oct</v>
      </c>
      <c r="H1856" s="2" t="str">
        <f t="shared" si="771"/>
        <v>Z</v>
      </c>
      <c r="I1856" s="1123">
        <f t="shared" ca="1" si="749"/>
        <v>8286</v>
      </c>
      <c r="J1856" s="1123">
        <f t="shared" ca="1" si="750"/>
        <v>801</v>
      </c>
      <c r="O1856" s="25"/>
    </row>
    <row r="1857" spans="1:15">
      <c r="A1857" s="37" t="str">
        <f t="shared" si="763"/>
        <v>L</v>
      </c>
      <c r="B1857" s="541">
        <f t="shared" si="764"/>
        <v>2018</v>
      </c>
      <c r="C1857" s="451">
        <f t="shared" si="765"/>
        <v>11</v>
      </c>
      <c r="D1857" s="542">
        <f t="shared" ca="1" si="760"/>
        <v>7109</v>
      </c>
      <c r="E1857" s="542">
        <f t="shared" ca="1" si="760"/>
        <v>481</v>
      </c>
      <c r="F1857" s="654">
        <f t="shared" si="766"/>
        <v>2006</v>
      </c>
      <c r="G1857" s="2" t="str">
        <f t="shared" ref="G1857:H1857" si="772">G1845</f>
        <v>Nov</v>
      </c>
      <c r="H1857" s="2" t="str">
        <f t="shared" si="772"/>
        <v>AA</v>
      </c>
      <c r="I1857" s="1123">
        <f t="shared" ca="1" si="749"/>
        <v>6415</v>
      </c>
      <c r="J1857" s="1123">
        <f t="shared" ca="1" si="750"/>
        <v>625</v>
      </c>
      <c r="O1857" s="25"/>
    </row>
    <row r="1858" spans="1:15">
      <c r="A1858" s="37" t="str">
        <f t="shared" si="763"/>
        <v>M</v>
      </c>
      <c r="B1858" s="541">
        <f t="shared" si="764"/>
        <v>2018</v>
      </c>
      <c r="C1858" s="451">
        <f t="shared" si="765"/>
        <v>12</v>
      </c>
      <c r="D1858" s="542">
        <f t="shared" ca="1" si="760"/>
        <v>8890</v>
      </c>
      <c r="E1858" s="542">
        <f t="shared" ca="1" si="760"/>
        <v>1086</v>
      </c>
      <c r="F1858" s="654">
        <f t="shared" si="766"/>
        <v>2006</v>
      </c>
      <c r="G1858" s="2" t="str">
        <f t="shared" ref="G1858:H1858" si="773">G1846</f>
        <v>Dec</v>
      </c>
      <c r="H1858" s="2" t="str">
        <f t="shared" si="773"/>
        <v>AB</v>
      </c>
      <c r="I1858" s="1123">
        <f t="shared" ca="1" si="749"/>
        <v>6793</v>
      </c>
      <c r="J1858" s="1123">
        <f t="shared" ca="1" si="750"/>
        <v>999</v>
      </c>
      <c r="O1858" s="25"/>
    </row>
    <row r="1859" spans="1:15">
      <c r="A1859" s="37" t="str">
        <f t="shared" si="763"/>
        <v>B</v>
      </c>
      <c r="B1859" s="541">
        <f t="shared" si="764"/>
        <v>2019</v>
      </c>
      <c r="C1859" s="451">
        <f t="shared" si="765"/>
        <v>1</v>
      </c>
      <c r="D1859" s="542">
        <f t="shared" ca="1" si="760"/>
        <v>10895</v>
      </c>
      <c r="E1859" s="542">
        <f t="shared" ca="1" si="760"/>
        <v>1088</v>
      </c>
      <c r="F1859" s="654">
        <f t="shared" si="766"/>
        <v>2007</v>
      </c>
      <c r="G1859" s="2" t="str">
        <f t="shared" ref="G1859:H1859" si="774">G1847</f>
        <v>Jan</v>
      </c>
      <c r="H1859" s="2" t="str">
        <f t="shared" si="774"/>
        <v>Q</v>
      </c>
      <c r="I1859" s="1123">
        <f t="shared" ca="1" si="749"/>
        <v>8803</v>
      </c>
      <c r="J1859" s="1123">
        <f t="shared" ca="1" si="750"/>
        <v>1312</v>
      </c>
      <c r="O1859" s="25"/>
    </row>
    <row r="1860" spans="1:15">
      <c r="A1860" s="37" t="str">
        <f t="shared" si="763"/>
        <v>C</v>
      </c>
      <c r="B1860" s="541">
        <f t="shared" si="764"/>
        <v>2019</v>
      </c>
      <c r="C1860" s="451">
        <f t="shared" si="765"/>
        <v>2</v>
      </c>
      <c r="D1860" s="542">
        <f t="shared" ca="1" si="760"/>
        <v>9493</v>
      </c>
      <c r="E1860" s="542">
        <f t="shared" ca="1" si="760"/>
        <v>1086</v>
      </c>
      <c r="F1860" s="654">
        <f t="shared" si="766"/>
        <v>2007</v>
      </c>
      <c r="G1860" s="2" t="str">
        <f t="shared" ref="G1860:H1860" si="775">G1848</f>
        <v>Feb</v>
      </c>
      <c r="H1860" s="2" t="str">
        <f t="shared" si="775"/>
        <v>R</v>
      </c>
      <c r="I1860" s="1123">
        <f t="shared" ca="1" si="749"/>
        <v>9097</v>
      </c>
      <c r="J1860" s="1123">
        <f t="shared" ca="1" si="750"/>
        <v>1575</v>
      </c>
      <c r="O1860" s="25"/>
    </row>
    <row r="1861" spans="1:15">
      <c r="A1861" s="37" t="str">
        <f t="shared" si="763"/>
        <v>D</v>
      </c>
      <c r="B1861" s="541">
        <f t="shared" si="764"/>
        <v>2019</v>
      </c>
      <c r="C1861" s="451">
        <f t="shared" si="765"/>
        <v>3</v>
      </c>
      <c r="D1861" s="542">
        <f t="shared" ca="1" si="760"/>
        <v>8442</v>
      </c>
      <c r="E1861" s="542">
        <f t="shared" ca="1" si="760"/>
        <v>1085</v>
      </c>
      <c r="F1861" s="654">
        <f t="shared" si="766"/>
        <v>2007</v>
      </c>
      <c r="G1861" s="2" t="str">
        <f t="shared" ref="G1861:H1861" si="776">G1849</f>
        <v>Mar</v>
      </c>
      <c r="H1861" s="2" t="str">
        <f t="shared" si="776"/>
        <v>S</v>
      </c>
      <c r="I1861" s="1123">
        <f t="shared" ca="1" si="749"/>
        <v>6990</v>
      </c>
      <c r="J1861" s="1123">
        <f t="shared" ca="1" si="750"/>
        <v>936</v>
      </c>
      <c r="O1861" s="25"/>
    </row>
    <row r="1862" spans="1:15">
      <c r="A1862" s="37" t="str">
        <f t="shared" si="763"/>
        <v>E</v>
      </c>
      <c r="B1862" s="541">
        <f t="shared" si="764"/>
        <v>2019</v>
      </c>
      <c r="C1862" s="451">
        <f t="shared" si="765"/>
        <v>4</v>
      </c>
      <c r="D1862" s="542">
        <f t="shared" ca="1" si="760"/>
        <v>8456</v>
      </c>
      <c r="E1862" s="542">
        <f t="shared" ca="1" si="760"/>
        <v>484</v>
      </c>
      <c r="F1862" s="654">
        <f t="shared" si="766"/>
        <v>2007</v>
      </c>
      <c r="G1862" s="2" t="str">
        <f t="shared" ref="G1862:H1862" si="777">G1850</f>
        <v>Apr</v>
      </c>
      <c r="H1862" s="2" t="str">
        <f t="shared" si="777"/>
        <v>T</v>
      </c>
      <c r="I1862" s="1123">
        <f t="shared" ca="1" si="749"/>
        <v>7474</v>
      </c>
      <c r="J1862" s="1123">
        <f t="shared" ca="1" si="750"/>
        <v>863</v>
      </c>
      <c r="O1862" s="25"/>
    </row>
    <row r="1863" spans="1:15">
      <c r="A1863" s="37" t="str">
        <f t="shared" si="763"/>
        <v>F</v>
      </c>
      <c r="B1863" s="541">
        <f t="shared" si="764"/>
        <v>2019</v>
      </c>
      <c r="C1863" s="451">
        <f t="shared" si="765"/>
        <v>5</v>
      </c>
      <c r="D1863" s="542">
        <f t="shared" ca="1" si="760"/>
        <v>9705</v>
      </c>
      <c r="E1863" s="542">
        <f t="shared" ca="1" si="760"/>
        <v>487</v>
      </c>
      <c r="F1863" s="654">
        <f t="shared" si="766"/>
        <v>2007</v>
      </c>
      <c r="G1863" s="2" t="str">
        <f t="shared" ref="G1863:H1863" si="778">G1851</f>
        <v>May</v>
      </c>
      <c r="H1863" s="2" t="str">
        <f t="shared" si="778"/>
        <v>U</v>
      </c>
      <c r="I1863" s="1123">
        <f t="shared" ca="1" si="749"/>
        <v>8123</v>
      </c>
      <c r="J1863" s="1123">
        <f t="shared" ca="1" si="750"/>
        <v>974</v>
      </c>
      <c r="O1863" s="25"/>
    </row>
    <row r="1864" spans="1:15">
      <c r="A1864" s="37" t="str">
        <f t="shared" si="763"/>
        <v>G</v>
      </c>
      <c r="B1864" s="541">
        <f t="shared" si="764"/>
        <v>2019</v>
      </c>
      <c r="C1864" s="451">
        <f t="shared" si="765"/>
        <v>6</v>
      </c>
      <c r="D1864" s="542">
        <f t="shared" ca="1" si="760"/>
        <v>10127</v>
      </c>
      <c r="E1864" s="542">
        <f t="shared" ca="1" si="760"/>
        <v>839</v>
      </c>
      <c r="F1864" s="654">
        <f t="shared" si="766"/>
        <v>2007</v>
      </c>
      <c r="G1864" s="2" t="str">
        <f t="shared" ref="G1864:H1864" si="779">G1852</f>
        <v>Jun</v>
      </c>
      <c r="H1864" s="2" t="str">
        <f t="shared" si="779"/>
        <v>V</v>
      </c>
      <c r="I1864" s="1123">
        <f t="shared" ca="1" si="749"/>
        <v>9398</v>
      </c>
      <c r="J1864" s="1123">
        <f t="shared" ca="1" si="750"/>
        <v>1273</v>
      </c>
      <c r="O1864" s="25"/>
    </row>
    <row r="1865" spans="1:15">
      <c r="A1865" s="37" t="str">
        <f t="shared" si="763"/>
        <v>H</v>
      </c>
      <c r="B1865" s="541">
        <f t="shared" si="764"/>
        <v>2019</v>
      </c>
      <c r="C1865" s="451">
        <f t="shared" si="765"/>
        <v>7</v>
      </c>
      <c r="D1865" s="542">
        <f t="shared" ca="1" si="760"/>
        <v>10375</v>
      </c>
      <c r="E1865" s="542">
        <f t="shared" ca="1" si="760"/>
        <v>838</v>
      </c>
      <c r="F1865" s="654">
        <f t="shared" si="766"/>
        <v>2007</v>
      </c>
      <c r="G1865" s="2" t="str">
        <f t="shared" ref="G1865:H1865" si="780">G1853</f>
        <v>Jul</v>
      </c>
      <c r="H1865" s="2" t="str">
        <f t="shared" si="780"/>
        <v>W</v>
      </c>
      <c r="I1865" s="1123">
        <f t="shared" ca="1" si="749"/>
        <v>9842</v>
      </c>
      <c r="J1865" s="1123">
        <f t="shared" ca="1" si="750"/>
        <v>1378</v>
      </c>
      <c r="O1865" s="25"/>
    </row>
    <row r="1866" spans="1:15">
      <c r="A1866" s="37" t="str">
        <f t="shared" si="763"/>
        <v>I</v>
      </c>
      <c r="B1866" s="541">
        <f t="shared" si="764"/>
        <v>2019</v>
      </c>
      <c r="C1866" s="451">
        <f t="shared" si="765"/>
        <v>8</v>
      </c>
      <c r="D1866" s="542">
        <f t="shared" ca="1" si="760"/>
        <v>10643</v>
      </c>
      <c r="E1866" s="542">
        <f t="shared" ca="1" si="760"/>
        <v>837</v>
      </c>
      <c r="F1866" s="654">
        <f t="shared" si="766"/>
        <v>2007</v>
      </c>
      <c r="G1866" s="2" t="str">
        <f t="shared" ref="G1866:H1866" si="781">G1854</f>
        <v>Aug</v>
      </c>
      <c r="H1866" s="2" t="str">
        <f t="shared" si="781"/>
        <v>X</v>
      </c>
      <c r="I1866" s="1123">
        <f t="shared" ca="1" si="749"/>
        <v>10405</v>
      </c>
      <c r="J1866" s="1123">
        <f t="shared" ca="1" si="750"/>
        <v>1544</v>
      </c>
      <c r="O1866" s="25"/>
    </row>
    <row r="1867" spans="1:15">
      <c r="A1867" s="37" t="str">
        <f t="shared" si="763"/>
        <v>J</v>
      </c>
      <c r="B1867" s="541">
        <f t="shared" si="764"/>
        <v>2019</v>
      </c>
      <c r="C1867" s="451">
        <f t="shared" si="765"/>
        <v>9</v>
      </c>
      <c r="D1867" s="542">
        <f t="shared" ca="1" si="760"/>
        <v>9714</v>
      </c>
      <c r="E1867" s="542">
        <f t="shared" ca="1" si="760"/>
        <v>837</v>
      </c>
      <c r="F1867" s="654">
        <f t="shared" si="766"/>
        <v>2007</v>
      </c>
      <c r="G1867" s="2" t="str">
        <f t="shared" ref="G1867:H1867" si="782">G1855</f>
        <v>Sep</v>
      </c>
      <c r="H1867" s="2" t="str">
        <f t="shared" si="782"/>
        <v>Y</v>
      </c>
      <c r="I1867" s="1123">
        <f t="shared" ca="1" si="749"/>
        <v>9443</v>
      </c>
      <c r="J1867" s="1123">
        <f t="shared" ca="1" si="750"/>
        <v>1219</v>
      </c>
      <c r="O1867" s="25"/>
    </row>
    <row r="1868" spans="1:15">
      <c r="A1868" s="37" t="str">
        <f t="shared" si="763"/>
        <v>K</v>
      </c>
      <c r="B1868" s="541">
        <f t="shared" si="764"/>
        <v>2019</v>
      </c>
      <c r="C1868" s="451">
        <f t="shared" si="765"/>
        <v>10</v>
      </c>
      <c r="D1868" s="542">
        <f t="shared" ref="D1868:E1887" ca="1" si="783">ROUND(INDIRECT(CONCATENATE($A1868,D$1772+($B1868-2011))),0)</f>
        <v>9279</v>
      </c>
      <c r="E1868" s="542">
        <f t="shared" ca="1" si="783"/>
        <v>736</v>
      </c>
      <c r="F1868" s="654">
        <f t="shared" si="766"/>
        <v>2007</v>
      </c>
      <c r="G1868" s="2" t="str">
        <f t="shared" ref="G1868:H1868" si="784">G1856</f>
        <v>Oct</v>
      </c>
      <c r="H1868" s="2" t="str">
        <f t="shared" si="784"/>
        <v>Z</v>
      </c>
      <c r="I1868" s="1123">
        <f t="shared" ca="1" si="749"/>
        <v>8618</v>
      </c>
      <c r="J1868" s="1123">
        <f t="shared" ca="1" si="750"/>
        <v>1010</v>
      </c>
      <c r="O1868" s="25"/>
    </row>
    <row r="1869" spans="1:15">
      <c r="A1869" s="37" t="str">
        <f t="shared" si="763"/>
        <v>L</v>
      </c>
      <c r="B1869" s="541">
        <f t="shared" si="764"/>
        <v>2019</v>
      </c>
      <c r="C1869" s="451">
        <f t="shared" si="765"/>
        <v>11</v>
      </c>
      <c r="D1869" s="542">
        <f t="shared" ca="1" si="783"/>
        <v>7465</v>
      </c>
      <c r="E1869" s="542">
        <f t="shared" ca="1" si="783"/>
        <v>731</v>
      </c>
      <c r="F1869" s="654">
        <f t="shared" si="766"/>
        <v>2007</v>
      </c>
      <c r="G1869" s="2" t="str">
        <f t="shared" ref="G1869:H1869" si="785">G1857</f>
        <v>Nov</v>
      </c>
      <c r="H1869" s="2" t="str">
        <f t="shared" si="785"/>
        <v>AA</v>
      </c>
      <c r="I1869" s="1123">
        <f t="shared" ca="1" si="749"/>
        <v>6812</v>
      </c>
      <c r="J1869" s="1123">
        <f t="shared" ca="1" si="750"/>
        <v>941</v>
      </c>
      <c r="O1869" s="25"/>
    </row>
    <row r="1870" spans="1:15">
      <c r="A1870" s="37" t="str">
        <f t="shared" si="763"/>
        <v>M</v>
      </c>
      <c r="B1870" s="541">
        <f t="shared" si="764"/>
        <v>2019</v>
      </c>
      <c r="C1870" s="451">
        <f t="shared" si="765"/>
        <v>12</v>
      </c>
      <c r="D1870" s="542">
        <f t="shared" ca="1" si="783"/>
        <v>9240</v>
      </c>
      <c r="E1870" s="542">
        <f t="shared" ca="1" si="783"/>
        <v>1336</v>
      </c>
      <c r="F1870" s="654">
        <f t="shared" si="766"/>
        <v>2007</v>
      </c>
      <c r="G1870" s="2" t="str">
        <f t="shared" ref="G1870:H1870" si="786">G1858</f>
        <v>Dec</v>
      </c>
      <c r="H1870" s="2" t="str">
        <f t="shared" si="786"/>
        <v>AB</v>
      </c>
      <c r="I1870" s="1123">
        <f t="shared" ca="1" si="749"/>
        <v>7162</v>
      </c>
      <c r="J1870" s="1123">
        <f t="shared" ca="1" si="750"/>
        <v>1011</v>
      </c>
      <c r="O1870" s="25"/>
    </row>
    <row r="1871" spans="1:15">
      <c r="A1871" s="37" t="str">
        <f t="shared" si="763"/>
        <v>B</v>
      </c>
      <c r="B1871" s="541">
        <f t="shared" si="764"/>
        <v>2020</v>
      </c>
      <c r="C1871" s="451">
        <f t="shared" si="765"/>
        <v>1</v>
      </c>
      <c r="D1871" s="542">
        <f t="shared" ca="1" si="783"/>
        <v>11264</v>
      </c>
      <c r="E1871" s="542">
        <f t="shared" ca="1" si="783"/>
        <v>1338</v>
      </c>
      <c r="F1871" s="654">
        <f t="shared" si="766"/>
        <v>2008</v>
      </c>
      <c r="G1871" s="2" t="str">
        <f t="shared" ref="G1871:H1871" si="787">G1859</f>
        <v>Jan</v>
      </c>
      <c r="H1871" s="2" t="str">
        <f t="shared" si="787"/>
        <v>Q</v>
      </c>
      <c r="I1871" s="1123">
        <f t="shared" ca="1" si="749"/>
        <v>10210</v>
      </c>
      <c r="J1871" s="1123">
        <f t="shared" ca="1" si="750"/>
        <v>1828</v>
      </c>
      <c r="O1871" s="25"/>
    </row>
    <row r="1872" spans="1:15">
      <c r="A1872" s="37" t="str">
        <f t="shared" si="763"/>
        <v>C</v>
      </c>
      <c r="B1872" s="541">
        <f t="shared" si="764"/>
        <v>2020</v>
      </c>
      <c r="C1872" s="451">
        <f t="shared" si="765"/>
        <v>2</v>
      </c>
      <c r="D1872" s="542">
        <f t="shared" ca="1" si="783"/>
        <v>9834</v>
      </c>
      <c r="E1872" s="542">
        <f t="shared" ca="1" si="783"/>
        <v>1336</v>
      </c>
      <c r="F1872" s="654">
        <f t="shared" si="766"/>
        <v>2008</v>
      </c>
      <c r="G1872" s="2" t="str">
        <f t="shared" ref="G1872:H1872" si="788">G1860</f>
        <v>Feb</v>
      </c>
      <c r="H1872" s="2" t="str">
        <f t="shared" si="788"/>
        <v>R</v>
      </c>
      <c r="I1872" s="1123">
        <f t="shared" ref="I1872:I1903" ca="1" si="789">ROUND(INDIRECT(CONCATENATE($H1872,I$1772+($F1872-2000))),0)</f>
        <v>8223</v>
      </c>
      <c r="J1872" s="1123">
        <f t="shared" ca="1" si="750"/>
        <v>1427</v>
      </c>
      <c r="O1872" s="25"/>
    </row>
    <row r="1873" spans="1:15">
      <c r="A1873" s="37" t="str">
        <f t="shared" si="763"/>
        <v>D</v>
      </c>
      <c r="B1873" s="541">
        <f t="shared" si="764"/>
        <v>2020</v>
      </c>
      <c r="C1873" s="451">
        <f t="shared" si="765"/>
        <v>3</v>
      </c>
      <c r="D1873" s="542">
        <f t="shared" ca="1" si="783"/>
        <v>8790</v>
      </c>
      <c r="E1873" s="542">
        <f t="shared" ca="1" si="783"/>
        <v>1335</v>
      </c>
      <c r="F1873" s="654">
        <f t="shared" si="766"/>
        <v>2008</v>
      </c>
      <c r="G1873" s="2" t="str">
        <f t="shared" ref="G1873:H1873" si="790">G1861</f>
        <v>Mar</v>
      </c>
      <c r="H1873" s="2" t="str">
        <f t="shared" si="790"/>
        <v>S</v>
      </c>
      <c r="I1873" s="1123">
        <f t="shared" ca="1" si="789"/>
        <v>6794</v>
      </c>
      <c r="J1873" s="1123">
        <f t="shared" ca="1" si="750"/>
        <v>1054</v>
      </c>
      <c r="O1873" s="25"/>
    </row>
    <row r="1874" spans="1:15">
      <c r="A1874" s="37" t="str">
        <f t="shared" si="763"/>
        <v>E</v>
      </c>
      <c r="B1874" s="541">
        <f t="shared" si="764"/>
        <v>2020</v>
      </c>
      <c r="C1874" s="451">
        <f t="shared" si="765"/>
        <v>4</v>
      </c>
      <c r="D1874" s="542">
        <f t="shared" ca="1" si="783"/>
        <v>8852</v>
      </c>
      <c r="E1874" s="542">
        <f t="shared" ca="1" si="783"/>
        <v>734</v>
      </c>
      <c r="F1874" s="654">
        <f t="shared" si="766"/>
        <v>2008</v>
      </c>
      <c r="G1874" s="2" t="str">
        <f t="shared" ref="G1874:H1874" si="791">G1862</f>
        <v>Apr</v>
      </c>
      <c r="H1874" s="2" t="str">
        <f t="shared" si="791"/>
        <v>T</v>
      </c>
      <c r="I1874" s="1123">
        <f t="shared" ca="1" si="789"/>
        <v>7620</v>
      </c>
      <c r="J1874" s="1123">
        <f t="shared" ca="1" si="750"/>
        <v>1316</v>
      </c>
      <c r="O1874" s="25"/>
    </row>
    <row r="1875" spans="1:15">
      <c r="A1875" s="37" t="str">
        <f t="shared" si="763"/>
        <v>F</v>
      </c>
      <c r="B1875" s="541">
        <f t="shared" si="764"/>
        <v>2020</v>
      </c>
      <c r="C1875" s="451">
        <f t="shared" si="765"/>
        <v>5</v>
      </c>
      <c r="D1875" s="542">
        <f t="shared" ca="1" si="783"/>
        <v>10114</v>
      </c>
      <c r="E1875" s="542">
        <f t="shared" ca="1" si="783"/>
        <v>737</v>
      </c>
      <c r="F1875" s="654">
        <f t="shared" si="766"/>
        <v>2008</v>
      </c>
      <c r="G1875" s="2" t="str">
        <f t="shared" ref="G1875:H1875" si="792">G1863</f>
        <v>May</v>
      </c>
      <c r="H1875" s="2" t="str">
        <f t="shared" si="792"/>
        <v>U</v>
      </c>
      <c r="I1875" s="1123">
        <f t="shared" ca="1" si="789"/>
        <v>9298</v>
      </c>
      <c r="J1875" s="1123">
        <f t="shared" ca="1" si="750"/>
        <v>1578</v>
      </c>
      <c r="O1875" s="25"/>
    </row>
    <row r="1876" spans="1:15">
      <c r="A1876" s="37" t="str">
        <f t="shared" si="763"/>
        <v>G</v>
      </c>
      <c r="B1876" s="541">
        <f t="shared" si="764"/>
        <v>2020</v>
      </c>
      <c r="C1876" s="451">
        <f t="shared" si="765"/>
        <v>6</v>
      </c>
      <c r="D1876" s="542">
        <f t="shared" ca="1" si="783"/>
        <v>10270</v>
      </c>
      <c r="E1876" s="542">
        <f t="shared" ca="1" si="783"/>
        <v>839</v>
      </c>
      <c r="F1876" s="654">
        <f t="shared" si="766"/>
        <v>2008</v>
      </c>
      <c r="G1876" s="2" t="str">
        <f t="shared" ref="G1876:H1876" si="793">G1864</f>
        <v>Jun</v>
      </c>
      <c r="H1876" s="2" t="str">
        <f t="shared" si="793"/>
        <v>V</v>
      </c>
      <c r="I1876" s="1123">
        <f t="shared" ca="1" si="789"/>
        <v>9898</v>
      </c>
      <c r="J1876" s="1123">
        <f t="shared" ca="1" si="750"/>
        <v>1584</v>
      </c>
      <c r="O1876" s="25"/>
    </row>
    <row r="1877" spans="1:15">
      <c r="A1877" s="37" t="str">
        <f t="shared" si="763"/>
        <v>H</v>
      </c>
      <c r="B1877" s="541">
        <f t="shared" si="764"/>
        <v>2020</v>
      </c>
      <c r="C1877" s="451">
        <f t="shared" si="765"/>
        <v>7</v>
      </c>
      <c r="D1877" s="542">
        <f t="shared" ca="1" si="783"/>
        <v>10523</v>
      </c>
      <c r="E1877" s="542">
        <f t="shared" ca="1" si="783"/>
        <v>838</v>
      </c>
      <c r="F1877" s="654">
        <f t="shared" si="766"/>
        <v>2008</v>
      </c>
      <c r="G1877" s="2" t="str">
        <f t="shared" ref="G1877:H1877" si="794">G1865</f>
        <v>Jul</v>
      </c>
      <c r="H1877" s="2" t="str">
        <f t="shared" si="794"/>
        <v>W</v>
      </c>
      <c r="I1877" s="1123">
        <f t="shared" ca="1" si="789"/>
        <v>10017</v>
      </c>
      <c r="J1877" s="1123">
        <f t="shared" ca="1" si="750"/>
        <v>1559</v>
      </c>
      <c r="O1877" s="25"/>
    </row>
    <row r="1878" spans="1:15">
      <c r="A1878" s="37" t="str">
        <f t="shared" si="763"/>
        <v>I</v>
      </c>
      <c r="B1878" s="541">
        <f t="shared" si="764"/>
        <v>2020</v>
      </c>
      <c r="C1878" s="451">
        <f t="shared" si="765"/>
        <v>8</v>
      </c>
      <c r="D1878" s="542">
        <f t="shared" ca="1" si="783"/>
        <v>10796</v>
      </c>
      <c r="E1878" s="542">
        <f t="shared" ca="1" si="783"/>
        <v>837</v>
      </c>
      <c r="F1878" s="654">
        <f t="shared" si="766"/>
        <v>2008</v>
      </c>
      <c r="G1878" s="2" t="str">
        <f t="shared" ref="G1878:H1878" si="795">G1866</f>
        <v>Aug</v>
      </c>
      <c r="H1878" s="2" t="str">
        <f t="shared" si="795"/>
        <v>X</v>
      </c>
      <c r="I1878" s="1123">
        <f t="shared" ca="1" si="789"/>
        <v>10036</v>
      </c>
      <c r="J1878" s="1123">
        <f t="shared" ca="1" si="750"/>
        <v>1512</v>
      </c>
      <c r="O1878" s="25"/>
    </row>
    <row r="1879" spans="1:15">
      <c r="A1879" s="37" t="str">
        <f t="shared" si="763"/>
        <v>J</v>
      </c>
      <c r="B1879" s="541">
        <f t="shared" si="764"/>
        <v>2020</v>
      </c>
      <c r="C1879" s="451">
        <f t="shared" si="765"/>
        <v>9</v>
      </c>
      <c r="D1879" s="542">
        <f t="shared" ca="1" si="783"/>
        <v>9839</v>
      </c>
      <c r="E1879" s="542">
        <f t="shared" ca="1" si="783"/>
        <v>837</v>
      </c>
      <c r="F1879" s="654">
        <f t="shared" si="766"/>
        <v>2008</v>
      </c>
      <c r="G1879" s="2" t="str">
        <f t="shared" ref="G1879:H1879" si="796">G1867</f>
        <v>Sep</v>
      </c>
      <c r="H1879" s="2" t="str">
        <f t="shared" si="796"/>
        <v>Y</v>
      </c>
      <c r="I1879" s="1123">
        <f t="shared" ca="1" si="789"/>
        <v>9501</v>
      </c>
      <c r="J1879" s="1123">
        <f t="shared" ca="1" si="750"/>
        <v>1503</v>
      </c>
      <c r="O1879" s="25"/>
    </row>
    <row r="1880" spans="1:15">
      <c r="A1880" s="37" t="str">
        <f t="shared" si="763"/>
        <v>K</v>
      </c>
      <c r="B1880" s="541">
        <f t="shared" si="764"/>
        <v>2020</v>
      </c>
      <c r="C1880" s="451">
        <f t="shared" si="765"/>
        <v>10</v>
      </c>
      <c r="D1880" s="542">
        <f t="shared" ca="1" si="783"/>
        <v>9419</v>
      </c>
      <c r="E1880" s="542">
        <f t="shared" ca="1" si="783"/>
        <v>736</v>
      </c>
      <c r="F1880" s="654">
        <f t="shared" si="766"/>
        <v>2008</v>
      </c>
      <c r="G1880" s="2" t="str">
        <f t="shared" ref="G1880:H1880" si="797">G1868</f>
        <v>Oct</v>
      </c>
      <c r="H1880" s="2" t="str">
        <f t="shared" si="797"/>
        <v>Z</v>
      </c>
      <c r="I1880" s="1123">
        <f t="shared" ca="1" si="789"/>
        <v>8059</v>
      </c>
      <c r="J1880" s="1123">
        <f t="shared" ca="1" si="750"/>
        <v>1084</v>
      </c>
      <c r="O1880" s="25"/>
    </row>
    <row r="1881" spans="1:15">
      <c r="A1881" s="37" t="str">
        <f t="shared" si="763"/>
        <v>L</v>
      </c>
      <c r="B1881" s="541">
        <f t="shared" si="764"/>
        <v>2020</v>
      </c>
      <c r="C1881" s="451">
        <f t="shared" si="765"/>
        <v>11</v>
      </c>
      <c r="D1881" s="542">
        <f t="shared" ca="1" si="783"/>
        <v>7545</v>
      </c>
      <c r="E1881" s="542">
        <f t="shared" ca="1" si="783"/>
        <v>731</v>
      </c>
      <c r="F1881" s="654">
        <f t="shared" si="766"/>
        <v>2008</v>
      </c>
      <c r="G1881" s="2" t="str">
        <f t="shared" ref="G1881:H1881" si="798">G1869</f>
        <v>Nov</v>
      </c>
      <c r="H1881" s="2" t="str">
        <f t="shared" si="798"/>
        <v>AA</v>
      </c>
      <c r="I1881" s="1123">
        <f t="shared" ca="1" si="789"/>
        <v>7446</v>
      </c>
      <c r="J1881" s="1123">
        <f t="shared" ca="1" si="750"/>
        <v>1231</v>
      </c>
      <c r="O1881" s="25"/>
    </row>
    <row r="1882" spans="1:15">
      <c r="A1882" s="37" t="str">
        <f t="shared" si="763"/>
        <v>M</v>
      </c>
      <c r="B1882" s="541">
        <f t="shared" si="764"/>
        <v>2020</v>
      </c>
      <c r="C1882" s="451">
        <f t="shared" si="765"/>
        <v>12</v>
      </c>
      <c r="D1882" s="542">
        <f t="shared" ca="1" si="783"/>
        <v>9316</v>
      </c>
      <c r="E1882" s="542">
        <f t="shared" ca="1" si="783"/>
        <v>1336</v>
      </c>
      <c r="F1882" s="1122">
        <f t="shared" si="766"/>
        <v>2008</v>
      </c>
      <c r="G1882" s="2" t="str">
        <f t="shared" ref="G1882:H1882" si="799">G1870</f>
        <v>Dec</v>
      </c>
      <c r="H1882" s="2" t="str">
        <f t="shared" si="799"/>
        <v>AB</v>
      </c>
      <c r="I1882" s="1123">
        <f t="shared" ca="1" si="789"/>
        <v>8133</v>
      </c>
      <c r="J1882" s="1123">
        <f t="shared" ca="1" si="750"/>
        <v>1408</v>
      </c>
      <c r="O1882" s="25"/>
    </row>
    <row r="1883" spans="1:15">
      <c r="A1883" s="37" t="str">
        <f t="shared" si="763"/>
        <v>B</v>
      </c>
      <c r="B1883" s="541">
        <f t="shared" si="764"/>
        <v>2021</v>
      </c>
      <c r="C1883" s="451">
        <f t="shared" si="765"/>
        <v>1</v>
      </c>
      <c r="D1883" s="542">
        <f t="shared" ca="1" si="783"/>
        <v>11367</v>
      </c>
      <c r="E1883" s="542">
        <f t="shared" ca="1" si="783"/>
        <v>1338</v>
      </c>
      <c r="F1883" s="654">
        <f t="shared" si="766"/>
        <v>2009</v>
      </c>
      <c r="G1883" s="2" t="str">
        <f t="shared" ref="G1883:H1883" si="800">G1871</f>
        <v>Jan</v>
      </c>
      <c r="H1883" s="2" t="str">
        <f t="shared" si="800"/>
        <v>Q</v>
      </c>
      <c r="I1883" s="1123">
        <f t="shared" ca="1" si="789"/>
        <v>11195</v>
      </c>
      <c r="J1883" s="1123">
        <f t="shared" ca="1" si="750"/>
        <v>2229</v>
      </c>
      <c r="O1883" s="25"/>
    </row>
    <row r="1884" spans="1:15">
      <c r="A1884" s="37" t="str">
        <f t="shared" si="763"/>
        <v>C</v>
      </c>
      <c r="B1884" s="541">
        <f t="shared" si="764"/>
        <v>2021</v>
      </c>
      <c r="C1884" s="451">
        <f t="shared" si="765"/>
        <v>2</v>
      </c>
      <c r="D1884" s="542">
        <f t="shared" ca="1" si="783"/>
        <v>9906</v>
      </c>
      <c r="E1884" s="542">
        <f t="shared" ca="1" si="783"/>
        <v>1336</v>
      </c>
      <c r="F1884" s="654">
        <f t="shared" si="766"/>
        <v>2009</v>
      </c>
      <c r="G1884" s="2" t="str">
        <f t="shared" ref="G1884:H1884" si="801">G1872</f>
        <v>Feb</v>
      </c>
      <c r="H1884" s="2" t="str">
        <f t="shared" si="801"/>
        <v>R</v>
      </c>
      <c r="I1884" s="1123">
        <f t="shared" ca="1" si="789"/>
        <v>11313</v>
      </c>
      <c r="J1884" s="1123">
        <f t="shared" ca="1" si="750"/>
        <v>2228</v>
      </c>
      <c r="O1884" s="25"/>
    </row>
    <row r="1885" spans="1:15">
      <c r="A1885" s="37" t="str">
        <f t="shared" si="763"/>
        <v>D</v>
      </c>
      <c r="B1885" s="541">
        <f t="shared" si="764"/>
        <v>2021</v>
      </c>
      <c r="C1885" s="451">
        <f t="shared" si="765"/>
        <v>3</v>
      </c>
      <c r="D1885" s="542">
        <f t="shared" ca="1" si="783"/>
        <v>8869</v>
      </c>
      <c r="E1885" s="542">
        <f t="shared" ca="1" si="783"/>
        <v>1335</v>
      </c>
      <c r="F1885" s="654">
        <f t="shared" si="766"/>
        <v>2009</v>
      </c>
      <c r="G1885" s="2" t="str">
        <f t="shared" ref="G1885:H1885" si="802">G1873</f>
        <v>Mar</v>
      </c>
      <c r="H1885" s="2" t="str">
        <f t="shared" si="802"/>
        <v>S</v>
      </c>
      <c r="I1885" s="1123">
        <f t="shared" ca="1" si="789"/>
        <v>7829</v>
      </c>
      <c r="J1885" s="1123">
        <f t="shared" ca="1" si="750"/>
        <v>1219</v>
      </c>
    </row>
    <row r="1886" spans="1:15">
      <c r="A1886" s="37" t="str">
        <f t="shared" si="763"/>
        <v>E</v>
      </c>
      <c r="B1886" s="541">
        <f t="shared" si="764"/>
        <v>2021</v>
      </c>
      <c r="C1886" s="451">
        <f t="shared" si="765"/>
        <v>4</v>
      </c>
      <c r="D1886" s="542">
        <f t="shared" ca="1" si="783"/>
        <v>8974</v>
      </c>
      <c r="E1886" s="542">
        <f t="shared" ca="1" si="783"/>
        <v>734</v>
      </c>
      <c r="F1886" s="654">
        <f t="shared" si="766"/>
        <v>2009</v>
      </c>
      <c r="G1886" s="2" t="str">
        <f t="shared" ref="G1886:H1886" si="803">G1874</f>
        <v>Apr</v>
      </c>
      <c r="H1886" s="2" t="str">
        <f t="shared" si="803"/>
        <v>T</v>
      </c>
      <c r="I1886" s="1123">
        <f t="shared" ca="1" si="789"/>
        <v>6818</v>
      </c>
      <c r="J1886" s="1123">
        <f t="shared" ca="1" si="750"/>
        <v>706</v>
      </c>
    </row>
    <row r="1887" spans="1:15">
      <c r="A1887" s="37" t="str">
        <f t="shared" si="763"/>
        <v>F</v>
      </c>
      <c r="B1887" s="541">
        <f t="shared" si="764"/>
        <v>2021</v>
      </c>
      <c r="C1887" s="451">
        <f t="shared" si="765"/>
        <v>5</v>
      </c>
      <c r="D1887" s="542">
        <f t="shared" ca="1" si="783"/>
        <v>10246</v>
      </c>
      <c r="E1887" s="542">
        <f t="shared" ca="1" si="783"/>
        <v>737</v>
      </c>
      <c r="F1887" s="654">
        <f t="shared" si="766"/>
        <v>2009</v>
      </c>
      <c r="G1887" s="2" t="str">
        <f t="shared" ref="G1887:H1887" si="804">G1875</f>
        <v>May</v>
      </c>
      <c r="H1887" s="2" t="str">
        <f t="shared" si="804"/>
        <v>U</v>
      </c>
      <c r="I1887" s="1123">
        <f t="shared" ca="1" si="789"/>
        <v>8736</v>
      </c>
      <c r="J1887" s="1123">
        <f t="shared" ca="1" si="750"/>
        <v>1157</v>
      </c>
    </row>
    <row r="1888" spans="1:15">
      <c r="A1888" s="37" t="str">
        <f t="shared" si="763"/>
        <v>G</v>
      </c>
      <c r="B1888" s="541">
        <f t="shared" si="764"/>
        <v>2021</v>
      </c>
      <c r="C1888" s="451">
        <f t="shared" si="765"/>
        <v>6</v>
      </c>
      <c r="D1888" s="542">
        <f t="shared" ref="D1888:E1907" ca="1" si="805">ROUND(INDIRECT(CONCATENATE($A1888,D$1772+($B1888-2011))),0)</f>
        <v>10288</v>
      </c>
      <c r="E1888" s="542">
        <f t="shared" ca="1" si="805"/>
        <v>739</v>
      </c>
      <c r="F1888" s="654">
        <f t="shared" si="766"/>
        <v>2009</v>
      </c>
      <c r="G1888" s="2" t="str">
        <f t="shared" ref="G1888:H1888" si="806">G1876</f>
        <v>Jun</v>
      </c>
      <c r="H1888" s="2" t="str">
        <f t="shared" si="806"/>
        <v>V</v>
      </c>
      <c r="I1888" s="1123">
        <f t="shared" ca="1" si="789"/>
        <v>10247</v>
      </c>
      <c r="J1888" s="1123">
        <f t="shared" ca="1" si="750"/>
        <v>1618</v>
      </c>
    </row>
    <row r="1889" spans="1:16">
      <c r="A1889" s="37" t="str">
        <f t="shared" si="763"/>
        <v>H</v>
      </c>
      <c r="B1889" s="541">
        <f t="shared" si="764"/>
        <v>2021</v>
      </c>
      <c r="C1889" s="451">
        <f t="shared" si="765"/>
        <v>7</v>
      </c>
      <c r="D1889" s="542">
        <f t="shared" ca="1" si="805"/>
        <v>10543</v>
      </c>
      <c r="E1889" s="542">
        <f t="shared" ca="1" si="805"/>
        <v>738</v>
      </c>
      <c r="F1889" s="654">
        <f t="shared" si="766"/>
        <v>2009</v>
      </c>
      <c r="G1889" s="2" t="str">
        <f t="shared" ref="G1889:H1889" si="807">G1877</f>
        <v>Jul</v>
      </c>
      <c r="H1889" s="2" t="str">
        <f t="shared" si="807"/>
        <v>W</v>
      </c>
      <c r="I1889" s="1123">
        <f t="shared" ca="1" si="789"/>
        <v>9294</v>
      </c>
      <c r="J1889" s="1123">
        <f t="shared" ca="1" si="750"/>
        <v>1153</v>
      </c>
    </row>
    <row r="1890" spans="1:16">
      <c r="A1890" s="37" t="str">
        <f t="shared" si="763"/>
        <v>I</v>
      </c>
      <c r="B1890" s="541">
        <f t="shared" si="764"/>
        <v>2021</v>
      </c>
      <c r="C1890" s="451">
        <f t="shared" si="765"/>
        <v>8</v>
      </c>
      <c r="D1890" s="542">
        <f t="shared" ca="1" si="805"/>
        <v>10823</v>
      </c>
      <c r="E1890" s="542">
        <f t="shared" ca="1" si="805"/>
        <v>737</v>
      </c>
      <c r="F1890" s="654">
        <f t="shared" si="766"/>
        <v>2009</v>
      </c>
      <c r="G1890" s="2" t="str">
        <f t="shared" ref="G1890:H1890" si="808">G1878</f>
        <v>Aug</v>
      </c>
      <c r="H1890" s="2" t="str">
        <f t="shared" si="808"/>
        <v>X</v>
      </c>
      <c r="I1890" s="1123">
        <f t="shared" ca="1" si="789"/>
        <v>9591</v>
      </c>
      <c r="J1890" s="1123">
        <f t="shared" ca="1" si="750"/>
        <v>1428</v>
      </c>
    </row>
    <row r="1891" spans="1:16">
      <c r="A1891" s="37" t="str">
        <f t="shared" si="763"/>
        <v>J</v>
      </c>
      <c r="B1891" s="541">
        <f t="shared" si="764"/>
        <v>2021</v>
      </c>
      <c r="C1891" s="451">
        <f t="shared" si="765"/>
        <v>9</v>
      </c>
      <c r="D1891" s="542">
        <f t="shared" ca="1" si="805"/>
        <v>9840</v>
      </c>
      <c r="E1891" s="542">
        <f t="shared" ca="1" si="805"/>
        <v>737</v>
      </c>
      <c r="F1891" s="654">
        <f t="shared" si="766"/>
        <v>2009</v>
      </c>
      <c r="G1891" s="2" t="str">
        <f t="shared" ref="G1891:H1891" si="809">G1879</f>
        <v>Sep</v>
      </c>
      <c r="H1891" s="2" t="str">
        <f t="shared" si="809"/>
        <v>Y</v>
      </c>
      <c r="I1891" s="1123">
        <f t="shared" ca="1" si="789"/>
        <v>8392</v>
      </c>
      <c r="J1891" s="1123">
        <f t="shared" ca="1" si="750"/>
        <v>978</v>
      </c>
    </row>
    <row r="1892" spans="1:16">
      <c r="A1892" s="37" t="str">
        <f t="shared" si="763"/>
        <v>K</v>
      </c>
      <c r="B1892" s="541">
        <f t="shared" si="764"/>
        <v>2021</v>
      </c>
      <c r="C1892" s="451">
        <f t="shared" si="765"/>
        <v>10</v>
      </c>
      <c r="D1892" s="542">
        <f t="shared" ca="1" si="805"/>
        <v>9535</v>
      </c>
      <c r="E1892" s="542">
        <f t="shared" ca="1" si="805"/>
        <v>736</v>
      </c>
      <c r="F1892" s="654">
        <f t="shared" si="766"/>
        <v>2009</v>
      </c>
      <c r="G1892" s="2" t="str">
        <f t="shared" ref="G1892:H1892" si="810">G1880</f>
        <v>Oct</v>
      </c>
      <c r="H1892" s="2" t="str">
        <f t="shared" si="810"/>
        <v>Z</v>
      </c>
      <c r="I1892" s="1123">
        <f t="shared" ca="1" si="789"/>
        <v>8949</v>
      </c>
      <c r="J1892" s="1123">
        <f t="shared" ca="1" si="750"/>
        <v>1027</v>
      </c>
    </row>
    <row r="1893" spans="1:16">
      <c r="A1893" s="37" t="str">
        <f t="shared" si="763"/>
        <v>L</v>
      </c>
      <c r="B1893" s="541">
        <f t="shared" si="764"/>
        <v>2021</v>
      </c>
      <c r="C1893" s="451">
        <f t="shared" si="765"/>
        <v>11</v>
      </c>
      <c r="D1893" s="542">
        <f t="shared" ca="1" si="805"/>
        <v>7604</v>
      </c>
      <c r="E1893" s="542">
        <f t="shared" ca="1" si="805"/>
        <v>731</v>
      </c>
      <c r="F1893" s="654">
        <f t="shared" si="766"/>
        <v>2009</v>
      </c>
      <c r="G1893" s="2" t="str">
        <f t="shared" ref="G1893:H1893" si="811">G1881</f>
        <v>Nov</v>
      </c>
      <c r="H1893" s="2" t="str">
        <f t="shared" si="811"/>
        <v>AA</v>
      </c>
      <c r="I1893" s="1123">
        <f t="shared" ca="1" si="789"/>
        <v>6236</v>
      </c>
      <c r="J1893" s="1123">
        <f t="shared" ca="1" si="750"/>
        <v>552</v>
      </c>
    </row>
    <row r="1894" spans="1:16">
      <c r="A1894" s="37" t="str">
        <f t="shared" si="763"/>
        <v>M</v>
      </c>
      <c r="B1894" s="541">
        <f t="shared" si="764"/>
        <v>2021</v>
      </c>
      <c r="C1894" s="451">
        <f t="shared" si="765"/>
        <v>12</v>
      </c>
      <c r="D1894" s="542">
        <f t="shared" ca="1" si="805"/>
        <v>9372</v>
      </c>
      <c r="E1894" s="542">
        <f t="shared" ca="1" si="805"/>
        <v>1336</v>
      </c>
      <c r="F1894" s="654">
        <f t="shared" si="766"/>
        <v>2009</v>
      </c>
      <c r="G1894" s="2" t="str">
        <f t="shared" ref="G1894:H1894" si="812">G1882</f>
        <v>Dec</v>
      </c>
      <c r="H1894" s="2" t="str">
        <f t="shared" si="812"/>
        <v>AB</v>
      </c>
      <c r="I1894" s="1123">
        <f t="shared" ca="1" si="789"/>
        <v>7154</v>
      </c>
      <c r="J1894" s="1123">
        <f t="shared" ca="1" si="750"/>
        <v>958</v>
      </c>
    </row>
    <row r="1895" spans="1:16">
      <c r="A1895" s="37" t="str">
        <f t="shared" si="763"/>
        <v>B</v>
      </c>
      <c r="B1895" s="541">
        <f t="shared" si="764"/>
        <v>2022</v>
      </c>
      <c r="C1895" s="451">
        <f t="shared" si="765"/>
        <v>1</v>
      </c>
      <c r="D1895" s="542">
        <f t="shared" ca="1" si="805"/>
        <v>11466</v>
      </c>
      <c r="E1895" s="542">
        <f t="shared" ca="1" si="805"/>
        <v>1339</v>
      </c>
      <c r="F1895" s="654">
        <f t="shared" si="766"/>
        <v>2010</v>
      </c>
      <c r="G1895" s="2" t="str">
        <f t="shared" ref="G1895:H1895" si="813">G1883</f>
        <v>Jan</v>
      </c>
      <c r="H1895" s="2" t="str">
        <f t="shared" si="813"/>
        <v>Q</v>
      </c>
      <c r="I1895" s="1123">
        <f t="shared" ca="1" si="789"/>
        <v>11644</v>
      </c>
      <c r="J1895" s="1123">
        <f t="shared" ca="1" si="750"/>
        <v>2174</v>
      </c>
    </row>
    <row r="1896" spans="1:16">
      <c r="A1896" s="37" t="str">
        <f t="shared" si="763"/>
        <v>C</v>
      </c>
      <c r="B1896" s="541">
        <f t="shared" si="764"/>
        <v>2022</v>
      </c>
      <c r="C1896" s="451">
        <f t="shared" si="765"/>
        <v>2</v>
      </c>
      <c r="D1896" s="542">
        <f t="shared" ca="1" si="805"/>
        <v>9976</v>
      </c>
      <c r="E1896" s="542">
        <f t="shared" ca="1" si="805"/>
        <v>1336</v>
      </c>
      <c r="F1896" s="654">
        <f t="shared" si="766"/>
        <v>2010</v>
      </c>
      <c r="G1896" s="2" t="str">
        <f t="shared" ref="G1896:H1896" si="814">G1884</f>
        <v>Feb</v>
      </c>
      <c r="H1896" s="2" t="str">
        <f t="shared" si="814"/>
        <v>R</v>
      </c>
      <c r="I1896" s="1123">
        <f t="shared" ca="1" si="789"/>
        <v>8746</v>
      </c>
      <c r="J1896" s="1123">
        <f t="shared" ca="1" si="750"/>
        <v>1268</v>
      </c>
    </row>
    <row r="1897" spans="1:16">
      <c r="A1897" s="37" t="str">
        <f t="shared" si="763"/>
        <v>D</v>
      </c>
      <c r="B1897" s="541">
        <f t="shared" si="764"/>
        <v>2022</v>
      </c>
      <c r="C1897" s="451">
        <f t="shared" si="765"/>
        <v>3</v>
      </c>
      <c r="D1897" s="542">
        <f t="shared" ca="1" si="805"/>
        <v>8945</v>
      </c>
      <c r="E1897" s="542">
        <f t="shared" ca="1" si="805"/>
        <v>1335</v>
      </c>
      <c r="F1897" s="654">
        <f t="shared" si="766"/>
        <v>2010</v>
      </c>
      <c r="G1897" s="2" t="str">
        <f t="shared" ref="G1897:H1897" si="815">G1885</f>
        <v>Mar</v>
      </c>
      <c r="H1897" s="2" t="str">
        <f t="shared" si="815"/>
        <v>S</v>
      </c>
      <c r="I1897" s="1123">
        <f t="shared" ca="1" si="789"/>
        <v>8276</v>
      </c>
      <c r="J1897" s="1123">
        <f t="shared" ca="1" si="750"/>
        <v>1039</v>
      </c>
    </row>
    <row r="1898" spans="1:16">
      <c r="A1898" s="37" t="str">
        <f t="shared" si="763"/>
        <v>E</v>
      </c>
      <c r="B1898" s="541">
        <f t="shared" si="764"/>
        <v>2022</v>
      </c>
      <c r="C1898" s="451">
        <f t="shared" si="765"/>
        <v>4</v>
      </c>
      <c r="D1898" s="542">
        <f t="shared" ca="1" si="805"/>
        <v>9091</v>
      </c>
      <c r="E1898" s="542">
        <f t="shared" ca="1" si="805"/>
        <v>734</v>
      </c>
      <c r="F1898" s="654">
        <f t="shared" si="766"/>
        <v>2010</v>
      </c>
      <c r="G1898" s="2" t="str">
        <f t="shared" ref="G1898:H1898" si="816">G1886</f>
        <v>Apr</v>
      </c>
      <c r="H1898" s="2" t="str">
        <f t="shared" si="816"/>
        <v>T</v>
      </c>
      <c r="I1898" s="1123">
        <f t="shared" ca="1" si="789"/>
        <v>6183</v>
      </c>
      <c r="J1898" s="1123">
        <f t="shared" ca="1" si="750"/>
        <v>422</v>
      </c>
      <c r="P1898" s="25"/>
    </row>
    <row r="1899" spans="1:16">
      <c r="A1899" s="37" t="str">
        <f t="shared" si="763"/>
        <v>F</v>
      </c>
      <c r="B1899" s="541">
        <f t="shared" si="764"/>
        <v>2022</v>
      </c>
      <c r="C1899" s="451">
        <f t="shared" si="765"/>
        <v>5</v>
      </c>
      <c r="D1899" s="542">
        <f t="shared" ca="1" si="805"/>
        <v>10374</v>
      </c>
      <c r="E1899" s="542">
        <f t="shared" ca="1" si="805"/>
        <v>737</v>
      </c>
      <c r="F1899" s="654">
        <f t="shared" si="766"/>
        <v>2010</v>
      </c>
      <c r="G1899" s="2" t="str">
        <f t="shared" ref="G1899:H1899" si="817">G1887</f>
        <v>May</v>
      </c>
      <c r="H1899" s="2" t="str">
        <f t="shared" si="817"/>
        <v>U</v>
      </c>
      <c r="I1899" s="1123">
        <f t="shared" ca="1" si="789"/>
        <v>8585</v>
      </c>
      <c r="J1899" s="1123">
        <f t="shared" ca="1" si="750"/>
        <v>1043</v>
      </c>
      <c r="O1899" s="25"/>
      <c r="P1899" s="25"/>
    </row>
    <row r="1900" spans="1:16">
      <c r="A1900" s="37" t="str">
        <f t="shared" si="763"/>
        <v>G</v>
      </c>
      <c r="B1900" s="541">
        <f t="shared" si="764"/>
        <v>2022</v>
      </c>
      <c r="C1900" s="451">
        <f t="shared" si="765"/>
        <v>6</v>
      </c>
      <c r="D1900" s="542">
        <f t="shared" ca="1" si="805"/>
        <v>10403</v>
      </c>
      <c r="E1900" s="542">
        <f t="shared" ca="1" si="805"/>
        <v>739</v>
      </c>
      <c r="F1900" s="654">
        <f t="shared" si="766"/>
        <v>2010</v>
      </c>
      <c r="G1900" s="2" t="str">
        <f t="shared" ref="G1900:H1900" si="818">G1888</f>
        <v>Jun</v>
      </c>
      <c r="H1900" s="2" t="str">
        <f t="shared" si="818"/>
        <v>V</v>
      </c>
      <c r="I1900" s="1123">
        <f t="shared" ca="1" si="789"/>
        <v>9516</v>
      </c>
      <c r="J1900" s="1123">
        <f t="shared" ca="1" si="750"/>
        <v>1143</v>
      </c>
      <c r="O1900" s="25"/>
      <c r="P1900" s="25"/>
    </row>
    <row r="1901" spans="1:16">
      <c r="A1901" s="37" t="str">
        <f t="shared" si="763"/>
        <v>H</v>
      </c>
      <c r="B1901" s="541">
        <f t="shared" si="764"/>
        <v>2022</v>
      </c>
      <c r="C1901" s="451">
        <f t="shared" si="765"/>
        <v>7</v>
      </c>
      <c r="D1901" s="542">
        <f t="shared" ca="1" si="805"/>
        <v>10662</v>
      </c>
      <c r="E1901" s="542">
        <f t="shared" ca="1" si="805"/>
        <v>738</v>
      </c>
      <c r="F1901" s="654">
        <f t="shared" si="766"/>
        <v>2010</v>
      </c>
      <c r="G1901" s="2" t="str">
        <f t="shared" ref="G1901:H1901" si="819">G1889</f>
        <v>Jul</v>
      </c>
      <c r="H1901" s="2" t="str">
        <f t="shared" si="819"/>
        <v>W</v>
      </c>
      <c r="I1901" s="1123">
        <f t="shared" ca="1" si="789"/>
        <v>9600</v>
      </c>
      <c r="J1901" s="1123">
        <f t="shared" ca="1" si="750"/>
        <v>1272</v>
      </c>
      <c r="O1901" s="25"/>
      <c r="P1901" s="25"/>
    </row>
    <row r="1902" spans="1:16">
      <c r="A1902" s="37" t="str">
        <f t="shared" si="763"/>
        <v>I</v>
      </c>
      <c r="B1902" s="541">
        <f t="shared" si="764"/>
        <v>2022</v>
      </c>
      <c r="C1902" s="451">
        <f t="shared" si="765"/>
        <v>8</v>
      </c>
      <c r="D1902" s="542">
        <f t="shared" ca="1" si="805"/>
        <v>10948</v>
      </c>
      <c r="E1902" s="542">
        <f t="shared" ca="1" si="805"/>
        <v>738</v>
      </c>
      <c r="F1902" s="654">
        <f t="shared" si="766"/>
        <v>2010</v>
      </c>
      <c r="G1902" s="2" t="str">
        <f t="shared" ref="G1902:H1902" si="820">G1890</f>
        <v>Aug</v>
      </c>
      <c r="H1902" s="2" t="str">
        <f t="shared" si="820"/>
        <v>X</v>
      </c>
      <c r="I1902" s="1123">
        <f t="shared" ca="1" si="789"/>
        <v>9467</v>
      </c>
      <c r="J1902" s="1123">
        <f t="shared" ca="1" si="750"/>
        <v>1165</v>
      </c>
      <c r="O1902" s="25"/>
      <c r="P1902" s="25"/>
    </row>
    <row r="1903" spans="1:16">
      <c r="A1903" s="37" t="str">
        <f t="shared" si="763"/>
        <v>J</v>
      </c>
      <c r="B1903" s="541">
        <f t="shared" si="764"/>
        <v>2022</v>
      </c>
      <c r="C1903" s="451">
        <f t="shared" si="765"/>
        <v>9</v>
      </c>
      <c r="D1903" s="542">
        <f t="shared" ca="1" si="805"/>
        <v>9937</v>
      </c>
      <c r="E1903" s="542">
        <f t="shared" ca="1" si="805"/>
        <v>737</v>
      </c>
      <c r="F1903" s="654">
        <f t="shared" si="766"/>
        <v>2010</v>
      </c>
      <c r="G1903" s="2" t="str">
        <f t="shared" ref="G1903:H1903" si="821">G1891</f>
        <v>Sep</v>
      </c>
      <c r="H1903" s="2" t="str">
        <f t="shared" si="821"/>
        <v>Y</v>
      </c>
      <c r="I1903" s="1123">
        <f t="shared" ca="1" si="789"/>
        <v>8844</v>
      </c>
      <c r="J1903" s="1123">
        <f t="shared" ca="1" si="750"/>
        <v>966</v>
      </c>
      <c r="O1903" s="25"/>
      <c r="P1903" s="25"/>
    </row>
    <row r="1904" spans="1:16">
      <c r="A1904" s="37" t="str">
        <f t="shared" si="763"/>
        <v>K</v>
      </c>
      <c r="B1904" s="541">
        <f t="shared" si="764"/>
        <v>2022</v>
      </c>
      <c r="C1904" s="451">
        <f t="shared" si="765"/>
        <v>10</v>
      </c>
      <c r="D1904" s="542">
        <f t="shared" ca="1" si="805"/>
        <v>9646</v>
      </c>
      <c r="E1904" s="542">
        <f t="shared" ca="1" si="805"/>
        <v>736</v>
      </c>
      <c r="F1904" s="654">
        <f t="shared" si="766"/>
        <v>2010</v>
      </c>
      <c r="G1904" s="2" t="str">
        <f t="shared" ref="G1904:H1904" si="822">G1892</f>
        <v>Oct</v>
      </c>
      <c r="H1904" s="2" t="str">
        <f t="shared" si="822"/>
        <v>Z</v>
      </c>
      <c r="I1904" s="1123">
        <f t="shared" ref="I1904:I1935" ca="1" si="823">ROUND(INDIRECT(CONCATENATE($H1904,I$1772+($F1904-2000))),0)</f>
        <v>7753</v>
      </c>
      <c r="J1904" s="1123">
        <f t="shared" ref="J1904:J1966" ca="1" si="824">ROUND(INDIRECT(CONCATENATE($H1904,J$1772+($F1904-2000))),0)</f>
        <v>764</v>
      </c>
      <c r="O1904" s="25"/>
      <c r="P1904" s="25"/>
    </row>
    <row r="1905" spans="1:16">
      <c r="A1905" s="37" t="str">
        <f t="shared" si="763"/>
        <v>L</v>
      </c>
      <c r="B1905" s="541">
        <f t="shared" si="764"/>
        <v>2022</v>
      </c>
      <c r="C1905" s="451">
        <f t="shared" si="765"/>
        <v>11</v>
      </c>
      <c r="D1905" s="542">
        <f t="shared" ca="1" si="805"/>
        <v>7661</v>
      </c>
      <c r="E1905" s="542">
        <f t="shared" ca="1" si="805"/>
        <v>731</v>
      </c>
      <c r="F1905" s="654">
        <f t="shared" si="766"/>
        <v>2010</v>
      </c>
      <c r="G1905" s="2" t="str">
        <f t="shared" ref="G1905:H1905" si="825">G1893</f>
        <v>Nov</v>
      </c>
      <c r="H1905" s="2" t="str">
        <f t="shared" si="825"/>
        <v>AA</v>
      </c>
      <c r="I1905" s="1123">
        <f t="shared" ca="1" si="823"/>
        <v>6180</v>
      </c>
      <c r="J1905" s="1123">
        <f t="shared" ca="1" si="824"/>
        <v>433</v>
      </c>
      <c r="O1905" s="25"/>
      <c r="P1905" s="25"/>
    </row>
    <row r="1906" spans="1:16">
      <c r="A1906" s="37" t="str">
        <f t="shared" si="763"/>
        <v>M</v>
      </c>
      <c r="B1906" s="541">
        <f t="shared" si="764"/>
        <v>2022</v>
      </c>
      <c r="C1906" s="451">
        <f t="shared" si="765"/>
        <v>12</v>
      </c>
      <c r="D1906" s="542">
        <f t="shared" ca="1" si="805"/>
        <v>9426</v>
      </c>
      <c r="E1906" s="542">
        <f t="shared" ca="1" si="805"/>
        <v>1336</v>
      </c>
      <c r="F1906" s="654">
        <f t="shared" si="766"/>
        <v>2010</v>
      </c>
      <c r="G1906" s="2" t="str">
        <f t="shared" ref="G1906:H1906" si="826">G1894</f>
        <v>Dec</v>
      </c>
      <c r="H1906" s="2" t="str">
        <f t="shared" si="826"/>
        <v>AB</v>
      </c>
      <c r="I1906" s="1123">
        <f t="shared" ca="1" si="823"/>
        <v>10381</v>
      </c>
      <c r="J1906" s="1123">
        <f t="shared" ca="1" si="824"/>
        <v>1625</v>
      </c>
      <c r="O1906" s="25"/>
      <c r="P1906" s="25"/>
    </row>
    <row r="1907" spans="1:16">
      <c r="A1907" s="37" t="str">
        <f t="shared" si="763"/>
        <v>B</v>
      </c>
      <c r="B1907" s="541">
        <f t="shared" si="764"/>
        <v>2023</v>
      </c>
      <c r="C1907" s="451">
        <f t="shared" si="765"/>
        <v>1</v>
      </c>
      <c r="D1907" s="542">
        <f t="shared" ca="1" si="805"/>
        <v>11561</v>
      </c>
      <c r="E1907" s="542">
        <f t="shared" ca="1" si="805"/>
        <v>1339</v>
      </c>
      <c r="F1907" s="654">
        <f t="shared" si="766"/>
        <v>2011</v>
      </c>
      <c r="G1907" s="2" t="str">
        <f t="shared" ref="G1907:H1907" si="827">G1895</f>
        <v>Jan</v>
      </c>
      <c r="H1907" s="2" t="str">
        <f t="shared" si="827"/>
        <v>Q</v>
      </c>
      <c r="I1907" s="1123">
        <f t="shared" ca="1" si="823"/>
        <v>9586</v>
      </c>
      <c r="J1907" s="1123">
        <f t="shared" ca="1" si="824"/>
        <v>1007</v>
      </c>
      <c r="O1907" s="25"/>
      <c r="P1907" s="25"/>
    </row>
    <row r="1908" spans="1:16">
      <c r="A1908" s="37" t="str">
        <f t="shared" si="763"/>
        <v>C</v>
      </c>
      <c r="B1908" s="541">
        <f t="shared" si="764"/>
        <v>2023</v>
      </c>
      <c r="C1908" s="451">
        <f t="shared" si="765"/>
        <v>2</v>
      </c>
      <c r="D1908" s="542">
        <f t="shared" ref="D1908:E1927" ca="1" si="828">ROUND(INDIRECT(CONCATENATE($A1908,D$1772+($B1908-2011))),0)</f>
        <v>10042</v>
      </c>
      <c r="E1908" s="542">
        <f t="shared" ca="1" si="828"/>
        <v>1336</v>
      </c>
      <c r="F1908" s="654">
        <f t="shared" si="766"/>
        <v>2011</v>
      </c>
      <c r="G1908" s="2" t="str">
        <f t="shared" ref="G1908:H1908" si="829">G1896</f>
        <v>Feb</v>
      </c>
      <c r="H1908" s="2" t="str">
        <f t="shared" si="829"/>
        <v>R</v>
      </c>
      <c r="I1908" s="1123">
        <f t="shared" ca="1" si="823"/>
        <v>7395</v>
      </c>
      <c r="J1908" s="1123">
        <f t="shared" ca="1" si="824"/>
        <v>703</v>
      </c>
      <c r="O1908" s="25"/>
      <c r="P1908" s="25"/>
    </row>
    <row r="1909" spans="1:16">
      <c r="A1909" s="37" t="str">
        <f t="shared" si="763"/>
        <v>D</v>
      </c>
      <c r="B1909" s="541">
        <f t="shared" si="764"/>
        <v>2023</v>
      </c>
      <c r="C1909" s="451">
        <f t="shared" si="765"/>
        <v>3</v>
      </c>
      <c r="D1909" s="542">
        <f t="shared" ca="1" si="828"/>
        <v>9020</v>
      </c>
      <c r="E1909" s="542">
        <f t="shared" ca="1" si="828"/>
        <v>1335</v>
      </c>
      <c r="F1909" s="654">
        <f t="shared" si="766"/>
        <v>2011</v>
      </c>
      <c r="G1909" s="2" t="str">
        <f t="shared" ref="G1909:H1909" si="830">G1897</f>
        <v>Mar</v>
      </c>
      <c r="H1909" s="2" t="str">
        <f t="shared" si="830"/>
        <v>S</v>
      </c>
      <c r="I1909" s="1123">
        <f t="shared" ca="1" si="823"/>
        <v>6133</v>
      </c>
      <c r="J1909" s="1123">
        <f t="shared" ca="1" si="824"/>
        <v>659</v>
      </c>
      <c r="O1909" s="25"/>
      <c r="P1909" s="25"/>
    </row>
    <row r="1910" spans="1:16">
      <c r="A1910" s="37" t="str">
        <f t="shared" si="763"/>
        <v>E</v>
      </c>
      <c r="B1910" s="541">
        <f t="shared" si="764"/>
        <v>2023</v>
      </c>
      <c r="C1910" s="451">
        <f t="shared" si="765"/>
        <v>4</v>
      </c>
      <c r="D1910" s="542">
        <f t="shared" ca="1" si="828"/>
        <v>9201</v>
      </c>
      <c r="E1910" s="542">
        <f t="shared" ca="1" si="828"/>
        <v>734</v>
      </c>
      <c r="F1910" s="654">
        <f t="shared" si="766"/>
        <v>2011</v>
      </c>
      <c r="G1910" s="2" t="str">
        <f t="shared" ref="G1910:H1910" si="831">G1898</f>
        <v>Apr</v>
      </c>
      <c r="H1910" s="2" t="str">
        <f t="shared" si="831"/>
        <v>T</v>
      </c>
      <c r="I1910" s="1123">
        <f t="shared" ca="1" si="823"/>
        <v>8187</v>
      </c>
      <c r="J1910" s="1123">
        <f t="shared" ca="1" si="824"/>
        <v>831</v>
      </c>
      <c r="O1910" s="25"/>
      <c r="P1910" s="25"/>
    </row>
    <row r="1911" spans="1:16">
      <c r="A1911" s="37" t="str">
        <f t="shared" si="763"/>
        <v>F</v>
      </c>
      <c r="B1911" s="541">
        <f t="shared" si="764"/>
        <v>2023</v>
      </c>
      <c r="C1911" s="451">
        <f t="shared" si="765"/>
        <v>5</v>
      </c>
      <c r="D1911" s="542">
        <f t="shared" ca="1" si="828"/>
        <v>10493</v>
      </c>
      <c r="E1911" s="542">
        <f t="shared" ca="1" si="828"/>
        <v>737</v>
      </c>
      <c r="F1911" s="654">
        <f t="shared" si="766"/>
        <v>2011</v>
      </c>
      <c r="G1911" s="2" t="str">
        <f t="shared" ref="G1911:H1911" si="832">G1899</f>
        <v>May</v>
      </c>
      <c r="H1911" s="2" t="str">
        <f t="shared" si="832"/>
        <v>U</v>
      </c>
      <c r="I1911" s="1123">
        <f t="shared" ca="1" si="823"/>
        <v>8443</v>
      </c>
      <c r="J1911" s="1123">
        <f t="shared" ca="1" si="824"/>
        <v>888</v>
      </c>
      <c r="O1911" s="25"/>
      <c r="P1911" s="25"/>
    </row>
    <row r="1912" spans="1:16">
      <c r="A1912" s="37" t="str">
        <f t="shared" si="763"/>
        <v>G</v>
      </c>
      <c r="B1912" s="541">
        <f t="shared" si="764"/>
        <v>2023</v>
      </c>
      <c r="C1912" s="451">
        <f t="shared" si="765"/>
        <v>6</v>
      </c>
      <c r="D1912" s="542">
        <f t="shared" ca="1" si="828"/>
        <v>10511</v>
      </c>
      <c r="E1912" s="542">
        <f t="shared" ca="1" si="828"/>
        <v>740</v>
      </c>
      <c r="F1912" s="654">
        <f t="shared" si="766"/>
        <v>2011</v>
      </c>
      <c r="G1912" s="2" t="str">
        <f t="shared" ref="G1912:H1912" si="833">G1900</f>
        <v>Jun</v>
      </c>
      <c r="H1912" s="2" t="str">
        <f t="shared" si="833"/>
        <v>V</v>
      </c>
      <c r="I1912" s="1123">
        <f t="shared" ca="1" si="823"/>
        <v>9277</v>
      </c>
      <c r="J1912" s="1123">
        <f t="shared" ca="1" si="824"/>
        <v>934</v>
      </c>
      <c r="O1912" s="25"/>
      <c r="P1912" s="25"/>
    </row>
    <row r="1913" spans="1:16">
      <c r="A1913" s="37" t="str">
        <f t="shared" si="763"/>
        <v>H</v>
      </c>
      <c r="B1913" s="541">
        <f t="shared" si="764"/>
        <v>2023</v>
      </c>
      <c r="C1913" s="451">
        <f t="shared" si="765"/>
        <v>7</v>
      </c>
      <c r="D1913" s="542">
        <f t="shared" ca="1" si="828"/>
        <v>10771</v>
      </c>
      <c r="E1913" s="542">
        <f t="shared" ca="1" si="828"/>
        <v>738</v>
      </c>
      <c r="F1913" s="654">
        <f t="shared" si="766"/>
        <v>2011</v>
      </c>
      <c r="G1913" s="2" t="str">
        <f t="shared" ref="G1913:H1913" si="834">G1901</f>
        <v>Jul</v>
      </c>
      <c r="H1913" s="2" t="str">
        <f t="shared" si="834"/>
        <v>W</v>
      </c>
      <c r="I1913" s="1123">
        <f t="shared" ca="1" si="823"/>
        <v>8917</v>
      </c>
      <c r="J1913" s="1123">
        <f t="shared" ca="1" si="824"/>
        <v>879</v>
      </c>
      <c r="O1913" s="25"/>
      <c r="P1913" s="25"/>
    </row>
    <row r="1914" spans="1:16">
      <c r="A1914" s="37" t="str">
        <f t="shared" si="763"/>
        <v>I</v>
      </c>
      <c r="B1914" s="541">
        <f t="shared" si="764"/>
        <v>2023</v>
      </c>
      <c r="C1914" s="451">
        <f t="shared" si="765"/>
        <v>8</v>
      </c>
      <c r="D1914" s="542">
        <f t="shared" ca="1" si="828"/>
        <v>11063</v>
      </c>
      <c r="E1914" s="542">
        <f t="shared" ca="1" si="828"/>
        <v>738</v>
      </c>
      <c r="F1914" s="654">
        <f t="shared" si="766"/>
        <v>2011</v>
      </c>
      <c r="G1914" s="2" t="str">
        <f t="shared" ref="G1914:H1914" si="835">G1902</f>
        <v>Aug</v>
      </c>
      <c r="H1914" s="2" t="str">
        <f t="shared" si="835"/>
        <v>X</v>
      </c>
      <c r="I1914" s="1123">
        <f t="shared" ca="1" si="823"/>
        <v>9196</v>
      </c>
      <c r="J1914" s="1123">
        <f t="shared" ca="1" si="824"/>
        <v>903</v>
      </c>
      <c r="O1914" s="25"/>
      <c r="P1914" s="25"/>
    </row>
    <row r="1915" spans="1:16">
      <c r="A1915" s="37" t="str">
        <f t="shared" si="763"/>
        <v>J</v>
      </c>
      <c r="B1915" s="541">
        <f t="shared" si="764"/>
        <v>2023</v>
      </c>
      <c r="C1915" s="451">
        <f t="shared" si="765"/>
        <v>9</v>
      </c>
      <c r="D1915" s="542">
        <f t="shared" ca="1" si="828"/>
        <v>10029</v>
      </c>
      <c r="E1915" s="542">
        <f t="shared" ca="1" si="828"/>
        <v>737</v>
      </c>
      <c r="F1915" s="654">
        <f t="shared" si="766"/>
        <v>2011</v>
      </c>
      <c r="G1915" s="2" t="str">
        <f t="shared" ref="G1915:H1915" si="836">G1903</f>
        <v>Sep</v>
      </c>
      <c r="H1915" s="2" t="str">
        <f t="shared" si="836"/>
        <v>Y</v>
      </c>
      <c r="I1915" s="1123">
        <f t="shared" ca="1" si="823"/>
        <v>8207</v>
      </c>
      <c r="J1915" s="1123">
        <f t="shared" ca="1" si="824"/>
        <v>755</v>
      </c>
      <c r="O1915" s="25"/>
      <c r="P1915" s="25"/>
    </row>
    <row r="1916" spans="1:16">
      <c r="A1916" s="37" t="str">
        <f t="shared" ref="A1916:A1979" si="837">A1904</f>
        <v>K</v>
      </c>
      <c r="B1916" s="541">
        <f t="shared" ref="B1916:B1979" si="838">B1904+1</f>
        <v>2023</v>
      </c>
      <c r="C1916" s="451">
        <f t="shared" ref="C1916:C1979" si="839">C1904</f>
        <v>10</v>
      </c>
      <c r="D1916" s="542">
        <f t="shared" ca="1" si="828"/>
        <v>9751</v>
      </c>
      <c r="E1916" s="542">
        <f t="shared" ca="1" si="828"/>
        <v>736</v>
      </c>
      <c r="F1916" s="654">
        <f t="shared" ref="F1916:F1966" si="840">F1904+1</f>
        <v>2011</v>
      </c>
      <c r="G1916" s="2" t="str">
        <f t="shared" ref="G1916:H1916" si="841">G1904</f>
        <v>Oct</v>
      </c>
      <c r="H1916" s="2" t="str">
        <f t="shared" si="841"/>
        <v>Z</v>
      </c>
      <c r="I1916" s="1123">
        <f t="shared" ca="1" si="823"/>
        <v>7176</v>
      </c>
      <c r="J1916" s="1123">
        <f t="shared" ca="1" si="824"/>
        <v>728</v>
      </c>
      <c r="O1916" s="25"/>
      <c r="P1916" s="25"/>
    </row>
    <row r="1917" spans="1:16">
      <c r="A1917" s="37" t="str">
        <f t="shared" si="837"/>
        <v>L</v>
      </c>
      <c r="B1917" s="541">
        <f t="shared" si="838"/>
        <v>2023</v>
      </c>
      <c r="C1917" s="451">
        <f t="shared" si="839"/>
        <v>11</v>
      </c>
      <c r="D1917" s="542">
        <f t="shared" ca="1" si="828"/>
        <v>7714</v>
      </c>
      <c r="E1917" s="542">
        <f t="shared" ca="1" si="828"/>
        <v>732</v>
      </c>
      <c r="F1917" s="654">
        <f t="shared" si="840"/>
        <v>2011</v>
      </c>
      <c r="G1917" s="2" t="str">
        <f t="shared" ref="G1917:H1917" si="842">G1905</f>
        <v>Nov</v>
      </c>
      <c r="H1917" s="2" t="str">
        <f t="shared" si="842"/>
        <v>AA</v>
      </c>
      <c r="I1917" s="1123">
        <f t="shared" ca="1" si="823"/>
        <v>5854</v>
      </c>
      <c r="J1917" s="1123">
        <f t="shared" ca="1" si="824"/>
        <v>354</v>
      </c>
      <c r="O1917" s="25"/>
      <c r="P1917" s="25"/>
    </row>
    <row r="1918" spans="1:16">
      <c r="A1918" s="37" t="str">
        <f t="shared" si="837"/>
        <v>M</v>
      </c>
      <c r="B1918" s="541">
        <f t="shared" si="838"/>
        <v>2023</v>
      </c>
      <c r="C1918" s="451">
        <f t="shared" si="839"/>
        <v>12</v>
      </c>
      <c r="D1918" s="542">
        <f t="shared" ca="1" si="828"/>
        <v>9478</v>
      </c>
      <c r="E1918" s="542">
        <f t="shared" ca="1" si="828"/>
        <v>1337</v>
      </c>
      <c r="F1918" s="654">
        <f t="shared" si="840"/>
        <v>2011</v>
      </c>
      <c r="G1918" s="2" t="str">
        <f t="shared" ref="G1918:H1918" si="843">G1906</f>
        <v>Dec</v>
      </c>
      <c r="H1918" s="2" t="str">
        <f t="shared" si="843"/>
        <v>AB</v>
      </c>
      <c r="I1918" s="1123">
        <f t="shared" ca="1" si="823"/>
        <v>5043</v>
      </c>
      <c r="J1918" s="1123">
        <f t="shared" ca="1" si="824"/>
        <v>150</v>
      </c>
      <c r="O1918" s="25"/>
      <c r="P1918" s="25"/>
    </row>
    <row r="1919" spans="1:16">
      <c r="A1919" s="37" t="str">
        <f t="shared" si="837"/>
        <v>B</v>
      </c>
      <c r="B1919" s="541">
        <f t="shared" si="838"/>
        <v>2024</v>
      </c>
      <c r="C1919" s="451">
        <f t="shared" si="839"/>
        <v>1</v>
      </c>
      <c r="D1919" s="542">
        <f t="shared" ca="1" si="828"/>
        <v>11650</v>
      </c>
      <c r="E1919" s="542">
        <f t="shared" ca="1" si="828"/>
        <v>1339</v>
      </c>
      <c r="F1919" s="654">
        <f t="shared" si="840"/>
        <v>2012</v>
      </c>
      <c r="G1919" s="2" t="str">
        <f t="shared" ref="G1919:H1919" si="844">G1907</f>
        <v>Jan</v>
      </c>
      <c r="H1919" s="2" t="str">
        <f t="shared" si="844"/>
        <v>Q</v>
      </c>
      <c r="I1919" s="1123">
        <f t="shared" ca="1" si="823"/>
        <v>8722</v>
      </c>
      <c r="J1919" s="1123">
        <f t="shared" ca="1" si="824"/>
        <v>905</v>
      </c>
      <c r="O1919" s="25"/>
      <c r="P1919" s="25"/>
    </row>
    <row r="1920" spans="1:16">
      <c r="A1920" s="37" t="str">
        <f t="shared" si="837"/>
        <v>C</v>
      </c>
      <c r="B1920" s="541">
        <f t="shared" si="838"/>
        <v>2024</v>
      </c>
      <c r="C1920" s="451">
        <f t="shared" si="839"/>
        <v>2</v>
      </c>
      <c r="D1920" s="542">
        <f t="shared" ca="1" si="828"/>
        <v>10104</v>
      </c>
      <c r="E1920" s="542">
        <f t="shared" ca="1" si="828"/>
        <v>1336</v>
      </c>
      <c r="F1920" s="654">
        <f t="shared" si="840"/>
        <v>2012</v>
      </c>
      <c r="G1920" s="2" t="str">
        <f t="shared" ref="G1920:H1920" si="845">G1908</f>
        <v>Feb</v>
      </c>
      <c r="H1920" s="2" t="str">
        <f t="shared" si="845"/>
        <v>R</v>
      </c>
      <c r="I1920" s="1123">
        <f t="shared" ca="1" si="823"/>
        <v>8519</v>
      </c>
      <c r="J1920" s="1123">
        <f t="shared" ca="1" si="824"/>
        <v>887</v>
      </c>
      <c r="O1920" s="25"/>
      <c r="P1920" s="25"/>
    </row>
    <row r="1921" spans="1:41">
      <c r="A1921" s="37" t="str">
        <f t="shared" si="837"/>
        <v>D</v>
      </c>
      <c r="B1921" s="541">
        <f t="shared" si="838"/>
        <v>2024</v>
      </c>
      <c r="C1921" s="451">
        <f t="shared" si="839"/>
        <v>3</v>
      </c>
      <c r="D1921" s="542">
        <f t="shared" ca="1" si="828"/>
        <v>9088</v>
      </c>
      <c r="E1921" s="542">
        <f t="shared" ca="1" si="828"/>
        <v>1335</v>
      </c>
      <c r="F1921" s="654">
        <f t="shared" si="840"/>
        <v>2012</v>
      </c>
      <c r="G1921" s="2" t="str">
        <f t="shared" ref="G1921:H1921" si="846">G1909</f>
        <v>Mar</v>
      </c>
      <c r="H1921" s="2" t="str">
        <f t="shared" si="846"/>
        <v>S</v>
      </c>
      <c r="I1921" s="1123">
        <f t="shared" ca="1" si="823"/>
        <v>6135</v>
      </c>
      <c r="J1921" s="1123">
        <f t="shared" ca="1" si="824"/>
        <v>315</v>
      </c>
      <c r="O1921" s="25"/>
      <c r="P1921" s="25"/>
    </row>
    <row r="1922" spans="1:41">
      <c r="A1922" s="37" t="str">
        <f t="shared" si="837"/>
        <v>E</v>
      </c>
      <c r="B1922" s="541">
        <f t="shared" si="838"/>
        <v>2024</v>
      </c>
      <c r="C1922" s="451">
        <f t="shared" si="839"/>
        <v>4</v>
      </c>
      <c r="D1922" s="542">
        <f t="shared" ca="1" si="828"/>
        <v>9306</v>
      </c>
      <c r="E1922" s="542">
        <f t="shared" ca="1" si="828"/>
        <v>734</v>
      </c>
      <c r="F1922" s="654">
        <f t="shared" si="840"/>
        <v>2012</v>
      </c>
      <c r="G1922" s="2" t="str">
        <f t="shared" ref="G1922:H1922" si="847">G1910</f>
        <v>Apr</v>
      </c>
      <c r="H1922" s="2" t="str">
        <f t="shared" si="847"/>
        <v>T</v>
      </c>
      <c r="I1922" s="1123">
        <f t="shared" ca="1" si="823"/>
        <v>7004</v>
      </c>
      <c r="J1922" s="1123">
        <f t="shared" ca="1" si="824"/>
        <v>419</v>
      </c>
      <c r="O1922" s="25"/>
      <c r="P1922" s="25"/>
    </row>
    <row r="1923" spans="1:41">
      <c r="A1923" s="37" t="str">
        <f t="shared" si="837"/>
        <v>F</v>
      </c>
      <c r="B1923" s="541">
        <f t="shared" si="838"/>
        <v>2024</v>
      </c>
      <c r="C1923" s="451">
        <f t="shared" si="839"/>
        <v>5</v>
      </c>
      <c r="D1923" s="542">
        <f t="shared" ca="1" si="828"/>
        <v>10609</v>
      </c>
      <c r="E1923" s="542">
        <f t="shared" ca="1" si="828"/>
        <v>737</v>
      </c>
      <c r="F1923" s="654">
        <f t="shared" si="840"/>
        <v>2012</v>
      </c>
      <c r="G1923" s="2" t="str">
        <f t="shared" ref="G1923:H1923" si="848">G1911</f>
        <v>May</v>
      </c>
      <c r="H1923" s="2" t="str">
        <f t="shared" si="848"/>
        <v>U</v>
      </c>
      <c r="I1923" s="1123">
        <f t="shared" ca="1" si="823"/>
        <v>7942</v>
      </c>
      <c r="J1923" s="1123">
        <f t="shared" ca="1" si="824"/>
        <v>454</v>
      </c>
      <c r="O1923" s="25"/>
      <c r="P1923" s="25"/>
    </row>
    <row r="1924" spans="1:41">
      <c r="A1924" s="37" t="str">
        <f t="shared" si="837"/>
        <v>G</v>
      </c>
      <c r="B1924" s="541">
        <f t="shared" si="838"/>
        <v>2024</v>
      </c>
      <c r="C1924" s="451">
        <f t="shared" si="839"/>
        <v>6</v>
      </c>
      <c r="D1924" s="542">
        <f t="shared" ca="1" si="828"/>
        <v>10614</v>
      </c>
      <c r="E1924" s="542">
        <f t="shared" ca="1" si="828"/>
        <v>740</v>
      </c>
      <c r="F1924" s="654">
        <f t="shared" si="840"/>
        <v>2012</v>
      </c>
      <c r="G1924" s="2" t="str">
        <f t="shared" ref="G1924:H1924" si="849">G1912</f>
        <v>Jun</v>
      </c>
      <c r="H1924" s="2" t="str">
        <f t="shared" si="849"/>
        <v>V</v>
      </c>
      <c r="I1924" s="1123">
        <f t="shared" ca="1" si="823"/>
        <v>8185</v>
      </c>
      <c r="J1924" s="1123">
        <f t="shared" ca="1" si="824"/>
        <v>402</v>
      </c>
      <c r="O1924" s="25"/>
      <c r="P1924" s="25"/>
    </row>
    <row r="1925" spans="1:41">
      <c r="A1925" s="37" t="str">
        <f t="shared" si="837"/>
        <v>H</v>
      </c>
      <c r="B1925" s="541">
        <f t="shared" si="838"/>
        <v>2024</v>
      </c>
      <c r="C1925" s="451">
        <f t="shared" si="839"/>
        <v>7</v>
      </c>
      <c r="D1925" s="542">
        <f t="shared" ca="1" si="828"/>
        <v>10877</v>
      </c>
      <c r="E1925" s="542">
        <f t="shared" ca="1" si="828"/>
        <v>738</v>
      </c>
      <c r="F1925" s="654">
        <f t="shared" si="840"/>
        <v>2012</v>
      </c>
      <c r="G1925" s="2" t="str">
        <f t="shared" ref="G1925:H1925" si="850">G1913</f>
        <v>Jul</v>
      </c>
      <c r="H1925" s="2" t="str">
        <f t="shared" si="850"/>
        <v>W</v>
      </c>
      <c r="I1925" s="1123">
        <f t="shared" ca="1" si="823"/>
        <v>9026</v>
      </c>
      <c r="J1925" s="1123">
        <f t="shared" ca="1" si="824"/>
        <v>1080</v>
      </c>
    </row>
    <row r="1926" spans="1:41">
      <c r="A1926" s="37" t="str">
        <f t="shared" si="837"/>
        <v>I</v>
      </c>
      <c r="B1926" s="541">
        <f t="shared" si="838"/>
        <v>2024</v>
      </c>
      <c r="C1926" s="451">
        <f t="shared" si="839"/>
        <v>8</v>
      </c>
      <c r="D1926" s="542">
        <f t="shared" ca="1" si="828"/>
        <v>11175</v>
      </c>
      <c r="E1926" s="542">
        <f t="shared" ca="1" si="828"/>
        <v>738</v>
      </c>
      <c r="F1926" s="654">
        <f t="shared" si="840"/>
        <v>2012</v>
      </c>
      <c r="G1926" s="2" t="str">
        <f t="shared" ref="G1926:H1926" si="851">G1914</f>
        <v>Aug</v>
      </c>
      <c r="H1926" s="2" t="str">
        <f t="shared" si="851"/>
        <v>X</v>
      </c>
      <c r="I1926" s="1123">
        <f t="shared" ca="1" si="823"/>
        <v>8850</v>
      </c>
      <c r="J1926" s="1123">
        <f t="shared" ca="1" si="824"/>
        <v>861</v>
      </c>
    </row>
    <row r="1927" spans="1:41">
      <c r="A1927" s="37" t="str">
        <f t="shared" si="837"/>
        <v>J</v>
      </c>
      <c r="B1927" s="541">
        <f t="shared" si="838"/>
        <v>2024</v>
      </c>
      <c r="C1927" s="451">
        <f t="shared" si="839"/>
        <v>9</v>
      </c>
      <c r="D1927" s="542">
        <f t="shared" ca="1" si="828"/>
        <v>10115</v>
      </c>
      <c r="E1927" s="542">
        <f t="shared" ca="1" si="828"/>
        <v>737</v>
      </c>
      <c r="F1927" s="654">
        <f t="shared" si="840"/>
        <v>2012</v>
      </c>
      <c r="G1927" s="2" t="str">
        <f t="shared" ref="G1927:H1927" si="852">G1915</f>
        <v>Sep</v>
      </c>
      <c r="H1927" s="2" t="str">
        <f t="shared" si="852"/>
        <v>Y</v>
      </c>
      <c r="I1927" s="1123">
        <f t="shared" ca="1" si="823"/>
        <v>8108</v>
      </c>
      <c r="J1927" s="1123">
        <f t="shared" ca="1" si="824"/>
        <v>510</v>
      </c>
    </row>
    <row r="1928" spans="1:41">
      <c r="A1928" s="37" t="str">
        <f t="shared" si="837"/>
        <v>K</v>
      </c>
      <c r="B1928" s="541">
        <f t="shared" si="838"/>
        <v>2024</v>
      </c>
      <c r="C1928" s="451">
        <f t="shared" si="839"/>
        <v>10</v>
      </c>
      <c r="D1928" s="542">
        <f t="shared" ref="D1928:E1947" ca="1" si="853">ROUND(INDIRECT(CONCATENATE($A1928,D$1772+($B1928-2011))),0)</f>
        <v>9851</v>
      </c>
      <c r="E1928" s="542">
        <f t="shared" ca="1" si="853"/>
        <v>736</v>
      </c>
      <c r="F1928" s="654">
        <f t="shared" si="840"/>
        <v>2012</v>
      </c>
      <c r="G1928" s="2" t="str">
        <f t="shared" ref="G1928:H1928" si="854">G1916</f>
        <v>Oct</v>
      </c>
      <c r="H1928" s="2" t="str">
        <f t="shared" si="854"/>
        <v>Z</v>
      </c>
      <c r="I1928" s="1123">
        <f t="shared" ca="1" si="823"/>
        <v>7790</v>
      </c>
      <c r="J1928" s="1123">
        <f t="shared" ca="1" si="824"/>
        <v>660</v>
      </c>
    </row>
    <row r="1929" spans="1:41">
      <c r="A1929" s="37" t="str">
        <f t="shared" si="837"/>
        <v>L</v>
      </c>
      <c r="B1929" s="541">
        <f t="shared" si="838"/>
        <v>2024</v>
      </c>
      <c r="C1929" s="451">
        <f t="shared" si="839"/>
        <v>11</v>
      </c>
      <c r="D1929" s="542">
        <f t="shared" ca="1" si="853"/>
        <v>7763</v>
      </c>
      <c r="E1929" s="542">
        <f t="shared" ca="1" si="853"/>
        <v>732</v>
      </c>
      <c r="F1929" s="654">
        <f t="shared" si="840"/>
        <v>2012</v>
      </c>
      <c r="G1929" s="2" t="str">
        <f t="shared" ref="G1929:H1929" si="855">G1917</f>
        <v>Nov</v>
      </c>
      <c r="H1929" s="2" t="str">
        <f t="shared" si="855"/>
        <v>AA</v>
      </c>
      <c r="I1929" s="1123">
        <f t="shared" ca="1" si="823"/>
        <v>5749</v>
      </c>
      <c r="J1929" s="1123">
        <f t="shared" ca="1" si="824"/>
        <v>737</v>
      </c>
    </row>
    <row r="1930" spans="1:41">
      <c r="A1930" s="37" t="str">
        <f t="shared" si="837"/>
        <v>M</v>
      </c>
      <c r="B1930" s="541">
        <f t="shared" si="838"/>
        <v>2024</v>
      </c>
      <c r="C1930" s="451">
        <f t="shared" si="839"/>
        <v>12</v>
      </c>
      <c r="D1930" s="542">
        <f t="shared" ca="1" si="853"/>
        <v>9525</v>
      </c>
      <c r="E1930" s="542">
        <f t="shared" ca="1" si="853"/>
        <v>1337</v>
      </c>
      <c r="F1930" s="654">
        <f t="shared" si="840"/>
        <v>2012</v>
      </c>
      <c r="G1930" s="2" t="str">
        <f t="shared" ref="G1930:H1930" si="856">G1918</f>
        <v>Dec</v>
      </c>
      <c r="H1930" s="2" t="str">
        <f t="shared" si="856"/>
        <v>AB</v>
      </c>
      <c r="I1930" s="1123">
        <f t="shared" ca="1" si="823"/>
        <v>6555</v>
      </c>
      <c r="J1930" s="1123">
        <f t="shared" ca="1" si="824"/>
        <v>673</v>
      </c>
    </row>
    <row r="1931" spans="1:41">
      <c r="A1931" s="37" t="str">
        <f t="shared" si="837"/>
        <v>B</v>
      </c>
      <c r="B1931" s="541">
        <f t="shared" si="838"/>
        <v>2025</v>
      </c>
      <c r="C1931" s="451">
        <f t="shared" si="839"/>
        <v>1</v>
      </c>
      <c r="D1931" s="542">
        <f t="shared" ca="1" si="853"/>
        <v>11736</v>
      </c>
      <c r="E1931" s="542">
        <f t="shared" ca="1" si="853"/>
        <v>1339</v>
      </c>
      <c r="F1931" s="654">
        <f t="shared" si="840"/>
        <v>2013</v>
      </c>
      <c r="G1931" s="2" t="str">
        <f t="shared" ref="G1931:H1931" si="857">G1919</f>
        <v>Jan</v>
      </c>
      <c r="H1931" s="2" t="str">
        <f t="shared" si="857"/>
        <v>Q</v>
      </c>
      <c r="I1931" s="1123">
        <f t="shared" ca="1" si="823"/>
        <v>5877</v>
      </c>
      <c r="J1931" s="1123">
        <f t="shared" ca="1" si="824"/>
        <v>396</v>
      </c>
    </row>
    <row r="1932" spans="1:41">
      <c r="A1932" s="37" t="str">
        <f t="shared" si="837"/>
        <v>C</v>
      </c>
      <c r="B1932" s="541">
        <f t="shared" si="838"/>
        <v>2025</v>
      </c>
      <c r="C1932" s="451">
        <f t="shared" si="839"/>
        <v>2</v>
      </c>
      <c r="D1932" s="542">
        <f t="shared" ca="1" si="853"/>
        <v>10165</v>
      </c>
      <c r="E1932" s="542">
        <f t="shared" ca="1" si="853"/>
        <v>1337</v>
      </c>
      <c r="F1932" s="654">
        <f t="shared" si="840"/>
        <v>2013</v>
      </c>
      <c r="G1932" s="2" t="str">
        <f t="shared" ref="G1932:H1932" si="858">G1920</f>
        <v>Feb</v>
      </c>
      <c r="H1932" s="2" t="str">
        <f t="shared" si="858"/>
        <v>R</v>
      </c>
      <c r="I1932" s="1123">
        <f t="shared" ca="1" si="823"/>
        <v>8032</v>
      </c>
      <c r="J1932" s="1123">
        <f t="shared" ca="1" si="824"/>
        <v>832</v>
      </c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</row>
    <row r="1933" spans="1:41">
      <c r="A1933" s="37" t="str">
        <f t="shared" si="837"/>
        <v>D</v>
      </c>
      <c r="B1933" s="541">
        <f t="shared" si="838"/>
        <v>2025</v>
      </c>
      <c r="C1933" s="451">
        <f t="shared" si="839"/>
        <v>3</v>
      </c>
      <c r="D1933" s="542">
        <f t="shared" ca="1" si="853"/>
        <v>9155</v>
      </c>
      <c r="E1933" s="542">
        <f t="shared" ca="1" si="853"/>
        <v>1335</v>
      </c>
      <c r="F1933" s="654">
        <f t="shared" si="840"/>
        <v>2013</v>
      </c>
      <c r="G1933" s="2" t="str">
        <f t="shared" ref="G1933:H1933" si="859">G1921</f>
        <v>Mar</v>
      </c>
      <c r="H1933" s="2" t="str">
        <f t="shared" si="859"/>
        <v>S</v>
      </c>
      <c r="I1933" s="1123">
        <f t="shared" ca="1" si="823"/>
        <v>7856</v>
      </c>
      <c r="J1933" s="1123">
        <f t="shared" ca="1" si="824"/>
        <v>837</v>
      </c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</row>
    <row r="1934" spans="1:41">
      <c r="A1934" s="37" t="str">
        <f t="shared" si="837"/>
        <v>E</v>
      </c>
      <c r="B1934" s="541">
        <f t="shared" si="838"/>
        <v>2025</v>
      </c>
      <c r="C1934" s="451">
        <f t="shared" si="839"/>
        <v>4</v>
      </c>
      <c r="D1934" s="542">
        <f t="shared" ca="1" si="853"/>
        <v>9408</v>
      </c>
      <c r="E1934" s="542">
        <f t="shared" ca="1" si="853"/>
        <v>734</v>
      </c>
      <c r="F1934" s="654">
        <f t="shared" si="840"/>
        <v>2013</v>
      </c>
      <c r="G1934" s="2" t="str">
        <f t="shared" ref="G1934:H1934" si="860">G1922</f>
        <v>Apr</v>
      </c>
      <c r="H1934" s="2" t="str">
        <f t="shared" si="860"/>
        <v>T</v>
      </c>
      <c r="I1934" s="1123">
        <f t="shared" ca="1" si="823"/>
        <v>7153</v>
      </c>
      <c r="J1934" s="1123">
        <f t="shared" ca="1" si="824"/>
        <v>657</v>
      </c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</row>
    <row r="1935" spans="1:41">
      <c r="A1935" s="37" t="str">
        <f t="shared" si="837"/>
        <v>F</v>
      </c>
      <c r="B1935" s="541">
        <f t="shared" si="838"/>
        <v>2025</v>
      </c>
      <c r="C1935" s="451">
        <f t="shared" si="839"/>
        <v>5</v>
      </c>
      <c r="D1935" s="542">
        <f t="shared" ca="1" si="853"/>
        <v>10721</v>
      </c>
      <c r="E1935" s="542">
        <f t="shared" ca="1" si="853"/>
        <v>737</v>
      </c>
      <c r="F1935" s="654">
        <f t="shared" si="840"/>
        <v>2013</v>
      </c>
      <c r="G1935" s="2" t="str">
        <f t="shared" ref="G1935:H1935" si="861">G1923</f>
        <v>May</v>
      </c>
      <c r="H1935" s="2" t="str">
        <f t="shared" si="861"/>
        <v>U</v>
      </c>
      <c r="I1935" s="1123">
        <f t="shared" ca="1" si="823"/>
        <v>7863</v>
      </c>
      <c r="J1935" s="1123">
        <f t="shared" ca="1" si="824"/>
        <v>593</v>
      </c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</row>
    <row r="1936" spans="1:41">
      <c r="A1936" s="37" t="str">
        <f t="shared" si="837"/>
        <v>G</v>
      </c>
      <c r="B1936" s="541">
        <f t="shared" si="838"/>
        <v>2025</v>
      </c>
      <c r="C1936" s="451">
        <f t="shared" si="839"/>
        <v>6</v>
      </c>
      <c r="D1936" s="542">
        <f t="shared" ca="1" si="853"/>
        <v>10713</v>
      </c>
      <c r="E1936" s="542">
        <f t="shared" ca="1" si="853"/>
        <v>740</v>
      </c>
      <c r="F1936" s="654">
        <f t="shared" si="840"/>
        <v>2013</v>
      </c>
      <c r="G1936" s="2" t="str">
        <f t="shared" ref="G1936:H1936" si="862">G1924</f>
        <v>Jun</v>
      </c>
      <c r="H1936" s="2" t="str">
        <f t="shared" si="862"/>
        <v>V</v>
      </c>
      <c r="I1936" s="1123">
        <f t="shared" ref="I1936:I1966" ca="1" si="863">ROUND(INDIRECT(CONCATENATE($H1936,I$1772+($F1936-2000))),0)</f>
        <v>8514</v>
      </c>
      <c r="J1936" s="1123">
        <f t="shared" ca="1" si="824"/>
        <v>0</v>
      </c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</row>
    <row r="1937" spans="1:41">
      <c r="A1937" s="37" t="str">
        <f t="shared" si="837"/>
        <v>H</v>
      </c>
      <c r="B1937" s="541">
        <f t="shared" si="838"/>
        <v>2025</v>
      </c>
      <c r="C1937" s="451">
        <f t="shared" si="839"/>
        <v>7</v>
      </c>
      <c r="D1937" s="542">
        <f t="shared" ca="1" si="853"/>
        <v>10980</v>
      </c>
      <c r="E1937" s="542">
        <f t="shared" ca="1" si="853"/>
        <v>738</v>
      </c>
      <c r="F1937" s="654">
        <f t="shared" si="840"/>
        <v>2013</v>
      </c>
      <c r="G1937" s="2" t="str">
        <f t="shared" ref="G1937:H1937" si="864">G1925</f>
        <v>Jul</v>
      </c>
      <c r="H1937" s="2" t="str">
        <f t="shared" si="864"/>
        <v>W</v>
      </c>
      <c r="I1937" s="1123">
        <f t="shared" ca="1" si="863"/>
        <v>0</v>
      </c>
      <c r="J1937" s="1123">
        <f t="shared" ca="1" si="824"/>
        <v>0</v>
      </c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</row>
    <row r="1938" spans="1:41">
      <c r="A1938" s="37" t="str">
        <f t="shared" si="837"/>
        <v>I</v>
      </c>
      <c r="B1938" s="541">
        <f t="shared" si="838"/>
        <v>2025</v>
      </c>
      <c r="C1938" s="451">
        <f t="shared" si="839"/>
        <v>8</v>
      </c>
      <c r="D1938" s="542">
        <f t="shared" ca="1" si="853"/>
        <v>11282</v>
      </c>
      <c r="E1938" s="542">
        <f t="shared" ca="1" si="853"/>
        <v>738</v>
      </c>
      <c r="F1938" s="654">
        <f t="shared" si="840"/>
        <v>2013</v>
      </c>
      <c r="G1938" s="2" t="str">
        <f t="shared" ref="G1938:H1938" si="865">G1926</f>
        <v>Aug</v>
      </c>
      <c r="H1938" s="2" t="str">
        <f t="shared" si="865"/>
        <v>X</v>
      </c>
      <c r="I1938" s="1123">
        <f t="shared" ca="1" si="863"/>
        <v>0</v>
      </c>
      <c r="J1938" s="1123">
        <f t="shared" ca="1" si="824"/>
        <v>0</v>
      </c>
      <c r="P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</row>
    <row r="1939" spans="1:41">
      <c r="A1939" s="37" t="str">
        <f t="shared" si="837"/>
        <v>J</v>
      </c>
      <c r="B1939" s="541">
        <f t="shared" si="838"/>
        <v>2025</v>
      </c>
      <c r="C1939" s="451">
        <f t="shared" si="839"/>
        <v>9</v>
      </c>
      <c r="D1939" s="542">
        <f t="shared" ca="1" si="853"/>
        <v>10201</v>
      </c>
      <c r="E1939" s="542">
        <f t="shared" ca="1" si="853"/>
        <v>737</v>
      </c>
      <c r="F1939" s="654">
        <f t="shared" si="840"/>
        <v>2013</v>
      </c>
      <c r="G1939" s="2" t="str">
        <f t="shared" ref="G1939:H1939" si="866">G1927</f>
        <v>Sep</v>
      </c>
      <c r="H1939" s="2" t="str">
        <f t="shared" si="866"/>
        <v>Y</v>
      </c>
      <c r="I1939" s="1123">
        <f t="shared" ca="1" si="863"/>
        <v>0</v>
      </c>
      <c r="J1939" s="1123">
        <f t="shared" ca="1" si="824"/>
        <v>0</v>
      </c>
      <c r="O1939" s="25"/>
      <c r="P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</row>
    <row r="1940" spans="1:41">
      <c r="A1940" s="37" t="str">
        <f t="shared" si="837"/>
        <v>K</v>
      </c>
      <c r="B1940" s="541">
        <f t="shared" si="838"/>
        <v>2025</v>
      </c>
      <c r="C1940" s="451">
        <f t="shared" si="839"/>
        <v>10</v>
      </c>
      <c r="D1940" s="542">
        <f t="shared" ca="1" si="853"/>
        <v>9948</v>
      </c>
      <c r="E1940" s="542">
        <f t="shared" ca="1" si="853"/>
        <v>736</v>
      </c>
      <c r="F1940" s="654">
        <f t="shared" si="840"/>
        <v>2013</v>
      </c>
      <c r="G1940" s="2" t="str">
        <f t="shared" ref="G1940:H1940" si="867">G1928</f>
        <v>Oct</v>
      </c>
      <c r="H1940" s="2" t="str">
        <f t="shared" si="867"/>
        <v>Z</v>
      </c>
      <c r="I1940" s="1123">
        <f t="shared" ca="1" si="863"/>
        <v>0</v>
      </c>
      <c r="J1940" s="1123">
        <f t="shared" ca="1" si="824"/>
        <v>0</v>
      </c>
      <c r="O1940" s="25"/>
      <c r="P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</row>
    <row r="1941" spans="1:41">
      <c r="A1941" s="37" t="str">
        <f t="shared" si="837"/>
        <v>L</v>
      </c>
      <c r="B1941" s="541">
        <f t="shared" si="838"/>
        <v>2025</v>
      </c>
      <c r="C1941" s="451">
        <f t="shared" si="839"/>
        <v>11</v>
      </c>
      <c r="D1941" s="542">
        <f t="shared" ca="1" si="853"/>
        <v>7812</v>
      </c>
      <c r="E1941" s="542">
        <f t="shared" ca="1" si="853"/>
        <v>732</v>
      </c>
      <c r="F1941" s="654">
        <f t="shared" si="840"/>
        <v>2013</v>
      </c>
      <c r="G1941" s="2" t="str">
        <f t="shared" ref="G1941:H1941" si="868">G1929</f>
        <v>Nov</v>
      </c>
      <c r="H1941" s="2" t="str">
        <f t="shared" si="868"/>
        <v>AA</v>
      </c>
      <c r="I1941" s="1123">
        <f t="shared" ca="1" si="863"/>
        <v>0</v>
      </c>
      <c r="J1941" s="1123">
        <f t="shared" ca="1" si="824"/>
        <v>0</v>
      </c>
      <c r="O1941" s="25"/>
      <c r="P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</row>
    <row r="1942" spans="1:41">
      <c r="A1942" s="37" t="str">
        <f t="shared" si="837"/>
        <v>M</v>
      </c>
      <c r="B1942" s="541">
        <f t="shared" si="838"/>
        <v>2025</v>
      </c>
      <c r="C1942" s="451">
        <f t="shared" si="839"/>
        <v>12</v>
      </c>
      <c r="D1942" s="542">
        <f t="shared" ca="1" si="853"/>
        <v>9571</v>
      </c>
      <c r="E1942" s="542">
        <f t="shared" ca="1" si="853"/>
        <v>1337</v>
      </c>
      <c r="F1942" s="654">
        <f t="shared" si="840"/>
        <v>2013</v>
      </c>
      <c r="G1942" s="2" t="str">
        <f t="shared" ref="G1942:H1942" si="869">G1930</f>
        <v>Dec</v>
      </c>
      <c r="H1942" s="2" t="str">
        <f t="shared" si="869"/>
        <v>AB</v>
      </c>
      <c r="I1942" s="1123">
        <f t="shared" ca="1" si="863"/>
        <v>0</v>
      </c>
      <c r="J1942" s="1123">
        <f t="shared" ca="1" si="824"/>
        <v>0</v>
      </c>
      <c r="O1942" s="25"/>
      <c r="P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</row>
    <row r="1943" spans="1:41">
      <c r="A1943" s="37" t="str">
        <f t="shared" si="837"/>
        <v>B</v>
      </c>
      <c r="B1943" s="541">
        <f t="shared" si="838"/>
        <v>2026</v>
      </c>
      <c r="C1943" s="451">
        <f t="shared" si="839"/>
        <v>1</v>
      </c>
      <c r="D1943" s="542">
        <f t="shared" ca="1" si="853"/>
        <v>11817</v>
      </c>
      <c r="E1943" s="542">
        <f t="shared" ca="1" si="853"/>
        <v>1339</v>
      </c>
      <c r="F1943" s="654">
        <f t="shared" si="840"/>
        <v>2014</v>
      </c>
      <c r="G1943" s="2" t="str">
        <f t="shared" ref="G1943:H1943" si="870">G1931</f>
        <v>Jan</v>
      </c>
      <c r="H1943" s="2" t="str">
        <f t="shared" si="870"/>
        <v>Q</v>
      </c>
      <c r="I1943" s="1123">
        <f t="shared" ca="1" si="863"/>
        <v>0</v>
      </c>
      <c r="J1943" s="1123">
        <f t="shared" ca="1" si="824"/>
        <v>0</v>
      </c>
      <c r="O1943" s="25"/>
      <c r="P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</row>
    <row r="1944" spans="1:41">
      <c r="A1944" s="37" t="str">
        <f t="shared" si="837"/>
        <v>C</v>
      </c>
      <c r="B1944" s="541">
        <f t="shared" si="838"/>
        <v>2026</v>
      </c>
      <c r="C1944" s="451">
        <f t="shared" si="839"/>
        <v>2</v>
      </c>
      <c r="D1944" s="542">
        <f t="shared" ca="1" si="853"/>
        <v>10222</v>
      </c>
      <c r="E1944" s="542">
        <f t="shared" ca="1" si="853"/>
        <v>1337</v>
      </c>
      <c r="F1944" s="654">
        <f t="shared" si="840"/>
        <v>2014</v>
      </c>
      <c r="G1944" s="2" t="str">
        <f t="shared" ref="G1944:H1944" si="871">G1932</f>
        <v>Feb</v>
      </c>
      <c r="H1944" s="2" t="str">
        <f t="shared" si="871"/>
        <v>R</v>
      </c>
      <c r="I1944" s="1123">
        <f t="shared" ca="1" si="863"/>
        <v>0</v>
      </c>
      <c r="J1944" s="1123">
        <f t="shared" ca="1" si="824"/>
        <v>0</v>
      </c>
      <c r="O1944" s="25"/>
      <c r="P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</row>
    <row r="1945" spans="1:41">
      <c r="A1945" s="37" t="str">
        <f t="shared" si="837"/>
        <v>D</v>
      </c>
      <c r="B1945" s="541">
        <f t="shared" si="838"/>
        <v>2026</v>
      </c>
      <c r="C1945" s="451">
        <f t="shared" si="839"/>
        <v>3</v>
      </c>
      <c r="D1945" s="542">
        <f t="shared" ca="1" si="853"/>
        <v>9220</v>
      </c>
      <c r="E1945" s="542">
        <f t="shared" ca="1" si="853"/>
        <v>1335</v>
      </c>
      <c r="F1945" s="654">
        <f t="shared" si="840"/>
        <v>2014</v>
      </c>
      <c r="G1945" s="2" t="str">
        <f t="shared" ref="G1945:H1945" si="872">G1933</f>
        <v>Mar</v>
      </c>
      <c r="H1945" s="2" t="str">
        <f t="shared" si="872"/>
        <v>S</v>
      </c>
      <c r="I1945" s="1123">
        <f t="shared" ca="1" si="863"/>
        <v>0</v>
      </c>
      <c r="J1945" s="1123">
        <f t="shared" ca="1" si="824"/>
        <v>0</v>
      </c>
      <c r="O1945" s="25"/>
      <c r="P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</row>
    <row r="1946" spans="1:41">
      <c r="A1946" s="37" t="str">
        <f t="shared" si="837"/>
        <v>E</v>
      </c>
      <c r="B1946" s="541">
        <f t="shared" si="838"/>
        <v>2026</v>
      </c>
      <c r="C1946" s="451">
        <f t="shared" si="839"/>
        <v>4</v>
      </c>
      <c r="D1946" s="542">
        <f t="shared" ca="1" si="853"/>
        <v>9504</v>
      </c>
      <c r="E1946" s="542">
        <f t="shared" ca="1" si="853"/>
        <v>734</v>
      </c>
      <c r="F1946" s="654">
        <f t="shared" si="840"/>
        <v>2014</v>
      </c>
      <c r="G1946" s="2" t="str">
        <f t="shared" ref="G1946:H1946" si="873">G1934</f>
        <v>Apr</v>
      </c>
      <c r="H1946" s="2" t="str">
        <f t="shared" si="873"/>
        <v>T</v>
      </c>
      <c r="I1946" s="1123">
        <f t="shared" ca="1" si="863"/>
        <v>0</v>
      </c>
      <c r="J1946" s="1123">
        <f t="shared" ca="1" si="824"/>
        <v>0</v>
      </c>
      <c r="O1946" s="25"/>
      <c r="P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</row>
    <row r="1947" spans="1:41">
      <c r="A1947" s="37" t="str">
        <f t="shared" si="837"/>
        <v>F</v>
      </c>
      <c r="B1947" s="541">
        <f t="shared" si="838"/>
        <v>2026</v>
      </c>
      <c r="C1947" s="451">
        <f t="shared" si="839"/>
        <v>5</v>
      </c>
      <c r="D1947" s="542">
        <f t="shared" ca="1" si="853"/>
        <v>10825</v>
      </c>
      <c r="E1947" s="542">
        <f t="shared" ca="1" si="853"/>
        <v>737</v>
      </c>
      <c r="F1947" s="654">
        <f t="shared" si="840"/>
        <v>2014</v>
      </c>
      <c r="G1947" s="2" t="str">
        <f t="shared" ref="G1947:H1947" si="874">G1935</f>
        <v>May</v>
      </c>
      <c r="H1947" s="2" t="str">
        <f t="shared" si="874"/>
        <v>U</v>
      </c>
      <c r="I1947" s="1123">
        <f t="shared" ca="1" si="863"/>
        <v>0</v>
      </c>
      <c r="J1947" s="1123">
        <f t="shared" ca="1" si="824"/>
        <v>0</v>
      </c>
      <c r="O1947" s="25"/>
      <c r="P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</row>
    <row r="1948" spans="1:41">
      <c r="A1948" s="37" t="str">
        <f t="shared" si="837"/>
        <v>G</v>
      </c>
      <c r="B1948" s="541">
        <f t="shared" si="838"/>
        <v>2026</v>
      </c>
      <c r="C1948" s="451">
        <f t="shared" si="839"/>
        <v>6</v>
      </c>
      <c r="D1948" s="542">
        <f t="shared" ref="D1948:E1967" ca="1" si="875">ROUND(INDIRECT(CONCATENATE($A1948,D$1772+($B1948-2011))),0)</f>
        <v>10807</v>
      </c>
      <c r="E1948" s="542">
        <f t="shared" ca="1" si="875"/>
        <v>740</v>
      </c>
      <c r="F1948" s="654">
        <f t="shared" si="840"/>
        <v>2014</v>
      </c>
      <c r="G1948" s="2" t="str">
        <f t="shared" ref="G1948:H1948" si="876">G1936</f>
        <v>Jun</v>
      </c>
      <c r="H1948" s="2" t="str">
        <f t="shared" si="876"/>
        <v>V</v>
      </c>
      <c r="I1948" s="1123">
        <f t="shared" ca="1" si="863"/>
        <v>0</v>
      </c>
      <c r="J1948" s="1123">
        <f t="shared" ca="1" si="824"/>
        <v>0</v>
      </c>
      <c r="O1948" s="25"/>
      <c r="P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</row>
    <row r="1949" spans="1:41">
      <c r="A1949" s="37" t="str">
        <f t="shared" si="837"/>
        <v>H</v>
      </c>
      <c r="B1949" s="541">
        <f t="shared" si="838"/>
        <v>2026</v>
      </c>
      <c r="C1949" s="451">
        <f t="shared" si="839"/>
        <v>7</v>
      </c>
      <c r="D1949" s="542">
        <f t="shared" ca="1" si="875"/>
        <v>11076</v>
      </c>
      <c r="E1949" s="542">
        <f t="shared" ca="1" si="875"/>
        <v>739</v>
      </c>
      <c r="F1949" s="654">
        <f t="shared" si="840"/>
        <v>2014</v>
      </c>
      <c r="G1949" s="2" t="str">
        <f t="shared" ref="G1949:H1949" si="877">G1937</f>
        <v>Jul</v>
      </c>
      <c r="H1949" s="2" t="str">
        <f t="shared" si="877"/>
        <v>W</v>
      </c>
      <c r="I1949" s="1123">
        <f t="shared" ca="1" si="863"/>
        <v>0</v>
      </c>
      <c r="J1949" s="1123">
        <f t="shared" ca="1" si="824"/>
        <v>0</v>
      </c>
      <c r="O1949" s="25"/>
      <c r="P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</row>
    <row r="1950" spans="1:41">
      <c r="A1950" s="37" t="str">
        <f t="shared" si="837"/>
        <v>I</v>
      </c>
      <c r="B1950" s="541">
        <f t="shared" si="838"/>
        <v>2026</v>
      </c>
      <c r="C1950" s="451">
        <f t="shared" si="839"/>
        <v>8</v>
      </c>
      <c r="D1950" s="542">
        <f t="shared" ca="1" si="875"/>
        <v>11382</v>
      </c>
      <c r="E1950" s="542">
        <f t="shared" ca="1" si="875"/>
        <v>738</v>
      </c>
      <c r="F1950" s="654">
        <f t="shared" si="840"/>
        <v>2014</v>
      </c>
      <c r="G1950" s="2" t="str">
        <f t="shared" ref="G1950:H1950" si="878">G1938</f>
        <v>Aug</v>
      </c>
      <c r="H1950" s="2" t="str">
        <f t="shared" si="878"/>
        <v>X</v>
      </c>
      <c r="I1950" s="1123">
        <f t="shared" ca="1" si="863"/>
        <v>0</v>
      </c>
      <c r="J1950" s="1123">
        <f t="shared" ca="1" si="824"/>
        <v>0</v>
      </c>
      <c r="O1950" s="25"/>
      <c r="P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</row>
    <row r="1951" spans="1:41">
      <c r="A1951" s="37" t="str">
        <f t="shared" si="837"/>
        <v>J</v>
      </c>
      <c r="B1951" s="541">
        <f t="shared" si="838"/>
        <v>2026</v>
      </c>
      <c r="C1951" s="451">
        <f t="shared" si="839"/>
        <v>9</v>
      </c>
      <c r="D1951" s="542">
        <f t="shared" ca="1" si="875"/>
        <v>10280</v>
      </c>
      <c r="E1951" s="542">
        <f t="shared" ca="1" si="875"/>
        <v>737</v>
      </c>
      <c r="F1951" s="654">
        <f t="shared" si="840"/>
        <v>2014</v>
      </c>
      <c r="G1951" s="2" t="str">
        <f t="shared" ref="G1951:H1951" si="879">G1939</f>
        <v>Sep</v>
      </c>
      <c r="H1951" s="2" t="str">
        <f t="shared" si="879"/>
        <v>Y</v>
      </c>
      <c r="I1951" s="1123">
        <f t="shared" ca="1" si="863"/>
        <v>0</v>
      </c>
      <c r="J1951" s="1123">
        <f t="shared" ca="1" si="824"/>
        <v>0</v>
      </c>
      <c r="O1951" s="25"/>
      <c r="P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</row>
    <row r="1952" spans="1:41">
      <c r="A1952" s="37" t="str">
        <f t="shared" si="837"/>
        <v>K</v>
      </c>
      <c r="B1952" s="541">
        <f t="shared" si="838"/>
        <v>2026</v>
      </c>
      <c r="C1952" s="451">
        <f t="shared" si="839"/>
        <v>10</v>
      </c>
      <c r="D1952" s="542">
        <f t="shared" ca="1" si="875"/>
        <v>10040</v>
      </c>
      <c r="E1952" s="542">
        <f t="shared" ca="1" si="875"/>
        <v>736</v>
      </c>
      <c r="F1952" s="654">
        <f t="shared" si="840"/>
        <v>2014</v>
      </c>
      <c r="G1952" s="2" t="str">
        <f t="shared" ref="G1952:H1952" si="880">G1940</f>
        <v>Oct</v>
      </c>
      <c r="H1952" s="2" t="str">
        <f t="shared" si="880"/>
        <v>Z</v>
      </c>
      <c r="I1952" s="1123">
        <f t="shared" ca="1" si="863"/>
        <v>0</v>
      </c>
      <c r="J1952" s="1123">
        <f t="shared" ca="1" si="824"/>
        <v>0</v>
      </c>
      <c r="O1952" s="25"/>
      <c r="P1952" s="25"/>
    </row>
    <row r="1953" spans="1:16">
      <c r="A1953" s="37" t="str">
        <f t="shared" si="837"/>
        <v>L</v>
      </c>
      <c r="B1953" s="541">
        <f t="shared" si="838"/>
        <v>2026</v>
      </c>
      <c r="C1953" s="451">
        <f t="shared" si="839"/>
        <v>11</v>
      </c>
      <c r="D1953" s="542">
        <f t="shared" ca="1" si="875"/>
        <v>7858</v>
      </c>
      <c r="E1953" s="542">
        <f t="shared" ca="1" si="875"/>
        <v>732</v>
      </c>
      <c r="F1953" s="654">
        <f t="shared" si="840"/>
        <v>2014</v>
      </c>
      <c r="G1953" s="2" t="str">
        <f t="shared" ref="G1953:H1953" si="881">G1941</f>
        <v>Nov</v>
      </c>
      <c r="H1953" s="2" t="str">
        <f t="shared" si="881"/>
        <v>AA</v>
      </c>
      <c r="I1953" s="1123">
        <f t="shared" ca="1" si="863"/>
        <v>0</v>
      </c>
      <c r="J1953" s="1123">
        <f t="shared" ca="1" si="824"/>
        <v>0</v>
      </c>
      <c r="O1953" s="25"/>
      <c r="P1953" s="25"/>
    </row>
    <row r="1954" spans="1:16">
      <c r="A1954" s="37" t="str">
        <f t="shared" si="837"/>
        <v>M</v>
      </c>
      <c r="B1954" s="541">
        <f t="shared" si="838"/>
        <v>2026</v>
      </c>
      <c r="C1954" s="451">
        <f t="shared" si="839"/>
        <v>12</v>
      </c>
      <c r="D1954" s="542">
        <f t="shared" ca="1" si="875"/>
        <v>9615</v>
      </c>
      <c r="E1954" s="542">
        <f t="shared" ca="1" si="875"/>
        <v>1337</v>
      </c>
      <c r="F1954" s="654">
        <f t="shared" si="840"/>
        <v>2014</v>
      </c>
      <c r="G1954" s="2" t="str">
        <f t="shared" ref="G1954:H1954" si="882">G1942</f>
        <v>Dec</v>
      </c>
      <c r="H1954" s="2" t="str">
        <f t="shared" si="882"/>
        <v>AB</v>
      </c>
      <c r="I1954" s="1123">
        <f t="shared" ca="1" si="863"/>
        <v>0</v>
      </c>
      <c r="J1954" s="1123">
        <f t="shared" ca="1" si="824"/>
        <v>0</v>
      </c>
      <c r="O1954" s="25"/>
      <c r="P1954" s="25"/>
    </row>
    <row r="1955" spans="1:16">
      <c r="A1955" s="37" t="str">
        <f t="shared" si="837"/>
        <v>B</v>
      </c>
      <c r="B1955" s="541">
        <f t="shared" si="838"/>
        <v>2027</v>
      </c>
      <c r="C1955" s="451">
        <f t="shared" si="839"/>
        <v>1</v>
      </c>
      <c r="D1955" s="542">
        <f t="shared" ca="1" si="875"/>
        <v>11894</v>
      </c>
      <c r="E1955" s="542">
        <f t="shared" ca="1" si="875"/>
        <v>1339</v>
      </c>
      <c r="F1955" s="654">
        <f t="shared" si="840"/>
        <v>2015</v>
      </c>
      <c r="G1955" s="2" t="str">
        <f t="shared" ref="G1955:H1955" si="883">G1943</f>
        <v>Jan</v>
      </c>
      <c r="H1955" s="2" t="str">
        <f t="shared" si="883"/>
        <v>Q</v>
      </c>
      <c r="I1955" s="1123">
        <f t="shared" ca="1" si="863"/>
        <v>0</v>
      </c>
      <c r="J1955" s="1123">
        <f t="shared" ca="1" si="824"/>
        <v>0</v>
      </c>
      <c r="O1955" s="25"/>
      <c r="P1955" s="25"/>
    </row>
    <row r="1956" spans="1:16">
      <c r="A1956" s="37" t="str">
        <f t="shared" si="837"/>
        <v>C</v>
      </c>
      <c r="B1956" s="541">
        <f t="shared" si="838"/>
        <v>2027</v>
      </c>
      <c r="C1956" s="451">
        <f t="shared" si="839"/>
        <v>2</v>
      </c>
      <c r="D1956" s="542">
        <f t="shared" ca="1" si="875"/>
        <v>10277</v>
      </c>
      <c r="E1956" s="542">
        <f t="shared" ca="1" si="875"/>
        <v>1337</v>
      </c>
      <c r="F1956" s="654">
        <f t="shared" si="840"/>
        <v>2015</v>
      </c>
      <c r="G1956" s="2" t="str">
        <f t="shared" ref="G1956:H1956" si="884">G1944</f>
        <v>Feb</v>
      </c>
      <c r="H1956" s="2" t="str">
        <f t="shared" si="884"/>
        <v>R</v>
      </c>
      <c r="I1956" s="1123">
        <f t="shared" ca="1" si="863"/>
        <v>0</v>
      </c>
      <c r="J1956" s="1123">
        <f t="shared" ca="1" si="824"/>
        <v>0</v>
      </c>
      <c r="O1956" s="25"/>
      <c r="P1956" s="25"/>
    </row>
    <row r="1957" spans="1:16">
      <c r="A1957" s="37" t="str">
        <f t="shared" si="837"/>
        <v>D</v>
      </c>
      <c r="B1957" s="541">
        <f t="shared" si="838"/>
        <v>2027</v>
      </c>
      <c r="C1957" s="451">
        <f t="shared" si="839"/>
        <v>3</v>
      </c>
      <c r="D1957" s="542">
        <f t="shared" ca="1" si="875"/>
        <v>9280</v>
      </c>
      <c r="E1957" s="542">
        <f t="shared" ca="1" si="875"/>
        <v>1335</v>
      </c>
      <c r="F1957" s="654">
        <f t="shared" si="840"/>
        <v>2015</v>
      </c>
      <c r="G1957" s="2" t="str">
        <f t="shared" ref="G1957:H1957" si="885">G1945</f>
        <v>Mar</v>
      </c>
      <c r="H1957" s="2" t="str">
        <f t="shared" si="885"/>
        <v>S</v>
      </c>
      <c r="I1957" s="1123">
        <f t="shared" ca="1" si="863"/>
        <v>0</v>
      </c>
      <c r="J1957" s="1123">
        <f t="shared" ca="1" si="824"/>
        <v>0</v>
      </c>
      <c r="O1957" s="25"/>
      <c r="P1957" s="25"/>
    </row>
    <row r="1958" spans="1:16">
      <c r="A1958" s="37" t="str">
        <f t="shared" si="837"/>
        <v>E</v>
      </c>
      <c r="B1958" s="541">
        <f t="shared" si="838"/>
        <v>2027</v>
      </c>
      <c r="C1958" s="451">
        <f t="shared" si="839"/>
        <v>4</v>
      </c>
      <c r="D1958" s="542">
        <f t="shared" ca="1" si="875"/>
        <v>9599</v>
      </c>
      <c r="E1958" s="542">
        <f t="shared" ca="1" si="875"/>
        <v>735</v>
      </c>
      <c r="F1958" s="654">
        <f t="shared" si="840"/>
        <v>2015</v>
      </c>
      <c r="G1958" s="2" t="str">
        <f t="shared" ref="G1958:H1958" si="886">G1946</f>
        <v>Apr</v>
      </c>
      <c r="H1958" s="2" t="str">
        <f t="shared" si="886"/>
        <v>T</v>
      </c>
      <c r="I1958" s="1123">
        <f t="shared" ca="1" si="863"/>
        <v>0</v>
      </c>
      <c r="J1958" s="1123">
        <f t="shared" ca="1" si="824"/>
        <v>0</v>
      </c>
      <c r="O1958" s="25"/>
      <c r="P1958" s="25"/>
    </row>
    <row r="1959" spans="1:16">
      <c r="A1959" s="37" t="str">
        <f t="shared" si="837"/>
        <v>F</v>
      </c>
      <c r="B1959" s="541">
        <f t="shared" si="838"/>
        <v>2027</v>
      </c>
      <c r="C1959" s="451">
        <f t="shared" si="839"/>
        <v>5</v>
      </c>
      <c r="D1959" s="542">
        <f t="shared" ca="1" si="875"/>
        <v>10928</v>
      </c>
      <c r="E1959" s="542">
        <f t="shared" ca="1" si="875"/>
        <v>737</v>
      </c>
      <c r="F1959" s="654">
        <f t="shared" si="840"/>
        <v>2015</v>
      </c>
      <c r="G1959" s="2" t="str">
        <f t="shared" ref="G1959:H1959" si="887">G1947</f>
        <v>May</v>
      </c>
      <c r="H1959" s="2" t="str">
        <f t="shared" si="887"/>
        <v>U</v>
      </c>
      <c r="I1959" s="1123">
        <f t="shared" ca="1" si="863"/>
        <v>0</v>
      </c>
      <c r="J1959" s="1123">
        <f t="shared" ca="1" si="824"/>
        <v>0</v>
      </c>
      <c r="O1959" s="25"/>
      <c r="P1959" s="25"/>
    </row>
    <row r="1960" spans="1:16">
      <c r="A1960" s="37" t="str">
        <f t="shared" si="837"/>
        <v>G</v>
      </c>
      <c r="B1960" s="541">
        <f t="shared" si="838"/>
        <v>2027</v>
      </c>
      <c r="C1960" s="451">
        <f t="shared" si="839"/>
        <v>6</v>
      </c>
      <c r="D1960" s="542">
        <f t="shared" ca="1" si="875"/>
        <v>10898</v>
      </c>
      <c r="E1960" s="542">
        <f t="shared" ca="1" si="875"/>
        <v>740</v>
      </c>
      <c r="F1960" s="654">
        <f t="shared" si="840"/>
        <v>2015</v>
      </c>
      <c r="G1960" s="2" t="str">
        <f t="shared" ref="G1960:H1960" si="888">G1948</f>
        <v>Jun</v>
      </c>
      <c r="H1960" s="2" t="str">
        <f t="shared" si="888"/>
        <v>V</v>
      </c>
      <c r="I1960" s="1123">
        <f t="shared" ca="1" si="863"/>
        <v>0</v>
      </c>
      <c r="J1960" s="1123">
        <f t="shared" ca="1" si="824"/>
        <v>0</v>
      </c>
      <c r="O1960" s="25"/>
      <c r="P1960" s="25"/>
    </row>
    <row r="1961" spans="1:16">
      <c r="A1961" s="37" t="str">
        <f t="shared" si="837"/>
        <v>H</v>
      </c>
      <c r="B1961" s="541">
        <f t="shared" si="838"/>
        <v>2027</v>
      </c>
      <c r="C1961" s="451">
        <f t="shared" si="839"/>
        <v>7</v>
      </c>
      <c r="D1961" s="542">
        <f t="shared" ca="1" si="875"/>
        <v>11170</v>
      </c>
      <c r="E1961" s="542">
        <f t="shared" ca="1" si="875"/>
        <v>739</v>
      </c>
      <c r="F1961" s="654">
        <f t="shared" si="840"/>
        <v>2015</v>
      </c>
      <c r="G1961" s="2" t="str">
        <f t="shared" ref="G1961:H1961" si="889">G1949</f>
        <v>Jul</v>
      </c>
      <c r="H1961" s="2" t="str">
        <f t="shared" si="889"/>
        <v>W</v>
      </c>
      <c r="I1961" s="1123">
        <f t="shared" ca="1" si="863"/>
        <v>0</v>
      </c>
      <c r="J1961" s="1123">
        <f t="shared" ca="1" si="824"/>
        <v>0</v>
      </c>
      <c r="O1961" s="25"/>
      <c r="P1961" s="25"/>
    </row>
    <row r="1962" spans="1:16">
      <c r="A1962" s="37" t="str">
        <f t="shared" si="837"/>
        <v>I</v>
      </c>
      <c r="B1962" s="541">
        <f t="shared" si="838"/>
        <v>2027</v>
      </c>
      <c r="C1962" s="451">
        <f t="shared" si="839"/>
        <v>8</v>
      </c>
      <c r="D1962" s="542">
        <f t="shared" ca="1" si="875"/>
        <v>11482</v>
      </c>
      <c r="E1962" s="542">
        <f t="shared" ca="1" si="875"/>
        <v>738</v>
      </c>
      <c r="F1962" s="654">
        <f t="shared" si="840"/>
        <v>2015</v>
      </c>
      <c r="G1962" s="2" t="str">
        <f t="shared" ref="G1962:H1962" si="890">G1950</f>
        <v>Aug</v>
      </c>
      <c r="H1962" s="2" t="str">
        <f t="shared" si="890"/>
        <v>X</v>
      </c>
      <c r="I1962" s="1123">
        <f t="shared" ca="1" si="863"/>
        <v>0</v>
      </c>
      <c r="J1962" s="1123">
        <f t="shared" ca="1" si="824"/>
        <v>0</v>
      </c>
      <c r="O1962" s="25"/>
      <c r="P1962" s="25"/>
    </row>
    <row r="1963" spans="1:16">
      <c r="A1963" s="37" t="str">
        <f t="shared" si="837"/>
        <v>J</v>
      </c>
      <c r="B1963" s="541">
        <f t="shared" si="838"/>
        <v>2027</v>
      </c>
      <c r="C1963" s="451">
        <f t="shared" si="839"/>
        <v>9</v>
      </c>
      <c r="D1963" s="542">
        <f t="shared" ca="1" si="875"/>
        <v>10358</v>
      </c>
      <c r="E1963" s="542">
        <f t="shared" ca="1" si="875"/>
        <v>737</v>
      </c>
      <c r="F1963" s="654">
        <f t="shared" si="840"/>
        <v>2015</v>
      </c>
      <c r="G1963" s="2" t="str">
        <f t="shared" ref="G1963:H1963" si="891">G1951</f>
        <v>Sep</v>
      </c>
      <c r="H1963" s="2" t="str">
        <f t="shared" si="891"/>
        <v>Y</v>
      </c>
      <c r="I1963" s="1123">
        <f t="shared" ca="1" si="863"/>
        <v>0</v>
      </c>
      <c r="J1963" s="1123">
        <f t="shared" ca="1" si="824"/>
        <v>0</v>
      </c>
      <c r="O1963" s="25"/>
      <c r="P1963" s="25"/>
    </row>
    <row r="1964" spans="1:16">
      <c r="A1964" s="37" t="str">
        <f t="shared" si="837"/>
        <v>K</v>
      </c>
      <c r="B1964" s="541">
        <f t="shared" si="838"/>
        <v>2027</v>
      </c>
      <c r="C1964" s="451">
        <f t="shared" si="839"/>
        <v>10</v>
      </c>
      <c r="D1964" s="542">
        <f t="shared" ca="1" si="875"/>
        <v>10130</v>
      </c>
      <c r="E1964" s="542">
        <f t="shared" ca="1" si="875"/>
        <v>736</v>
      </c>
      <c r="F1964" s="654">
        <f t="shared" si="840"/>
        <v>2015</v>
      </c>
      <c r="G1964" s="2" t="str">
        <f t="shared" ref="G1964:H1964" si="892">G1952</f>
        <v>Oct</v>
      </c>
      <c r="H1964" s="2" t="str">
        <f t="shared" si="892"/>
        <v>Z</v>
      </c>
      <c r="I1964" s="1123">
        <f t="shared" ca="1" si="863"/>
        <v>0</v>
      </c>
      <c r="J1964" s="1123">
        <f t="shared" ca="1" si="824"/>
        <v>0</v>
      </c>
      <c r="O1964" s="25"/>
      <c r="P1964" s="25"/>
    </row>
    <row r="1965" spans="1:16">
      <c r="A1965" s="37" t="str">
        <f t="shared" si="837"/>
        <v>L</v>
      </c>
      <c r="B1965" s="541">
        <f t="shared" si="838"/>
        <v>2027</v>
      </c>
      <c r="C1965" s="451">
        <f t="shared" si="839"/>
        <v>11</v>
      </c>
      <c r="D1965" s="542">
        <f t="shared" ca="1" si="875"/>
        <v>7903</v>
      </c>
      <c r="E1965" s="542">
        <f t="shared" ca="1" si="875"/>
        <v>732</v>
      </c>
      <c r="F1965" s="654">
        <f t="shared" si="840"/>
        <v>2015</v>
      </c>
      <c r="G1965" s="2" t="str">
        <f t="shared" ref="G1965:H1965" si="893">G1953</f>
        <v>Nov</v>
      </c>
      <c r="H1965" s="2" t="str">
        <f t="shared" si="893"/>
        <v>AA</v>
      </c>
      <c r="I1965" s="1123">
        <f t="shared" ca="1" si="863"/>
        <v>0</v>
      </c>
      <c r="J1965" s="1123">
        <f t="shared" ca="1" si="824"/>
        <v>0</v>
      </c>
      <c r="O1965" s="25"/>
    </row>
    <row r="1966" spans="1:16">
      <c r="A1966" s="37" t="str">
        <f t="shared" si="837"/>
        <v>M</v>
      </c>
      <c r="B1966" s="541">
        <f t="shared" si="838"/>
        <v>2027</v>
      </c>
      <c r="C1966" s="451">
        <f t="shared" si="839"/>
        <v>12</v>
      </c>
      <c r="D1966" s="542">
        <f t="shared" ca="1" si="875"/>
        <v>9657</v>
      </c>
      <c r="E1966" s="542">
        <f t="shared" ca="1" si="875"/>
        <v>1337</v>
      </c>
      <c r="F1966" s="654">
        <f t="shared" si="840"/>
        <v>2015</v>
      </c>
      <c r="G1966" s="2" t="str">
        <f t="shared" ref="G1966:H1966" si="894">G1954</f>
        <v>Dec</v>
      </c>
      <c r="H1966" s="2" t="str">
        <f t="shared" si="894"/>
        <v>AB</v>
      </c>
      <c r="I1966" s="1123">
        <f t="shared" ca="1" si="863"/>
        <v>0</v>
      </c>
      <c r="J1966" s="1123">
        <f t="shared" ca="1" si="824"/>
        <v>0</v>
      </c>
    </row>
    <row r="1967" spans="1:16">
      <c r="A1967" s="37" t="str">
        <f t="shared" si="837"/>
        <v>B</v>
      </c>
      <c r="B1967" s="541">
        <f t="shared" si="838"/>
        <v>2028</v>
      </c>
      <c r="C1967" s="451">
        <f t="shared" si="839"/>
        <v>1</v>
      </c>
      <c r="D1967" s="542">
        <f t="shared" ca="1" si="875"/>
        <v>11972</v>
      </c>
      <c r="E1967" s="542">
        <f t="shared" ca="1" si="875"/>
        <v>1340</v>
      </c>
    </row>
    <row r="1968" spans="1:16">
      <c r="A1968" s="37" t="str">
        <f t="shared" si="837"/>
        <v>C</v>
      </c>
      <c r="B1968" s="541">
        <f t="shared" si="838"/>
        <v>2028</v>
      </c>
      <c r="C1968" s="451">
        <f t="shared" si="839"/>
        <v>2</v>
      </c>
      <c r="D1968" s="542">
        <f t="shared" ref="D1968:E1987" ca="1" si="895">ROUND(INDIRECT(CONCATENATE($A1968,D$1772+($B1968-2011))),0)</f>
        <v>10330</v>
      </c>
      <c r="E1968" s="542">
        <f t="shared" ca="1" si="895"/>
        <v>1337</v>
      </c>
    </row>
    <row r="1969" spans="1:5">
      <c r="A1969" s="37" t="str">
        <f t="shared" si="837"/>
        <v>D</v>
      </c>
      <c r="B1969" s="541">
        <f t="shared" si="838"/>
        <v>2028</v>
      </c>
      <c r="C1969" s="451">
        <f t="shared" si="839"/>
        <v>3</v>
      </c>
      <c r="D1969" s="542">
        <f t="shared" ca="1" si="895"/>
        <v>9337</v>
      </c>
      <c r="E1969" s="542">
        <f t="shared" ca="1" si="895"/>
        <v>1335</v>
      </c>
    </row>
    <row r="1970" spans="1:5">
      <c r="A1970" s="37" t="str">
        <f t="shared" si="837"/>
        <v>E</v>
      </c>
      <c r="B1970" s="541">
        <f t="shared" si="838"/>
        <v>2028</v>
      </c>
      <c r="C1970" s="451">
        <f t="shared" si="839"/>
        <v>4</v>
      </c>
      <c r="D1970" s="542">
        <f t="shared" ca="1" si="895"/>
        <v>9688</v>
      </c>
      <c r="E1970" s="542">
        <f t="shared" ca="1" si="895"/>
        <v>735</v>
      </c>
    </row>
    <row r="1971" spans="1:5">
      <c r="A1971" s="37" t="str">
        <f t="shared" si="837"/>
        <v>F</v>
      </c>
      <c r="B1971" s="541">
        <f t="shared" si="838"/>
        <v>2028</v>
      </c>
      <c r="C1971" s="451">
        <f t="shared" si="839"/>
        <v>5</v>
      </c>
      <c r="D1971" s="542">
        <f t="shared" ca="1" si="895"/>
        <v>11027</v>
      </c>
      <c r="E1971" s="542">
        <f t="shared" ca="1" si="895"/>
        <v>737</v>
      </c>
    </row>
    <row r="1972" spans="1:5">
      <c r="A1972" s="37" t="str">
        <f t="shared" si="837"/>
        <v>G</v>
      </c>
      <c r="B1972" s="541">
        <f t="shared" si="838"/>
        <v>2028</v>
      </c>
      <c r="C1972" s="451">
        <f t="shared" si="839"/>
        <v>6</v>
      </c>
      <c r="D1972" s="542">
        <f t="shared" ca="1" si="895"/>
        <v>10986</v>
      </c>
      <c r="E1972" s="542">
        <f t="shared" ca="1" si="895"/>
        <v>740</v>
      </c>
    </row>
    <row r="1973" spans="1:5">
      <c r="A1973" s="37" t="str">
        <f t="shared" si="837"/>
        <v>H</v>
      </c>
      <c r="B1973" s="541">
        <f t="shared" si="838"/>
        <v>2028</v>
      </c>
      <c r="C1973" s="451">
        <f t="shared" si="839"/>
        <v>7</v>
      </c>
      <c r="D1973" s="542">
        <f t="shared" ca="1" si="895"/>
        <v>11261</v>
      </c>
      <c r="E1973" s="542">
        <f t="shared" ca="1" si="895"/>
        <v>739</v>
      </c>
    </row>
    <row r="1974" spans="1:5">
      <c r="A1974" s="37" t="str">
        <f t="shared" si="837"/>
        <v>I</v>
      </c>
      <c r="B1974" s="541">
        <f t="shared" si="838"/>
        <v>2028</v>
      </c>
      <c r="C1974" s="451">
        <f t="shared" si="839"/>
        <v>8</v>
      </c>
      <c r="D1974" s="542">
        <f t="shared" ca="1" si="895"/>
        <v>11577</v>
      </c>
      <c r="E1974" s="542">
        <f t="shared" ca="1" si="895"/>
        <v>738</v>
      </c>
    </row>
    <row r="1975" spans="1:5">
      <c r="A1975" s="37" t="str">
        <f t="shared" si="837"/>
        <v>J</v>
      </c>
      <c r="B1975" s="541">
        <f t="shared" si="838"/>
        <v>2028</v>
      </c>
      <c r="C1975" s="451">
        <f t="shared" si="839"/>
        <v>9</v>
      </c>
      <c r="D1975" s="542">
        <f t="shared" ca="1" si="895"/>
        <v>10434</v>
      </c>
      <c r="E1975" s="542">
        <f t="shared" ca="1" si="895"/>
        <v>737</v>
      </c>
    </row>
    <row r="1976" spans="1:5">
      <c r="A1976" s="37" t="str">
        <f t="shared" si="837"/>
        <v>K</v>
      </c>
      <c r="B1976" s="541">
        <f t="shared" si="838"/>
        <v>2028</v>
      </c>
      <c r="C1976" s="451">
        <f t="shared" si="839"/>
        <v>10</v>
      </c>
      <c r="D1976" s="542">
        <f t="shared" ca="1" si="895"/>
        <v>10217</v>
      </c>
      <c r="E1976" s="542">
        <f t="shared" ca="1" si="895"/>
        <v>736</v>
      </c>
    </row>
    <row r="1977" spans="1:5">
      <c r="A1977" s="37" t="str">
        <f t="shared" si="837"/>
        <v>L</v>
      </c>
      <c r="B1977" s="541">
        <f t="shared" si="838"/>
        <v>2028</v>
      </c>
      <c r="C1977" s="451">
        <f t="shared" si="839"/>
        <v>11</v>
      </c>
      <c r="D1977" s="542">
        <f t="shared" ca="1" si="895"/>
        <v>7945</v>
      </c>
      <c r="E1977" s="542">
        <f t="shared" ca="1" si="895"/>
        <v>732</v>
      </c>
    </row>
    <row r="1978" spans="1:5">
      <c r="A1978" s="37" t="str">
        <f t="shared" si="837"/>
        <v>M</v>
      </c>
      <c r="B1978" s="541">
        <f t="shared" si="838"/>
        <v>2028</v>
      </c>
      <c r="C1978" s="451">
        <f t="shared" si="839"/>
        <v>12</v>
      </c>
      <c r="D1978" s="542">
        <f t="shared" ca="1" si="895"/>
        <v>9699</v>
      </c>
      <c r="E1978" s="542">
        <f t="shared" ca="1" si="895"/>
        <v>1337</v>
      </c>
    </row>
    <row r="1979" spans="1:5">
      <c r="A1979" s="37" t="str">
        <f t="shared" si="837"/>
        <v>B</v>
      </c>
      <c r="B1979" s="541">
        <f t="shared" si="838"/>
        <v>2029</v>
      </c>
      <c r="C1979" s="451">
        <f t="shared" si="839"/>
        <v>1</v>
      </c>
      <c r="D1979" s="542">
        <f t="shared" ca="1" si="895"/>
        <v>12048</v>
      </c>
      <c r="E1979" s="542">
        <f t="shared" ca="1" si="895"/>
        <v>1340</v>
      </c>
    </row>
    <row r="1980" spans="1:5">
      <c r="A1980" s="37" t="str">
        <f t="shared" ref="A1980:A2043" si="896">A1968</f>
        <v>C</v>
      </c>
      <c r="B1980" s="541">
        <f t="shared" ref="B1980:B2043" si="897">B1968+1</f>
        <v>2029</v>
      </c>
      <c r="C1980" s="451">
        <f t="shared" ref="C1980:C2043" si="898">C1968</f>
        <v>2</v>
      </c>
      <c r="D1980" s="542">
        <f t="shared" ca="1" si="895"/>
        <v>10383</v>
      </c>
      <c r="E1980" s="542">
        <f t="shared" ca="1" si="895"/>
        <v>1337</v>
      </c>
    </row>
    <row r="1981" spans="1:5">
      <c r="A1981" s="37" t="str">
        <f t="shared" si="896"/>
        <v>D</v>
      </c>
      <c r="B1981" s="541">
        <f t="shared" si="897"/>
        <v>2029</v>
      </c>
      <c r="C1981" s="451">
        <f t="shared" si="898"/>
        <v>3</v>
      </c>
      <c r="D1981" s="542">
        <f t="shared" ca="1" si="895"/>
        <v>9396</v>
      </c>
      <c r="E1981" s="542">
        <f t="shared" ca="1" si="895"/>
        <v>1335</v>
      </c>
    </row>
    <row r="1982" spans="1:5">
      <c r="A1982" s="37" t="str">
        <f t="shared" si="896"/>
        <v>E</v>
      </c>
      <c r="B1982" s="541">
        <f t="shared" si="897"/>
        <v>2029</v>
      </c>
      <c r="C1982" s="451">
        <f t="shared" si="898"/>
        <v>4</v>
      </c>
      <c r="D1982" s="542">
        <f t="shared" ca="1" si="895"/>
        <v>9779</v>
      </c>
      <c r="E1982" s="542">
        <f t="shared" ca="1" si="895"/>
        <v>735</v>
      </c>
    </row>
    <row r="1983" spans="1:5">
      <c r="A1983" s="37" t="str">
        <f t="shared" si="896"/>
        <v>F</v>
      </c>
      <c r="B1983" s="541">
        <f t="shared" si="897"/>
        <v>2029</v>
      </c>
      <c r="C1983" s="451">
        <f t="shared" si="898"/>
        <v>5</v>
      </c>
      <c r="D1983" s="542">
        <f t="shared" ca="1" si="895"/>
        <v>11125</v>
      </c>
      <c r="E1983" s="542">
        <f t="shared" ca="1" si="895"/>
        <v>737</v>
      </c>
    </row>
    <row r="1984" spans="1:5">
      <c r="A1984" s="37" t="str">
        <f t="shared" si="896"/>
        <v>G</v>
      </c>
      <c r="B1984" s="541">
        <f t="shared" si="897"/>
        <v>2029</v>
      </c>
      <c r="C1984" s="451">
        <f t="shared" si="898"/>
        <v>6</v>
      </c>
      <c r="D1984" s="542">
        <f t="shared" ca="1" si="895"/>
        <v>11075</v>
      </c>
      <c r="E1984" s="542">
        <f t="shared" ca="1" si="895"/>
        <v>740</v>
      </c>
    </row>
    <row r="1985" spans="1:5">
      <c r="A1985" s="37" t="str">
        <f t="shared" si="896"/>
        <v>H</v>
      </c>
      <c r="B1985" s="541">
        <f t="shared" si="897"/>
        <v>2029</v>
      </c>
      <c r="C1985" s="451">
        <f t="shared" si="898"/>
        <v>7</v>
      </c>
      <c r="D1985" s="542">
        <f t="shared" ca="1" si="895"/>
        <v>11352</v>
      </c>
      <c r="E1985" s="542">
        <f t="shared" ca="1" si="895"/>
        <v>739</v>
      </c>
    </row>
    <row r="1986" spans="1:5">
      <c r="A1986" s="37" t="str">
        <f t="shared" si="896"/>
        <v>I</v>
      </c>
      <c r="B1986" s="541">
        <f t="shared" si="897"/>
        <v>2029</v>
      </c>
      <c r="C1986" s="451">
        <f t="shared" si="898"/>
        <v>8</v>
      </c>
      <c r="D1986" s="542">
        <f t="shared" ca="1" si="895"/>
        <v>11673</v>
      </c>
      <c r="E1986" s="542">
        <f t="shared" ca="1" si="895"/>
        <v>738</v>
      </c>
    </row>
    <row r="1987" spans="1:5">
      <c r="A1987" s="37" t="str">
        <f t="shared" si="896"/>
        <v>J</v>
      </c>
      <c r="B1987" s="541">
        <f t="shared" si="897"/>
        <v>2029</v>
      </c>
      <c r="C1987" s="451">
        <f t="shared" si="898"/>
        <v>9</v>
      </c>
      <c r="D1987" s="542">
        <f t="shared" ca="1" si="895"/>
        <v>10509</v>
      </c>
      <c r="E1987" s="542">
        <f t="shared" ca="1" si="895"/>
        <v>737</v>
      </c>
    </row>
    <row r="1988" spans="1:5">
      <c r="A1988" s="37" t="str">
        <f t="shared" si="896"/>
        <v>K</v>
      </c>
      <c r="B1988" s="541">
        <f t="shared" si="897"/>
        <v>2029</v>
      </c>
      <c r="C1988" s="451">
        <f t="shared" si="898"/>
        <v>10</v>
      </c>
      <c r="D1988" s="542">
        <f t="shared" ref="D1988:E2007" ca="1" si="899">ROUND(INDIRECT(CONCATENATE($A1988,D$1772+($B1988-2011))),0)</f>
        <v>10303</v>
      </c>
      <c r="E1988" s="542">
        <f t="shared" ca="1" si="899"/>
        <v>737</v>
      </c>
    </row>
    <row r="1989" spans="1:5">
      <c r="A1989" s="37" t="str">
        <f t="shared" si="896"/>
        <v>L</v>
      </c>
      <c r="B1989" s="541">
        <f t="shared" si="897"/>
        <v>2029</v>
      </c>
      <c r="C1989" s="451">
        <f t="shared" si="898"/>
        <v>11</v>
      </c>
      <c r="D1989" s="542">
        <f t="shared" ca="1" si="899"/>
        <v>7988</v>
      </c>
      <c r="E1989" s="542">
        <f t="shared" ca="1" si="899"/>
        <v>732</v>
      </c>
    </row>
    <row r="1990" spans="1:5">
      <c r="A1990" s="37" t="str">
        <f t="shared" si="896"/>
        <v>M</v>
      </c>
      <c r="B1990" s="541">
        <f t="shared" si="897"/>
        <v>2029</v>
      </c>
      <c r="C1990" s="451">
        <f t="shared" si="898"/>
        <v>12</v>
      </c>
      <c r="D1990" s="542">
        <f t="shared" ca="1" si="899"/>
        <v>9740</v>
      </c>
      <c r="E1990" s="542">
        <f t="shared" ca="1" si="899"/>
        <v>1337</v>
      </c>
    </row>
    <row r="1991" spans="1:5">
      <c r="A1991" s="37" t="str">
        <f t="shared" si="896"/>
        <v>B</v>
      </c>
      <c r="B1991" s="541">
        <f t="shared" si="897"/>
        <v>2030</v>
      </c>
      <c r="C1991" s="451">
        <f t="shared" si="898"/>
        <v>1</v>
      </c>
      <c r="D1991" s="542">
        <f t="shared" ca="1" si="899"/>
        <v>12119</v>
      </c>
      <c r="E1991" s="542">
        <f t="shared" ca="1" si="899"/>
        <v>1340</v>
      </c>
    </row>
    <row r="1992" spans="1:5">
      <c r="A1992" s="37" t="str">
        <f t="shared" si="896"/>
        <v>C</v>
      </c>
      <c r="B1992" s="541">
        <f t="shared" si="897"/>
        <v>2030</v>
      </c>
      <c r="C1992" s="451">
        <f t="shared" si="898"/>
        <v>2</v>
      </c>
      <c r="D1992" s="542">
        <f t="shared" ca="1" si="899"/>
        <v>10433</v>
      </c>
      <c r="E1992" s="542">
        <f t="shared" ca="1" si="899"/>
        <v>1337</v>
      </c>
    </row>
    <row r="1993" spans="1:5">
      <c r="A1993" s="37" t="str">
        <f t="shared" si="896"/>
        <v>D</v>
      </c>
      <c r="B1993" s="541">
        <f t="shared" si="897"/>
        <v>2030</v>
      </c>
      <c r="C1993" s="451">
        <f t="shared" si="898"/>
        <v>3</v>
      </c>
      <c r="D1993" s="542">
        <f t="shared" ca="1" si="899"/>
        <v>9453</v>
      </c>
      <c r="E1993" s="542">
        <f t="shared" ca="1" si="899"/>
        <v>1336</v>
      </c>
    </row>
    <row r="1994" spans="1:5">
      <c r="A1994" s="37" t="str">
        <f t="shared" si="896"/>
        <v>E</v>
      </c>
      <c r="B1994" s="541">
        <f t="shared" si="897"/>
        <v>2030</v>
      </c>
      <c r="C1994" s="451">
        <f t="shared" si="898"/>
        <v>4</v>
      </c>
      <c r="D1994" s="542">
        <f t="shared" ca="1" si="899"/>
        <v>9863</v>
      </c>
      <c r="E1994" s="542">
        <f t="shared" ca="1" si="899"/>
        <v>735</v>
      </c>
    </row>
    <row r="1995" spans="1:5">
      <c r="A1995" s="37" t="str">
        <f t="shared" si="896"/>
        <v>F</v>
      </c>
      <c r="B1995" s="541">
        <f t="shared" si="897"/>
        <v>2030</v>
      </c>
      <c r="C1995" s="451">
        <f t="shared" si="898"/>
        <v>5</v>
      </c>
      <c r="D1995" s="542">
        <f t="shared" ca="1" si="899"/>
        <v>11217</v>
      </c>
      <c r="E1995" s="542">
        <f t="shared" ca="1" si="899"/>
        <v>737</v>
      </c>
    </row>
    <row r="1996" spans="1:5">
      <c r="A1996" s="37" t="str">
        <f t="shared" si="896"/>
        <v>G</v>
      </c>
      <c r="B1996" s="541">
        <f t="shared" si="897"/>
        <v>2030</v>
      </c>
      <c r="C1996" s="451">
        <f t="shared" si="898"/>
        <v>6</v>
      </c>
      <c r="D1996" s="542">
        <f t="shared" ca="1" si="899"/>
        <v>11156</v>
      </c>
      <c r="E1996" s="542">
        <f t="shared" ca="1" si="899"/>
        <v>740</v>
      </c>
    </row>
    <row r="1997" spans="1:5">
      <c r="A1997" s="37" t="str">
        <f t="shared" si="896"/>
        <v>H</v>
      </c>
      <c r="B1997" s="541">
        <f t="shared" si="897"/>
        <v>2030</v>
      </c>
      <c r="C1997" s="451">
        <f t="shared" si="898"/>
        <v>7</v>
      </c>
      <c r="D1997" s="542">
        <f t="shared" ca="1" si="899"/>
        <v>11436</v>
      </c>
      <c r="E1997" s="542">
        <f t="shared" ca="1" si="899"/>
        <v>739</v>
      </c>
    </row>
    <row r="1998" spans="1:5">
      <c r="A1998" s="37" t="str">
        <f t="shared" si="896"/>
        <v>I</v>
      </c>
      <c r="B1998" s="541">
        <f t="shared" si="897"/>
        <v>2030</v>
      </c>
      <c r="C1998" s="451">
        <f t="shared" si="898"/>
        <v>8</v>
      </c>
      <c r="D1998" s="542">
        <f t="shared" ca="1" si="899"/>
        <v>11762</v>
      </c>
      <c r="E1998" s="542">
        <f t="shared" ca="1" si="899"/>
        <v>739</v>
      </c>
    </row>
    <row r="1999" spans="1:5">
      <c r="A1999" s="37" t="str">
        <f t="shared" si="896"/>
        <v>J</v>
      </c>
      <c r="B1999" s="541">
        <f t="shared" si="897"/>
        <v>2030</v>
      </c>
      <c r="C1999" s="451">
        <f t="shared" si="898"/>
        <v>9</v>
      </c>
      <c r="D1999" s="542">
        <f t="shared" ca="1" si="899"/>
        <v>10579</v>
      </c>
      <c r="E1999" s="542">
        <f t="shared" ca="1" si="899"/>
        <v>738</v>
      </c>
    </row>
    <row r="2000" spans="1:5">
      <c r="A2000" s="37" t="str">
        <f t="shared" si="896"/>
        <v>K</v>
      </c>
      <c r="B2000" s="541">
        <f t="shared" si="897"/>
        <v>2030</v>
      </c>
      <c r="C2000" s="451">
        <f t="shared" si="898"/>
        <v>10</v>
      </c>
      <c r="D2000" s="542">
        <f t="shared" ca="1" si="899"/>
        <v>10383</v>
      </c>
      <c r="E2000" s="542">
        <f t="shared" ca="1" si="899"/>
        <v>737</v>
      </c>
    </row>
    <row r="2001" spans="1:14">
      <c r="A2001" s="37" t="str">
        <f t="shared" si="896"/>
        <v>L</v>
      </c>
      <c r="B2001" s="541">
        <f t="shared" si="897"/>
        <v>2030</v>
      </c>
      <c r="C2001" s="451">
        <f t="shared" si="898"/>
        <v>11</v>
      </c>
      <c r="D2001" s="542">
        <f t="shared" ca="1" si="899"/>
        <v>8029</v>
      </c>
      <c r="E2001" s="542">
        <f t="shared" ca="1" si="899"/>
        <v>732</v>
      </c>
    </row>
    <row r="2002" spans="1:14">
      <c r="A2002" s="37" t="str">
        <f t="shared" si="896"/>
        <v>M</v>
      </c>
      <c r="B2002" s="541">
        <f t="shared" si="897"/>
        <v>2030</v>
      </c>
      <c r="C2002" s="451">
        <f t="shared" si="898"/>
        <v>12</v>
      </c>
      <c r="D2002" s="542">
        <f t="shared" ca="1" si="899"/>
        <v>9780</v>
      </c>
      <c r="E2002" s="542">
        <f t="shared" ca="1" si="899"/>
        <v>1338</v>
      </c>
    </row>
    <row r="2003" spans="1:14">
      <c r="A2003" s="37" t="str">
        <f t="shared" si="896"/>
        <v>B</v>
      </c>
      <c r="B2003" s="541">
        <f t="shared" si="897"/>
        <v>2031</v>
      </c>
      <c r="C2003" s="451">
        <f t="shared" si="898"/>
        <v>1</v>
      </c>
      <c r="D2003" s="542">
        <f t="shared" ca="1" si="899"/>
        <v>12173</v>
      </c>
      <c r="E2003" s="542">
        <f t="shared" ca="1" si="899"/>
        <v>1340</v>
      </c>
    </row>
    <row r="2004" spans="1:14">
      <c r="A2004" s="37" t="str">
        <f t="shared" si="896"/>
        <v>C</v>
      </c>
      <c r="B2004" s="541">
        <f t="shared" si="897"/>
        <v>2031</v>
      </c>
      <c r="C2004" s="451">
        <f t="shared" si="898"/>
        <v>2</v>
      </c>
      <c r="D2004" s="542">
        <f t="shared" ca="1" si="899"/>
        <v>10464</v>
      </c>
      <c r="E2004" s="542">
        <f t="shared" ca="1" si="899"/>
        <v>1337</v>
      </c>
    </row>
    <row r="2005" spans="1:14">
      <c r="A2005" s="37" t="str">
        <f t="shared" si="896"/>
        <v>D</v>
      </c>
      <c r="B2005" s="541">
        <f t="shared" si="897"/>
        <v>2031</v>
      </c>
      <c r="C2005" s="451">
        <f t="shared" si="898"/>
        <v>3</v>
      </c>
      <c r="D2005" s="542">
        <f t="shared" ca="1" si="899"/>
        <v>9490</v>
      </c>
      <c r="E2005" s="542">
        <f t="shared" ca="1" si="899"/>
        <v>1336</v>
      </c>
    </row>
    <row r="2006" spans="1:14">
      <c r="A2006" s="37" t="str">
        <f t="shared" si="896"/>
        <v>E</v>
      </c>
      <c r="B2006" s="541">
        <f t="shared" si="897"/>
        <v>2031</v>
      </c>
      <c r="C2006" s="451">
        <f t="shared" si="898"/>
        <v>4</v>
      </c>
      <c r="D2006" s="542">
        <f t="shared" ca="1" si="899"/>
        <v>9927</v>
      </c>
      <c r="E2006" s="542">
        <f t="shared" ca="1" si="899"/>
        <v>735</v>
      </c>
    </row>
    <row r="2007" spans="1:14">
      <c r="A2007" s="37" t="str">
        <f t="shared" si="896"/>
        <v>F</v>
      </c>
      <c r="B2007" s="541">
        <f t="shared" si="897"/>
        <v>2031</v>
      </c>
      <c r="C2007" s="451">
        <f t="shared" si="898"/>
        <v>5</v>
      </c>
      <c r="D2007" s="542">
        <f t="shared" ca="1" si="899"/>
        <v>11289</v>
      </c>
      <c r="E2007" s="542">
        <f t="shared" ca="1" si="899"/>
        <v>737</v>
      </c>
    </row>
    <row r="2008" spans="1:14">
      <c r="A2008" s="37" t="str">
        <f t="shared" si="896"/>
        <v>G</v>
      </c>
      <c r="B2008" s="541">
        <f t="shared" si="897"/>
        <v>2031</v>
      </c>
      <c r="C2008" s="451">
        <f t="shared" si="898"/>
        <v>6</v>
      </c>
      <c r="D2008" s="542">
        <f t="shared" ref="D2008:E2027" ca="1" si="900">ROUND(INDIRECT(CONCATENATE($A2008,D$1772+($B2008-2011))),0)</f>
        <v>11220</v>
      </c>
      <c r="E2008" s="542">
        <f t="shared" ca="1" si="900"/>
        <v>740</v>
      </c>
    </row>
    <row r="2009" spans="1:14">
      <c r="A2009" s="37" t="str">
        <f t="shared" si="896"/>
        <v>H</v>
      </c>
      <c r="B2009" s="541">
        <f t="shared" si="897"/>
        <v>2031</v>
      </c>
      <c r="C2009" s="451">
        <f t="shared" si="898"/>
        <v>7</v>
      </c>
      <c r="D2009" s="542">
        <f t="shared" ca="1" si="900"/>
        <v>11501</v>
      </c>
      <c r="E2009" s="542">
        <f t="shared" ca="1" si="900"/>
        <v>739</v>
      </c>
    </row>
    <row r="2010" spans="1:14">
      <c r="A2010" s="37" t="str">
        <f t="shared" si="896"/>
        <v>I</v>
      </c>
      <c r="B2010" s="541">
        <f t="shared" si="897"/>
        <v>2031</v>
      </c>
      <c r="C2010" s="451">
        <f t="shared" si="898"/>
        <v>8</v>
      </c>
      <c r="D2010" s="542">
        <f t="shared" ca="1" si="900"/>
        <v>11832</v>
      </c>
      <c r="E2010" s="542">
        <f t="shared" ca="1" si="900"/>
        <v>739</v>
      </c>
      <c r="K2010" s="34"/>
      <c r="L2010" s="34"/>
      <c r="M2010" s="34"/>
      <c r="N2010" s="25"/>
    </row>
    <row r="2011" spans="1:14">
      <c r="A2011" s="37" t="str">
        <f t="shared" si="896"/>
        <v>J</v>
      </c>
      <c r="B2011" s="541">
        <f t="shared" si="897"/>
        <v>2031</v>
      </c>
      <c r="C2011" s="451">
        <f t="shared" si="898"/>
        <v>9</v>
      </c>
      <c r="D2011" s="542">
        <f t="shared" ca="1" si="900"/>
        <v>10631</v>
      </c>
      <c r="E2011" s="542">
        <f t="shared" ca="1" si="900"/>
        <v>738</v>
      </c>
      <c r="K2011" s="34"/>
      <c r="L2011" s="34"/>
      <c r="M2011" s="34"/>
      <c r="N2011" s="25"/>
    </row>
    <row r="2012" spans="1:14">
      <c r="A2012" s="37" t="str">
        <f t="shared" si="896"/>
        <v>K</v>
      </c>
      <c r="B2012" s="541">
        <f t="shared" si="897"/>
        <v>2031</v>
      </c>
      <c r="C2012" s="451">
        <f t="shared" si="898"/>
        <v>10</v>
      </c>
      <c r="D2012" s="542">
        <f t="shared" ca="1" si="900"/>
        <v>10447</v>
      </c>
      <c r="E2012" s="542">
        <f t="shared" ca="1" si="900"/>
        <v>737</v>
      </c>
      <c r="K2012" s="34"/>
      <c r="L2012" s="34"/>
      <c r="M2012" s="34"/>
      <c r="N2012" s="25"/>
    </row>
    <row r="2013" spans="1:14">
      <c r="A2013" s="37" t="str">
        <f t="shared" si="896"/>
        <v>L</v>
      </c>
      <c r="B2013" s="541">
        <f t="shared" si="897"/>
        <v>2031</v>
      </c>
      <c r="C2013" s="451">
        <f t="shared" si="898"/>
        <v>11</v>
      </c>
      <c r="D2013" s="542">
        <f t="shared" ca="1" si="900"/>
        <v>8051</v>
      </c>
      <c r="E2013" s="542">
        <f t="shared" ca="1" si="900"/>
        <v>732</v>
      </c>
      <c r="K2013" s="34"/>
      <c r="L2013" s="34"/>
      <c r="M2013" s="34"/>
      <c r="N2013" s="25"/>
    </row>
    <row r="2014" spans="1:14">
      <c r="A2014" s="37" t="str">
        <f t="shared" si="896"/>
        <v>M</v>
      </c>
      <c r="B2014" s="541">
        <f t="shared" si="897"/>
        <v>2031</v>
      </c>
      <c r="C2014" s="451">
        <f t="shared" si="898"/>
        <v>12</v>
      </c>
      <c r="D2014" s="542">
        <f t="shared" ca="1" si="900"/>
        <v>9801</v>
      </c>
      <c r="E2014" s="542">
        <f t="shared" ca="1" si="900"/>
        <v>1338</v>
      </c>
      <c r="K2014" s="34"/>
      <c r="L2014" s="34"/>
      <c r="M2014" s="34"/>
      <c r="N2014" s="25"/>
    </row>
    <row r="2015" spans="1:14">
      <c r="A2015" s="37" t="str">
        <f t="shared" si="896"/>
        <v>B</v>
      </c>
      <c r="B2015" s="541">
        <f t="shared" si="897"/>
        <v>2032</v>
      </c>
      <c r="C2015" s="451">
        <f t="shared" si="898"/>
        <v>1</v>
      </c>
      <c r="D2015" s="542">
        <f t="shared" ca="1" si="900"/>
        <v>12225</v>
      </c>
      <c r="E2015" s="542">
        <f t="shared" ca="1" si="900"/>
        <v>1340</v>
      </c>
      <c r="K2015" s="34"/>
      <c r="L2015" s="34"/>
      <c r="M2015" s="34"/>
      <c r="N2015" s="25"/>
    </row>
    <row r="2016" spans="1:14">
      <c r="A2016" s="37" t="str">
        <f t="shared" si="896"/>
        <v>C</v>
      </c>
      <c r="B2016" s="541">
        <f t="shared" si="897"/>
        <v>2032</v>
      </c>
      <c r="C2016" s="451">
        <f t="shared" si="898"/>
        <v>2</v>
      </c>
      <c r="D2016" s="542">
        <f t="shared" ca="1" si="900"/>
        <v>10496</v>
      </c>
      <c r="E2016" s="542">
        <f t="shared" ca="1" si="900"/>
        <v>1337</v>
      </c>
      <c r="K2016" s="34"/>
      <c r="L2016" s="34"/>
      <c r="M2016" s="34"/>
      <c r="N2016" s="25"/>
    </row>
    <row r="2017" spans="1:14">
      <c r="A2017" s="37" t="str">
        <f t="shared" si="896"/>
        <v>D</v>
      </c>
      <c r="B2017" s="541">
        <f t="shared" si="897"/>
        <v>2032</v>
      </c>
      <c r="C2017" s="451">
        <f t="shared" si="898"/>
        <v>3</v>
      </c>
      <c r="D2017" s="542">
        <f t="shared" ca="1" si="900"/>
        <v>9525</v>
      </c>
      <c r="E2017" s="542">
        <f t="shared" ca="1" si="900"/>
        <v>1336</v>
      </c>
      <c r="K2017" s="34"/>
      <c r="L2017" s="34"/>
      <c r="M2017" s="34"/>
      <c r="N2017" s="25"/>
    </row>
    <row r="2018" spans="1:14">
      <c r="A2018" s="37" t="str">
        <f t="shared" si="896"/>
        <v>E</v>
      </c>
      <c r="B2018" s="541">
        <f t="shared" si="897"/>
        <v>2032</v>
      </c>
      <c r="C2018" s="451">
        <f t="shared" si="898"/>
        <v>4</v>
      </c>
      <c r="D2018" s="542">
        <f t="shared" ca="1" si="900"/>
        <v>9990</v>
      </c>
      <c r="E2018" s="542">
        <f t="shared" ca="1" si="900"/>
        <v>735</v>
      </c>
      <c r="K2018" s="34"/>
      <c r="L2018" s="34"/>
      <c r="M2018" s="34"/>
      <c r="N2018" s="25"/>
    </row>
    <row r="2019" spans="1:14">
      <c r="A2019" s="37" t="str">
        <f t="shared" si="896"/>
        <v>F</v>
      </c>
      <c r="B2019" s="541">
        <f t="shared" si="897"/>
        <v>2032</v>
      </c>
      <c r="C2019" s="451">
        <f t="shared" si="898"/>
        <v>5</v>
      </c>
      <c r="D2019" s="542">
        <f t="shared" ca="1" si="900"/>
        <v>11357</v>
      </c>
      <c r="E2019" s="542">
        <f t="shared" ca="1" si="900"/>
        <v>737</v>
      </c>
      <c r="K2019" s="34"/>
      <c r="L2019" s="34"/>
      <c r="M2019" s="34"/>
      <c r="N2019" s="25"/>
    </row>
    <row r="2020" spans="1:14">
      <c r="A2020" s="37" t="str">
        <f t="shared" si="896"/>
        <v>G</v>
      </c>
      <c r="B2020" s="541">
        <f t="shared" si="897"/>
        <v>2032</v>
      </c>
      <c r="C2020" s="451">
        <f t="shared" si="898"/>
        <v>6</v>
      </c>
      <c r="D2020" s="542">
        <f t="shared" ca="1" si="900"/>
        <v>11282</v>
      </c>
      <c r="E2020" s="542">
        <f t="shared" ca="1" si="900"/>
        <v>740</v>
      </c>
      <c r="N2020" s="25"/>
    </row>
    <row r="2021" spans="1:14">
      <c r="A2021" s="37" t="str">
        <f t="shared" si="896"/>
        <v>H</v>
      </c>
      <c r="B2021" s="541">
        <f t="shared" si="897"/>
        <v>2032</v>
      </c>
      <c r="C2021" s="451">
        <f t="shared" si="898"/>
        <v>7</v>
      </c>
      <c r="D2021" s="542">
        <f t="shared" ca="1" si="900"/>
        <v>11564</v>
      </c>
      <c r="E2021" s="542">
        <f t="shared" ca="1" si="900"/>
        <v>739</v>
      </c>
      <c r="N2021" s="25"/>
    </row>
    <row r="2022" spans="1:14">
      <c r="A2022" s="37" t="str">
        <f t="shared" si="896"/>
        <v>I</v>
      </c>
      <c r="B2022" s="541">
        <f t="shared" si="897"/>
        <v>2032</v>
      </c>
      <c r="C2022" s="451">
        <f t="shared" si="898"/>
        <v>8</v>
      </c>
      <c r="D2022" s="542">
        <f t="shared" ca="1" si="900"/>
        <v>11901</v>
      </c>
      <c r="E2022" s="542">
        <f t="shared" ca="1" si="900"/>
        <v>739</v>
      </c>
      <c r="K2022" s="34"/>
      <c r="L2022" s="34"/>
      <c r="M2022" s="34"/>
      <c r="N2022" s="25"/>
    </row>
    <row r="2023" spans="1:14">
      <c r="A2023" s="37" t="str">
        <f t="shared" si="896"/>
        <v>J</v>
      </c>
      <c r="B2023" s="541">
        <f t="shared" si="897"/>
        <v>2032</v>
      </c>
      <c r="C2023" s="451">
        <f t="shared" si="898"/>
        <v>9</v>
      </c>
      <c r="D2023" s="542">
        <f t="shared" ca="1" si="900"/>
        <v>10681</v>
      </c>
      <c r="E2023" s="542">
        <f t="shared" ca="1" si="900"/>
        <v>738</v>
      </c>
      <c r="K2023" s="34"/>
      <c r="L2023" s="34"/>
      <c r="M2023" s="34"/>
      <c r="N2023" s="25"/>
    </row>
    <row r="2024" spans="1:14">
      <c r="A2024" s="37" t="str">
        <f t="shared" si="896"/>
        <v>K</v>
      </c>
      <c r="B2024" s="541">
        <f t="shared" si="897"/>
        <v>2032</v>
      </c>
      <c r="C2024" s="451">
        <f t="shared" si="898"/>
        <v>10</v>
      </c>
      <c r="D2024" s="542">
        <f t="shared" ca="1" si="900"/>
        <v>10508</v>
      </c>
      <c r="E2024" s="542">
        <f t="shared" ca="1" si="900"/>
        <v>737</v>
      </c>
    </row>
    <row r="2025" spans="1:14">
      <c r="A2025" s="37" t="str">
        <f t="shared" si="896"/>
        <v>L</v>
      </c>
      <c r="B2025" s="541">
        <f t="shared" si="897"/>
        <v>2032</v>
      </c>
      <c r="C2025" s="451">
        <f t="shared" si="898"/>
        <v>11</v>
      </c>
      <c r="D2025" s="542">
        <f t="shared" ca="1" si="900"/>
        <v>8075</v>
      </c>
      <c r="E2025" s="542">
        <f t="shared" ca="1" si="900"/>
        <v>732</v>
      </c>
    </row>
    <row r="2026" spans="1:14">
      <c r="A2026" s="37" t="str">
        <f t="shared" si="896"/>
        <v>M</v>
      </c>
      <c r="B2026" s="541">
        <f t="shared" si="897"/>
        <v>2032</v>
      </c>
      <c r="C2026" s="451">
        <f t="shared" si="898"/>
        <v>12</v>
      </c>
      <c r="D2026" s="542">
        <f t="shared" ca="1" si="900"/>
        <v>9825</v>
      </c>
      <c r="E2026" s="542">
        <f t="shared" ca="1" si="900"/>
        <v>1338</v>
      </c>
    </row>
    <row r="2027" spans="1:14">
      <c r="A2027" s="37" t="str">
        <f t="shared" si="896"/>
        <v>B</v>
      </c>
      <c r="B2027" s="541">
        <f t="shared" si="897"/>
        <v>2033</v>
      </c>
      <c r="C2027" s="451">
        <f t="shared" si="898"/>
        <v>1</v>
      </c>
      <c r="D2027" s="542">
        <f t="shared" ca="1" si="900"/>
        <v>12290</v>
      </c>
      <c r="E2027" s="542">
        <f t="shared" ca="1" si="900"/>
        <v>1340</v>
      </c>
    </row>
    <row r="2028" spans="1:14">
      <c r="A2028" s="37" t="str">
        <f t="shared" si="896"/>
        <v>C</v>
      </c>
      <c r="B2028" s="541">
        <f t="shared" si="897"/>
        <v>2033</v>
      </c>
      <c r="C2028" s="451">
        <f t="shared" si="898"/>
        <v>2</v>
      </c>
      <c r="D2028" s="542">
        <f t="shared" ref="D2028:E2047" ca="1" si="901">ROUND(INDIRECT(CONCATENATE($A2028,D$1772+($B2028-2011))),0)</f>
        <v>10541</v>
      </c>
      <c r="E2028" s="542">
        <f t="shared" ca="1" si="901"/>
        <v>1337</v>
      </c>
    </row>
    <row r="2029" spans="1:14">
      <c r="A2029" s="37" t="str">
        <f t="shared" si="896"/>
        <v>D</v>
      </c>
      <c r="B2029" s="541">
        <f t="shared" si="897"/>
        <v>2033</v>
      </c>
      <c r="C2029" s="451">
        <f t="shared" si="898"/>
        <v>3</v>
      </c>
      <c r="D2029" s="542">
        <f t="shared" ca="1" si="901"/>
        <v>9575</v>
      </c>
      <c r="E2029" s="542">
        <f t="shared" ca="1" si="901"/>
        <v>1336</v>
      </c>
    </row>
    <row r="2030" spans="1:14">
      <c r="A2030" s="37" t="str">
        <f t="shared" si="896"/>
        <v>E</v>
      </c>
      <c r="B2030" s="541">
        <f t="shared" si="897"/>
        <v>2033</v>
      </c>
      <c r="C2030" s="451">
        <f t="shared" si="898"/>
        <v>4</v>
      </c>
      <c r="D2030" s="542">
        <f t="shared" ca="1" si="901"/>
        <v>10067</v>
      </c>
      <c r="E2030" s="542">
        <f t="shared" ca="1" si="901"/>
        <v>735</v>
      </c>
    </row>
    <row r="2031" spans="1:14">
      <c r="A2031" s="37" t="str">
        <f t="shared" si="896"/>
        <v>F</v>
      </c>
      <c r="B2031" s="541">
        <f t="shared" si="897"/>
        <v>2033</v>
      </c>
      <c r="C2031" s="451">
        <f t="shared" si="898"/>
        <v>5</v>
      </c>
      <c r="D2031" s="542">
        <f t="shared" ca="1" si="901"/>
        <v>11441</v>
      </c>
      <c r="E2031" s="542">
        <f t="shared" ca="1" si="901"/>
        <v>737</v>
      </c>
    </row>
    <row r="2032" spans="1:14">
      <c r="A2032" s="37" t="str">
        <f t="shared" si="896"/>
        <v>G</v>
      </c>
      <c r="B2032" s="541">
        <f t="shared" si="897"/>
        <v>2033</v>
      </c>
      <c r="C2032" s="451">
        <f t="shared" si="898"/>
        <v>6</v>
      </c>
      <c r="D2032" s="542">
        <f t="shared" ca="1" si="901"/>
        <v>11358</v>
      </c>
      <c r="E2032" s="542">
        <f t="shared" ca="1" si="901"/>
        <v>741</v>
      </c>
    </row>
    <row r="2033" spans="1:5">
      <c r="A2033" s="37" t="str">
        <f t="shared" si="896"/>
        <v>H</v>
      </c>
      <c r="B2033" s="541">
        <f t="shared" si="897"/>
        <v>2033</v>
      </c>
      <c r="C2033" s="451">
        <f t="shared" si="898"/>
        <v>7</v>
      </c>
      <c r="D2033" s="542">
        <f t="shared" ca="1" si="901"/>
        <v>11642</v>
      </c>
      <c r="E2033" s="542">
        <f t="shared" ca="1" si="901"/>
        <v>739</v>
      </c>
    </row>
    <row r="2034" spans="1:5">
      <c r="A2034" s="37" t="str">
        <f t="shared" si="896"/>
        <v>I</v>
      </c>
      <c r="B2034" s="541">
        <f t="shared" si="897"/>
        <v>2033</v>
      </c>
      <c r="C2034" s="451">
        <f t="shared" si="898"/>
        <v>8</v>
      </c>
      <c r="D2034" s="542">
        <f t="shared" ca="1" si="901"/>
        <v>11982</v>
      </c>
      <c r="E2034" s="542">
        <f t="shared" ca="1" si="901"/>
        <v>739</v>
      </c>
    </row>
    <row r="2035" spans="1:5">
      <c r="A2035" s="37" t="str">
        <f t="shared" si="896"/>
        <v>J</v>
      </c>
      <c r="B2035" s="541">
        <f t="shared" si="897"/>
        <v>2033</v>
      </c>
      <c r="C2035" s="451">
        <f t="shared" si="898"/>
        <v>9</v>
      </c>
      <c r="D2035" s="542">
        <f t="shared" ca="1" si="901"/>
        <v>10745</v>
      </c>
      <c r="E2035" s="542">
        <f t="shared" ca="1" si="901"/>
        <v>738</v>
      </c>
    </row>
    <row r="2036" spans="1:5">
      <c r="A2036" s="37" t="str">
        <f t="shared" si="896"/>
        <v>K</v>
      </c>
      <c r="B2036" s="541">
        <f t="shared" si="897"/>
        <v>2033</v>
      </c>
      <c r="C2036" s="451">
        <f t="shared" si="898"/>
        <v>10</v>
      </c>
      <c r="D2036" s="542">
        <f t="shared" ca="1" si="901"/>
        <v>10582</v>
      </c>
      <c r="E2036" s="542">
        <f t="shared" ca="1" si="901"/>
        <v>737</v>
      </c>
    </row>
    <row r="2037" spans="1:5">
      <c r="A2037" s="37" t="str">
        <f t="shared" si="896"/>
        <v>L</v>
      </c>
      <c r="B2037" s="541">
        <f t="shared" si="897"/>
        <v>2033</v>
      </c>
      <c r="C2037" s="451">
        <f t="shared" si="898"/>
        <v>11</v>
      </c>
      <c r="D2037" s="542">
        <f t="shared" ca="1" si="901"/>
        <v>8112</v>
      </c>
      <c r="E2037" s="542">
        <f t="shared" ca="1" si="901"/>
        <v>732</v>
      </c>
    </row>
    <row r="2038" spans="1:5">
      <c r="A2038" s="37" t="str">
        <f t="shared" si="896"/>
        <v>M</v>
      </c>
      <c r="B2038" s="541">
        <f t="shared" si="897"/>
        <v>2033</v>
      </c>
      <c r="C2038" s="451">
        <f t="shared" si="898"/>
        <v>12</v>
      </c>
      <c r="D2038" s="542">
        <f t="shared" ca="1" si="901"/>
        <v>9860</v>
      </c>
      <c r="E2038" s="542">
        <f t="shared" ca="1" si="901"/>
        <v>1338</v>
      </c>
    </row>
    <row r="2039" spans="1:5">
      <c r="A2039" s="37" t="str">
        <f t="shared" si="896"/>
        <v>B</v>
      </c>
      <c r="B2039" s="541">
        <f t="shared" si="897"/>
        <v>2034</v>
      </c>
      <c r="C2039" s="451">
        <f t="shared" si="898"/>
        <v>1</v>
      </c>
      <c r="D2039" s="542">
        <f t="shared" ca="1" si="901"/>
        <v>12354</v>
      </c>
      <c r="E2039" s="542">
        <f t="shared" ca="1" si="901"/>
        <v>1341</v>
      </c>
    </row>
    <row r="2040" spans="1:5">
      <c r="A2040" s="37" t="str">
        <f t="shared" si="896"/>
        <v>C</v>
      </c>
      <c r="B2040" s="541">
        <f t="shared" si="897"/>
        <v>2034</v>
      </c>
      <c r="C2040" s="451">
        <f t="shared" si="898"/>
        <v>2</v>
      </c>
      <c r="D2040" s="542">
        <f t="shared" ca="1" si="901"/>
        <v>10585</v>
      </c>
      <c r="E2040" s="542">
        <f t="shared" ca="1" si="901"/>
        <v>1337</v>
      </c>
    </row>
    <row r="2041" spans="1:5">
      <c r="A2041" s="37" t="str">
        <f t="shared" si="896"/>
        <v>D</v>
      </c>
      <c r="B2041" s="541">
        <f t="shared" si="897"/>
        <v>2034</v>
      </c>
      <c r="C2041" s="451">
        <f t="shared" si="898"/>
        <v>3</v>
      </c>
      <c r="D2041" s="542">
        <f t="shared" ca="1" si="901"/>
        <v>9624</v>
      </c>
      <c r="E2041" s="542">
        <f t="shared" ca="1" si="901"/>
        <v>1336</v>
      </c>
    </row>
    <row r="2042" spans="1:5">
      <c r="A2042" s="37" t="str">
        <f t="shared" si="896"/>
        <v>E</v>
      </c>
      <c r="B2042" s="541">
        <f t="shared" si="897"/>
        <v>2034</v>
      </c>
      <c r="C2042" s="451">
        <f t="shared" si="898"/>
        <v>4</v>
      </c>
      <c r="D2042" s="542">
        <f t="shared" ca="1" si="901"/>
        <v>10142</v>
      </c>
      <c r="E2042" s="542">
        <f t="shared" ca="1" si="901"/>
        <v>735</v>
      </c>
    </row>
    <row r="2043" spans="1:5">
      <c r="A2043" s="37" t="str">
        <f t="shared" si="896"/>
        <v>F</v>
      </c>
      <c r="B2043" s="541">
        <f t="shared" si="897"/>
        <v>2034</v>
      </c>
      <c r="C2043" s="451">
        <f t="shared" si="898"/>
        <v>5</v>
      </c>
      <c r="D2043" s="542">
        <f t="shared" ca="1" si="901"/>
        <v>11522</v>
      </c>
      <c r="E2043" s="542">
        <f t="shared" ca="1" si="901"/>
        <v>737</v>
      </c>
    </row>
    <row r="2044" spans="1:5">
      <c r="A2044" s="37" t="str">
        <f t="shared" ref="A2044:A2107" si="902">A2032</f>
        <v>G</v>
      </c>
      <c r="B2044" s="541">
        <f t="shared" ref="B2044:B2107" si="903">B2032+1</f>
        <v>2034</v>
      </c>
      <c r="C2044" s="451">
        <f t="shared" ref="C2044:C2107" si="904">C2032</f>
        <v>6</v>
      </c>
      <c r="D2044" s="542">
        <f t="shared" ca="1" si="901"/>
        <v>11431</v>
      </c>
      <c r="E2044" s="542">
        <f t="shared" ca="1" si="901"/>
        <v>741</v>
      </c>
    </row>
    <row r="2045" spans="1:5">
      <c r="A2045" s="37" t="str">
        <f t="shared" si="902"/>
        <v>H</v>
      </c>
      <c r="B2045" s="541">
        <f t="shared" si="903"/>
        <v>2034</v>
      </c>
      <c r="C2045" s="451">
        <f t="shared" si="904"/>
        <v>7</v>
      </c>
      <c r="D2045" s="542">
        <f t="shared" ca="1" si="901"/>
        <v>11718</v>
      </c>
      <c r="E2045" s="542">
        <f t="shared" ca="1" si="901"/>
        <v>739</v>
      </c>
    </row>
    <row r="2046" spans="1:5">
      <c r="A2046" s="37" t="str">
        <f t="shared" si="902"/>
        <v>I</v>
      </c>
      <c r="B2046" s="541">
        <f t="shared" si="903"/>
        <v>2034</v>
      </c>
      <c r="C2046" s="451">
        <f t="shared" si="904"/>
        <v>8</v>
      </c>
      <c r="D2046" s="542">
        <f t="shared" ca="1" si="901"/>
        <v>12063</v>
      </c>
      <c r="E2046" s="542">
        <f t="shared" ca="1" si="901"/>
        <v>739</v>
      </c>
    </row>
    <row r="2047" spans="1:5">
      <c r="A2047" s="37" t="str">
        <f t="shared" si="902"/>
        <v>J</v>
      </c>
      <c r="B2047" s="541">
        <f t="shared" si="903"/>
        <v>2034</v>
      </c>
      <c r="C2047" s="451">
        <f t="shared" si="904"/>
        <v>9</v>
      </c>
      <c r="D2047" s="542">
        <f t="shared" ca="1" si="901"/>
        <v>10808</v>
      </c>
      <c r="E2047" s="542">
        <f t="shared" ca="1" si="901"/>
        <v>738</v>
      </c>
    </row>
    <row r="2048" spans="1:5">
      <c r="A2048" s="37" t="str">
        <f t="shared" si="902"/>
        <v>K</v>
      </c>
      <c r="B2048" s="541">
        <f t="shared" si="903"/>
        <v>2034</v>
      </c>
      <c r="C2048" s="451">
        <f t="shared" si="904"/>
        <v>10</v>
      </c>
      <c r="D2048" s="542">
        <f t="shared" ref="D2048:E2067" ca="1" si="905">ROUND(INDIRECT(CONCATENATE($A2048,D$1772+($B2048-2011))),0)</f>
        <v>10654</v>
      </c>
      <c r="E2048" s="542">
        <f t="shared" ca="1" si="905"/>
        <v>737</v>
      </c>
    </row>
    <row r="2049" spans="1:5">
      <c r="A2049" s="37" t="str">
        <f t="shared" si="902"/>
        <v>L</v>
      </c>
      <c r="B2049" s="541">
        <f t="shared" si="903"/>
        <v>2034</v>
      </c>
      <c r="C2049" s="451">
        <f t="shared" si="904"/>
        <v>11</v>
      </c>
      <c r="D2049" s="542">
        <f t="shared" ca="1" si="905"/>
        <v>8149</v>
      </c>
      <c r="E2049" s="542">
        <f t="shared" ca="1" si="905"/>
        <v>733</v>
      </c>
    </row>
    <row r="2050" spans="1:5">
      <c r="A2050" s="37" t="str">
        <f t="shared" si="902"/>
        <v>M</v>
      </c>
      <c r="B2050" s="541">
        <f t="shared" si="903"/>
        <v>2034</v>
      </c>
      <c r="C2050" s="451">
        <f t="shared" si="904"/>
        <v>12</v>
      </c>
      <c r="D2050" s="542">
        <f t="shared" ca="1" si="905"/>
        <v>9895</v>
      </c>
      <c r="E2050" s="542">
        <f t="shared" ca="1" si="905"/>
        <v>1338</v>
      </c>
    </row>
    <row r="2051" spans="1:5">
      <c r="A2051" s="37" t="str">
        <f t="shared" si="902"/>
        <v>B</v>
      </c>
      <c r="B2051" s="541">
        <f t="shared" si="903"/>
        <v>2035</v>
      </c>
      <c r="C2051" s="451">
        <f t="shared" si="904"/>
        <v>1</v>
      </c>
      <c r="D2051" s="542">
        <f t="shared" ca="1" si="905"/>
        <v>12416</v>
      </c>
      <c r="E2051" s="542">
        <f t="shared" ca="1" si="905"/>
        <v>1341</v>
      </c>
    </row>
    <row r="2052" spans="1:5">
      <c r="A2052" s="37" t="str">
        <f t="shared" si="902"/>
        <v>C</v>
      </c>
      <c r="B2052" s="541">
        <f t="shared" si="903"/>
        <v>2035</v>
      </c>
      <c r="C2052" s="451">
        <f t="shared" si="904"/>
        <v>2</v>
      </c>
      <c r="D2052" s="542">
        <f t="shared" ca="1" si="905"/>
        <v>10628</v>
      </c>
      <c r="E2052" s="542">
        <f t="shared" ca="1" si="905"/>
        <v>1337</v>
      </c>
    </row>
    <row r="2053" spans="1:5">
      <c r="A2053" s="37" t="str">
        <f t="shared" si="902"/>
        <v>D</v>
      </c>
      <c r="B2053" s="541">
        <f t="shared" si="903"/>
        <v>2035</v>
      </c>
      <c r="C2053" s="451">
        <f t="shared" si="904"/>
        <v>3</v>
      </c>
      <c r="D2053" s="542">
        <f t="shared" ca="1" si="905"/>
        <v>9671</v>
      </c>
      <c r="E2053" s="542">
        <f t="shared" ca="1" si="905"/>
        <v>1336</v>
      </c>
    </row>
    <row r="2054" spans="1:5">
      <c r="A2054" s="37" t="str">
        <f t="shared" si="902"/>
        <v>E</v>
      </c>
      <c r="B2054" s="541">
        <f t="shared" si="903"/>
        <v>2035</v>
      </c>
      <c r="C2054" s="451">
        <f t="shared" si="904"/>
        <v>4</v>
      </c>
      <c r="D2054" s="542">
        <f t="shared" ca="1" si="905"/>
        <v>10215</v>
      </c>
      <c r="E2054" s="542">
        <f t="shared" ca="1" si="905"/>
        <v>735</v>
      </c>
    </row>
    <row r="2055" spans="1:5">
      <c r="A2055" s="37" t="str">
        <f t="shared" si="902"/>
        <v>F</v>
      </c>
      <c r="B2055" s="541">
        <f t="shared" si="903"/>
        <v>2035</v>
      </c>
      <c r="C2055" s="451">
        <f t="shared" si="904"/>
        <v>5</v>
      </c>
      <c r="D2055" s="542">
        <f t="shared" ca="1" si="905"/>
        <v>11602</v>
      </c>
      <c r="E2055" s="542">
        <f t="shared" ca="1" si="905"/>
        <v>738</v>
      </c>
    </row>
    <row r="2056" spans="1:5">
      <c r="A2056" s="37" t="str">
        <f t="shared" si="902"/>
        <v>G</v>
      </c>
      <c r="B2056" s="541">
        <f t="shared" si="903"/>
        <v>2035</v>
      </c>
      <c r="C2056" s="451">
        <f t="shared" si="904"/>
        <v>6</v>
      </c>
      <c r="D2056" s="542">
        <f t="shared" ca="1" si="905"/>
        <v>11503</v>
      </c>
      <c r="E2056" s="542">
        <f t="shared" ca="1" si="905"/>
        <v>741</v>
      </c>
    </row>
    <row r="2057" spans="1:5">
      <c r="A2057" s="37" t="str">
        <f t="shared" si="902"/>
        <v>H</v>
      </c>
      <c r="B2057" s="541">
        <f t="shared" si="903"/>
        <v>2035</v>
      </c>
      <c r="C2057" s="451">
        <f t="shared" si="904"/>
        <v>7</v>
      </c>
      <c r="D2057" s="542">
        <f t="shared" ca="1" si="905"/>
        <v>11792</v>
      </c>
      <c r="E2057" s="542">
        <f t="shared" ca="1" si="905"/>
        <v>739</v>
      </c>
    </row>
    <row r="2058" spans="1:5">
      <c r="A2058" s="37" t="str">
        <f t="shared" si="902"/>
        <v>I</v>
      </c>
      <c r="B2058" s="541">
        <f t="shared" si="903"/>
        <v>2035</v>
      </c>
      <c r="C2058" s="451">
        <f t="shared" si="904"/>
        <v>8</v>
      </c>
      <c r="D2058" s="542">
        <f t="shared" ca="1" si="905"/>
        <v>12140</v>
      </c>
      <c r="E2058" s="542">
        <f t="shared" ca="1" si="905"/>
        <v>739</v>
      </c>
    </row>
    <row r="2059" spans="1:5">
      <c r="A2059" s="37" t="str">
        <f t="shared" si="902"/>
        <v>J</v>
      </c>
      <c r="B2059" s="541">
        <f t="shared" si="903"/>
        <v>2035</v>
      </c>
      <c r="C2059" s="451">
        <f t="shared" si="904"/>
        <v>9</v>
      </c>
      <c r="D2059" s="542">
        <f t="shared" ca="1" si="905"/>
        <v>10869</v>
      </c>
      <c r="E2059" s="542">
        <f t="shared" ca="1" si="905"/>
        <v>738</v>
      </c>
    </row>
    <row r="2060" spans="1:5">
      <c r="A2060" s="37" t="str">
        <f t="shared" si="902"/>
        <v>K</v>
      </c>
      <c r="B2060" s="541">
        <f t="shared" si="903"/>
        <v>2035</v>
      </c>
      <c r="C2060" s="451">
        <f t="shared" si="904"/>
        <v>10</v>
      </c>
      <c r="D2060" s="542">
        <f t="shared" ca="1" si="905"/>
        <v>10724</v>
      </c>
      <c r="E2060" s="542">
        <f t="shared" ca="1" si="905"/>
        <v>737</v>
      </c>
    </row>
    <row r="2061" spans="1:5">
      <c r="A2061" s="37" t="str">
        <f t="shared" si="902"/>
        <v>L</v>
      </c>
      <c r="B2061" s="541">
        <f t="shared" si="903"/>
        <v>2035</v>
      </c>
      <c r="C2061" s="451">
        <f t="shared" si="904"/>
        <v>11</v>
      </c>
      <c r="D2061" s="542">
        <f t="shared" ca="1" si="905"/>
        <v>8184</v>
      </c>
      <c r="E2061" s="542">
        <f t="shared" ca="1" si="905"/>
        <v>733</v>
      </c>
    </row>
    <row r="2062" spans="1:5">
      <c r="A2062" s="37" t="str">
        <f t="shared" si="902"/>
        <v>M</v>
      </c>
      <c r="B2062" s="541">
        <f t="shared" si="903"/>
        <v>2035</v>
      </c>
      <c r="C2062" s="451">
        <f t="shared" si="904"/>
        <v>12</v>
      </c>
      <c r="D2062" s="542">
        <f t="shared" ca="1" si="905"/>
        <v>9929</v>
      </c>
      <c r="E2062" s="542">
        <f t="shared" ca="1" si="905"/>
        <v>1338</v>
      </c>
    </row>
    <row r="2063" spans="1:5">
      <c r="A2063" s="37" t="str">
        <f t="shared" si="902"/>
        <v>B</v>
      </c>
      <c r="B2063" s="541">
        <f t="shared" si="903"/>
        <v>2036</v>
      </c>
      <c r="C2063" s="451">
        <f t="shared" si="904"/>
        <v>1</v>
      </c>
      <c r="D2063" s="542">
        <f t="shared" ca="1" si="905"/>
        <v>12477</v>
      </c>
      <c r="E2063" s="542">
        <f t="shared" ca="1" si="905"/>
        <v>1341</v>
      </c>
    </row>
    <row r="2064" spans="1:5">
      <c r="A2064" s="37" t="str">
        <f t="shared" si="902"/>
        <v>C</v>
      </c>
      <c r="B2064" s="541">
        <f t="shared" si="903"/>
        <v>2036</v>
      </c>
      <c r="C2064" s="451">
        <f t="shared" si="904"/>
        <v>2</v>
      </c>
      <c r="D2064" s="542">
        <f t="shared" ca="1" si="905"/>
        <v>10671</v>
      </c>
      <c r="E2064" s="542">
        <f t="shared" ca="1" si="905"/>
        <v>1337</v>
      </c>
    </row>
    <row r="2065" spans="1:5">
      <c r="A2065" s="37" t="str">
        <f t="shared" si="902"/>
        <v>D</v>
      </c>
      <c r="B2065" s="541">
        <f t="shared" si="903"/>
        <v>2036</v>
      </c>
      <c r="C2065" s="451">
        <f t="shared" si="904"/>
        <v>3</v>
      </c>
      <c r="D2065" s="542">
        <f t="shared" ca="1" si="905"/>
        <v>9717</v>
      </c>
      <c r="E2065" s="542">
        <f t="shared" ca="1" si="905"/>
        <v>1336</v>
      </c>
    </row>
    <row r="2066" spans="1:5">
      <c r="A2066" s="37" t="str">
        <f t="shared" si="902"/>
        <v>E</v>
      </c>
      <c r="B2066" s="541">
        <f t="shared" si="903"/>
        <v>2036</v>
      </c>
      <c r="C2066" s="451">
        <f t="shared" si="904"/>
        <v>4</v>
      </c>
      <c r="D2066" s="542">
        <f t="shared" ca="1" si="905"/>
        <v>10286</v>
      </c>
      <c r="E2066" s="542">
        <f t="shared" ca="1" si="905"/>
        <v>735</v>
      </c>
    </row>
    <row r="2067" spans="1:5">
      <c r="A2067" s="37" t="str">
        <f t="shared" si="902"/>
        <v>F</v>
      </c>
      <c r="B2067" s="541">
        <f t="shared" si="903"/>
        <v>2036</v>
      </c>
      <c r="C2067" s="451">
        <f t="shared" si="904"/>
        <v>5</v>
      </c>
      <c r="D2067" s="542">
        <f t="shared" ca="1" si="905"/>
        <v>11679</v>
      </c>
      <c r="E2067" s="542">
        <f t="shared" ca="1" si="905"/>
        <v>738</v>
      </c>
    </row>
    <row r="2068" spans="1:5">
      <c r="A2068" s="37" t="str">
        <f t="shared" si="902"/>
        <v>G</v>
      </c>
      <c r="B2068" s="541">
        <f t="shared" si="903"/>
        <v>2036</v>
      </c>
      <c r="C2068" s="451">
        <f t="shared" si="904"/>
        <v>6</v>
      </c>
      <c r="D2068" s="542">
        <f t="shared" ref="D2068:E2087" ca="1" si="906">ROUND(INDIRECT(CONCATENATE($A2068,D$1772+($B2068-2011))),0)</f>
        <v>11572</v>
      </c>
      <c r="E2068" s="542">
        <f t="shared" ca="1" si="906"/>
        <v>741</v>
      </c>
    </row>
    <row r="2069" spans="1:5">
      <c r="A2069" s="37" t="str">
        <f t="shared" si="902"/>
        <v>H</v>
      </c>
      <c r="B2069" s="541">
        <f t="shared" si="903"/>
        <v>2036</v>
      </c>
      <c r="C2069" s="451">
        <f t="shared" si="904"/>
        <v>7</v>
      </c>
      <c r="D2069" s="542">
        <f t="shared" ca="1" si="906"/>
        <v>11863</v>
      </c>
      <c r="E2069" s="542">
        <f t="shared" ca="1" si="906"/>
        <v>739</v>
      </c>
    </row>
    <row r="2070" spans="1:5">
      <c r="A2070" s="37" t="str">
        <f t="shared" si="902"/>
        <v>I</v>
      </c>
      <c r="B2070" s="541">
        <f t="shared" si="903"/>
        <v>2036</v>
      </c>
      <c r="C2070" s="451">
        <f t="shared" si="904"/>
        <v>8</v>
      </c>
      <c r="D2070" s="542">
        <f t="shared" ca="1" si="906"/>
        <v>12216</v>
      </c>
      <c r="E2070" s="542">
        <f t="shared" ca="1" si="906"/>
        <v>739</v>
      </c>
    </row>
    <row r="2071" spans="1:5">
      <c r="A2071" s="37" t="str">
        <f t="shared" si="902"/>
        <v>J</v>
      </c>
      <c r="B2071" s="541">
        <f t="shared" si="903"/>
        <v>2036</v>
      </c>
      <c r="C2071" s="451">
        <f t="shared" si="904"/>
        <v>9</v>
      </c>
      <c r="D2071" s="542">
        <f t="shared" ca="1" si="906"/>
        <v>10929</v>
      </c>
      <c r="E2071" s="542">
        <f t="shared" ca="1" si="906"/>
        <v>738</v>
      </c>
    </row>
    <row r="2072" spans="1:5">
      <c r="A2072" s="37" t="str">
        <f t="shared" si="902"/>
        <v>K</v>
      </c>
      <c r="B2072" s="541">
        <f t="shared" si="903"/>
        <v>2036</v>
      </c>
      <c r="C2072" s="451">
        <f t="shared" si="904"/>
        <v>10</v>
      </c>
      <c r="D2072" s="542">
        <f t="shared" ca="1" si="906"/>
        <v>10795</v>
      </c>
      <c r="E2072" s="542">
        <f t="shared" ca="1" si="906"/>
        <v>737</v>
      </c>
    </row>
    <row r="2073" spans="1:5">
      <c r="A2073" s="37" t="str">
        <f t="shared" si="902"/>
        <v>L</v>
      </c>
      <c r="B2073" s="541">
        <f t="shared" si="903"/>
        <v>2036</v>
      </c>
      <c r="C2073" s="451">
        <f t="shared" si="904"/>
        <v>11</v>
      </c>
      <c r="D2073" s="542">
        <f t="shared" ca="1" si="906"/>
        <v>8221</v>
      </c>
      <c r="E2073" s="542">
        <f t="shared" ca="1" si="906"/>
        <v>733</v>
      </c>
    </row>
    <row r="2074" spans="1:5">
      <c r="A2074" s="37" t="str">
        <f t="shared" si="902"/>
        <v>M</v>
      </c>
      <c r="B2074" s="541">
        <f t="shared" si="903"/>
        <v>2036</v>
      </c>
      <c r="C2074" s="451">
        <f t="shared" si="904"/>
        <v>12</v>
      </c>
      <c r="D2074" s="542">
        <f t="shared" ca="1" si="906"/>
        <v>9964</v>
      </c>
      <c r="E2074" s="542">
        <f t="shared" ca="1" si="906"/>
        <v>1338</v>
      </c>
    </row>
    <row r="2075" spans="1:5">
      <c r="A2075" s="37" t="str">
        <f t="shared" si="902"/>
        <v>B</v>
      </c>
      <c r="B2075" s="541">
        <f t="shared" si="903"/>
        <v>2037</v>
      </c>
      <c r="C2075" s="451">
        <f t="shared" si="904"/>
        <v>1</v>
      </c>
      <c r="D2075" s="542">
        <f t="shared" ca="1" si="906"/>
        <v>12539</v>
      </c>
      <c r="E2075" s="542">
        <f t="shared" ca="1" si="906"/>
        <v>1341</v>
      </c>
    </row>
    <row r="2076" spans="1:5">
      <c r="A2076" s="37" t="str">
        <f t="shared" si="902"/>
        <v>C</v>
      </c>
      <c r="B2076" s="541">
        <f t="shared" si="903"/>
        <v>2037</v>
      </c>
      <c r="C2076" s="451">
        <f t="shared" si="904"/>
        <v>2</v>
      </c>
      <c r="D2076" s="542">
        <f t="shared" ca="1" si="906"/>
        <v>10715</v>
      </c>
      <c r="E2076" s="542">
        <f t="shared" ca="1" si="906"/>
        <v>1337</v>
      </c>
    </row>
    <row r="2077" spans="1:5">
      <c r="A2077" s="37" t="str">
        <f t="shared" si="902"/>
        <v>D</v>
      </c>
      <c r="B2077" s="541">
        <f t="shared" si="903"/>
        <v>2037</v>
      </c>
      <c r="C2077" s="451">
        <f t="shared" si="904"/>
        <v>3</v>
      </c>
      <c r="D2077" s="542">
        <f t="shared" ca="1" si="906"/>
        <v>9762</v>
      </c>
      <c r="E2077" s="542">
        <f t="shared" ca="1" si="906"/>
        <v>1336</v>
      </c>
    </row>
    <row r="2078" spans="1:5">
      <c r="A2078" s="37" t="str">
        <f t="shared" si="902"/>
        <v>E</v>
      </c>
      <c r="B2078" s="541">
        <f t="shared" si="903"/>
        <v>2037</v>
      </c>
      <c r="C2078" s="451">
        <f t="shared" si="904"/>
        <v>4</v>
      </c>
      <c r="D2078" s="542">
        <f t="shared" ca="1" si="906"/>
        <v>10362</v>
      </c>
      <c r="E2078" s="542">
        <f t="shared" ca="1" si="906"/>
        <v>735</v>
      </c>
    </row>
    <row r="2079" spans="1:5">
      <c r="A2079" s="37" t="str">
        <f t="shared" si="902"/>
        <v>F</v>
      </c>
      <c r="B2079" s="541">
        <f t="shared" si="903"/>
        <v>2037</v>
      </c>
      <c r="C2079" s="451">
        <f t="shared" si="904"/>
        <v>5</v>
      </c>
      <c r="D2079" s="542">
        <f t="shared" ca="1" si="906"/>
        <v>11762</v>
      </c>
      <c r="E2079" s="542">
        <f t="shared" ca="1" si="906"/>
        <v>738</v>
      </c>
    </row>
    <row r="2080" spans="1:5">
      <c r="A2080" s="37" t="str">
        <f t="shared" si="902"/>
        <v>G</v>
      </c>
      <c r="B2080" s="541">
        <f t="shared" si="903"/>
        <v>2037</v>
      </c>
      <c r="C2080" s="451">
        <f t="shared" si="904"/>
        <v>6</v>
      </c>
      <c r="D2080" s="542">
        <f t="shared" ca="1" si="906"/>
        <v>11648</v>
      </c>
      <c r="E2080" s="542">
        <f t="shared" ca="1" si="906"/>
        <v>741</v>
      </c>
    </row>
    <row r="2081" spans="1:5">
      <c r="A2081" s="37" t="str">
        <f t="shared" si="902"/>
        <v>H</v>
      </c>
      <c r="B2081" s="541">
        <f t="shared" si="903"/>
        <v>2037</v>
      </c>
      <c r="C2081" s="451">
        <f t="shared" si="904"/>
        <v>7</v>
      </c>
      <c r="D2081" s="542">
        <f t="shared" ca="1" si="906"/>
        <v>11943</v>
      </c>
      <c r="E2081" s="542">
        <f t="shared" ca="1" si="906"/>
        <v>740</v>
      </c>
    </row>
    <row r="2082" spans="1:5">
      <c r="A2082" s="37" t="str">
        <f t="shared" si="902"/>
        <v>I</v>
      </c>
      <c r="B2082" s="541">
        <f t="shared" si="903"/>
        <v>2037</v>
      </c>
      <c r="C2082" s="451">
        <f t="shared" si="904"/>
        <v>8</v>
      </c>
      <c r="D2082" s="542">
        <f t="shared" ca="1" si="906"/>
        <v>12299</v>
      </c>
      <c r="E2082" s="542">
        <f t="shared" ca="1" si="906"/>
        <v>739</v>
      </c>
    </row>
    <row r="2083" spans="1:5">
      <c r="A2083" s="37" t="str">
        <f t="shared" si="902"/>
        <v>J</v>
      </c>
      <c r="B2083" s="541">
        <f t="shared" si="903"/>
        <v>2037</v>
      </c>
      <c r="C2083" s="451">
        <f t="shared" si="904"/>
        <v>9</v>
      </c>
      <c r="D2083" s="542">
        <f t="shared" ca="1" si="906"/>
        <v>10995</v>
      </c>
      <c r="E2083" s="542">
        <f t="shared" ca="1" si="906"/>
        <v>738</v>
      </c>
    </row>
    <row r="2084" spans="1:5">
      <c r="A2084" s="37" t="str">
        <f t="shared" si="902"/>
        <v>K</v>
      </c>
      <c r="B2084" s="541">
        <f t="shared" si="903"/>
        <v>2037</v>
      </c>
      <c r="C2084" s="451">
        <f t="shared" si="904"/>
        <v>10</v>
      </c>
      <c r="D2084" s="542">
        <f t="shared" ca="1" si="906"/>
        <v>10871</v>
      </c>
      <c r="E2084" s="542">
        <f t="shared" ca="1" si="906"/>
        <v>737</v>
      </c>
    </row>
    <row r="2085" spans="1:5">
      <c r="A2085" s="37" t="str">
        <f t="shared" si="902"/>
        <v>L</v>
      </c>
      <c r="B2085" s="541">
        <f t="shared" si="903"/>
        <v>2037</v>
      </c>
      <c r="C2085" s="451">
        <f t="shared" si="904"/>
        <v>11</v>
      </c>
      <c r="D2085" s="542">
        <f t="shared" ca="1" si="906"/>
        <v>8261</v>
      </c>
      <c r="E2085" s="542">
        <f t="shared" ca="1" si="906"/>
        <v>733</v>
      </c>
    </row>
    <row r="2086" spans="1:5">
      <c r="A2086" s="37" t="str">
        <f t="shared" si="902"/>
        <v>M</v>
      </c>
      <c r="B2086" s="541">
        <f t="shared" si="903"/>
        <v>2037</v>
      </c>
      <c r="C2086" s="451">
        <f t="shared" si="904"/>
        <v>12</v>
      </c>
      <c r="D2086" s="542">
        <f t="shared" ca="1" si="906"/>
        <v>10004</v>
      </c>
      <c r="E2086" s="542">
        <f t="shared" ca="1" si="906"/>
        <v>1339</v>
      </c>
    </row>
    <row r="2087" spans="1:5">
      <c r="A2087" s="37" t="str">
        <f t="shared" si="902"/>
        <v>B</v>
      </c>
      <c r="B2087" s="541">
        <f t="shared" si="903"/>
        <v>2038</v>
      </c>
      <c r="C2087" s="451">
        <f t="shared" si="904"/>
        <v>1</v>
      </c>
      <c r="D2087" s="542">
        <f t="shared" ca="1" si="906"/>
        <v>12608</v>
      </c>
      <c r="E2087" s="542">
        <f t="shared" ca="1" si="906"/>
        <v>1341</v>
      </c>
    </row>
    <row r="2088" spans="1:5">
      <c r="A2088" s="37" t="str">
        <f t="shared" si="902"/>
        <v>C</v>
      </c>
      <c r="B2088" s="541">
        <f t="shared" si="903"/>
        <v>2038</v>
      </c>
      <c r="C2088" s="451">
        <f t="shared" si="904"/>
        <v>2</v>
      </c>
      <c r="D2088" s="542">
        <f t="shared" ref="D2088:E2111" ca="1" si="907">ROUND(INDIRECT(CONCATENATE($A2088,D$1772+($B2088-2011))),0)</f>
        <v>10765</v>
      </c>
      <c r="E2088" s="542">
        <f t="shared" ca="1" si="907"/>
        <v>1337</v>
      </c>
    </row>
    <row r="2089" spans="1:5">
      <c r="A2089" s="37" t="str">
        <f t="shared" si="902"/>
        <v>D</v>
      </c>
      <c r="B2089" s="541">
        <f t="shared" si="903"/>
        <v>2038</v>
      </c>
      <c r="C2089" s="451">
        <f t="shared" si="904"/>
        <v>3</v>
      </c>
      <c r="D2089" s="542">
        <f t="shared" ca="1" si="907"/>
        <v>9811</v>
      </c>
      <c r="E2089" s="542">
        <f t="shared" ca="1" si="907"/>
        <v>1336</v>
      </c>
    </row>
    <row r="2090" spans="1:5">
      <c r="A2090" s="37" t="str">
        <f t="shared" si="902"/>
        <v>E</v>
      </c>
      <c r="B2090" s="541">
        <f t="shared" si="903"/>
        <v>2038</v>
      </c>
      <c r="C2090" s="451">
        <f t="shared" si="904"/>
        <v>4</v>
      </c>
      <c r="D2090" s="542">
        <f t="shared" ca="1" si="907"/>
        <v>10442</v>
      </c>
      <c r="E2090" s="542">
        <f t="shared" ca="1" si="907"/>
        <v>735</v>
      </c>
    </row>
    <row r="2091" spans="1:5">
      <c r="A2091" s="37" t="str">
        <f t="shared" si="902"/>
        <v>F</v>
      </c>
      <c r="B2091" s="541">
        <f t="shared" si="903"/>
        <v>2038</v>
      </c>
      <c r="C2091" s="451">
        <f t="shared" si="904"/>
        <v>5</v>
      </c>
      <c r="D2091" s="542">
        <f t="shared" ca="1" si="907"/>
        <v>11849</v>
      </c>
      <c r="E2091" s="542">
        <f t="shared" ca="1" si="907"/>
        <v>738</v>
      </c>
    </row>
    <row r="2092" spans="1:5">
      <c r="A2092" s="37" t="str">
        <f t="shared" si="902"/>
        <v>G</v>
      </c>
      <c r="B2092" s="541">
        <f t="shared" si="903"/>
        <v>2038</v>
      </c>
      <c r="C2092" s="451">
        <f t="shared" si="904"/>
        <v>6</v>
      </c>
      <c r="D2092" s="542">
        <f t="shared" ca="1" si="907"/>
        <v>11728</v>
      </c>
      <c r="E2092" s="542">
        <f t="shared" ca="1" si="907"/>
        <v>741</v>
      </c>
    </row>
    <row r="2093" spans="1:5">
      <c r="A2093" s="37" t="str">
        <f t="shared" si="902"/>
        <v>H</v>
      </c>
      <c r="B2093" s="541">
        <f t="shared" si="903"/>
        <v>2038</v>
      </c>
      <c r="C2093" s="451">
        <f t="shared" si="904"/>
        <v>7</v>
      </c>
      <c r="D2093" s="542">
        <f t="shared" ca="1" si="907"/>
        <v>12025</v>
      </c>
      <c r="E2093" s="542">
        <f t="shared" ca="1" si="907"/>
        <v>740</v>
      </c>
    </row>
    <row r="2094" spans="1:5">
      <c r="A2094" s="37" t="str">
        <f t="shared" si="902"/>
        <v>I</v>
      </c>
      <c r="B2094" s="541">
        <f t="shared" si="903"/>
        <v>2038</v>
      </c>
      <c r="C2094" s="451">
        <f t="shared" si="904"/>
        <v>8</v>
      </c>
      <c r="D2094" s="542">
        <f t="shared" ca="1" si="907"/>
        <v>12385</v>
      </c>
      <c r="E2094" s="542">
        <f t="shared" ca="1" si="907"/>
        <v>739</v>
      </c>
    </row>
    <row r="2095" spans="1:5">
      <c r="A2095" s="37" t="str">
        <f t="shared" si="902"/>
        <v>J</v>
      </c>
      <c r="B2095" s="541">
        <f t="shared" si="903"/>
        <v>2038</v>
      </c>
      <c r="C2095" s="451">
        <f t="shared" si="904"/>
        <v>9</v>
      </c>
      <c r="D2095" s="542">
        <f t="shared" ca="1" si="907"/>
        <v>11063</v>
      </c>
      <c r="E2095" s="542">
        <f t="shared" ca="1" si="907"/>
        <v>738</v>
      </c>
    </row>
    <row r="2096" spans="1:5">
      <c r="A2096" s="37" t="str">
        <f t="shared" si="902"/>
        <v>K</v>
      </c>
      <c r="B2096" s="541">
        <f t="shared" si="903"/>
        <v>2038</v>
      </c>
      <c r="C2096" s="451">
        <f t="shared" si="904"/>
        <v>10</v>
      </c>
      <c r="D2096" s="542">
        <f t="shared" ca="1" si="907"/>
        <v>10949</v>
      </c>
      <c r="E2096" s="542">
        <f t="shared" ca="1" si="907"/>
        <v>737</v>
      </c>
    </row>
    <row r="2097" spans="1:5">
      <c r="A2097" s="37" t="str">
        <f t="shared" si="902"/>
        <v>L</v>
      </c>
      <c r="B2097" s="541">
        <f t="shared" si="903"/>
        <v>2038</v>
      </c>
      <c r="C2097" s="451">
        <f t="shared" si="904"/>
        <v>11</v>
      </c>
      <c r="D2097" s="542">
        <f t="shared" ca="1" si="907"/>
        <v>8301</v>
      </c>
      <c r="E2097" s="542">
        <f t="shared" ca="1" si="907"/>
        <v>733</v>
      </c>
    </row>
    <row r="2098" spans="1:5">
      <c r="A2098" s="37" t="str">
        <f t="shared" si="902"/>
        <v>M</v>
      </c>
      <c r="B2098" s="541">
        <f t="shared" si="903"/>
        <v>2038</v>
      </c>
      <c r="C2098" s="451">
        <f t="shared" si="904"/>
        <v>12</v>
      </c>
      <c r="D2098" s="542">
        <f t="shared" ca="1" si="907"/>
        <v>10043</v>
      </c>
      <c r="E2098" s="542">
        <f t="shared" ca="1" si="907"/>
        <v>1339</v>
      </c>
    </row>
    <row r="2099" spans="1:5">
      <c r="A2099" s="37" t="str">
        <f t="shared" si="902"/>
        <v>B</v>
      </c>
      <c r="B2099" s="541">
        <f t="shared" si="903"/>
        <v>2039</v>
      </c>
      <c r="C2099" s="451">
        <f t="shared" si="904"/>
        <v>1</v>
      </c>
      <c r="D2099" s="542">
        <f t="shared" ca="1" si="907"/>
        <v>12676</v>
      </c>
      <c r="E2099" s="542">
        <f t="shared" ca="1" si="907"/>
        <v>1341</v>
      </c>
    </row>
    <row r="2100" spans="1:5">
      <c r="A2100" s="37" t="str">
        <f t="shared" si="902"/>
        <v>C</v>
      </c>
      <c r="B2100" s="541">
        <f t="shared" si="903"/>
        <v>2039</v>
      </c>
      <c r="C2100" s="451">
        <f t="shared" si="904"/>
        <v>2</v>
      </c>
      <c r="D2100" s="542">
        <f t="shared" ca="1" si="907"/>
        <v>10812</v>
      </c>
      <c r="E2100" s="542">
        <f t="shared" ca="1" si="907"/>
        <v>1337</v>
      </c>
    </row>
    <row r="2101" spans="1:5">
      <c r="A2101" s="37" t="str">
        <f t="shared" si="902"/>
        <v>D</v>
      </c>
      <c r="B2101" s="541">
        <f t="shared" si="903"/>
        <v>2039</v>
      </c>
      <c r="C2101" s="451">
        <f t="shared" si="904"/>
        <v>3</v>
      </c>
      <c r="D2101" s="542">
        <f t="shared" ca="1" si="907"/>
        <v>9863</v>
      </c>
      <c r="E2101" s="542">
        <f t="shared" ca="1" si="907"/>
        <v>1336</v>
      </c>
    </row>
    <row r="2102" spans="1:5">
      <c r="A2102" s="37" t="str">
        <f t="shared" si="902"/>
        <v>E</v>
      </c>
      <c r="B2102" s="541">
        <f t="shared" si="903"/>
        <v>2039</v>
      </c>
      <c r="C2102" s="451">
        <f t="shared" si="904"/>
        <v>4</v>
      </c>
      <c r="D2102" s="542">
        <f t="shared" ca="1" si="907"/>
        <v>10520</v>
      </c>
      <c r="E2102" s="542">
        <f t="shared" ca="1" si="907"/>
        <v>735</v>
      </c>
    </row>
    <row r="2103" spans="1:5">
      <c r="A2103" s="37" t="str">
        <f t="shared" si="902"/>
        <v>F</v>
      </c>
      <c r="B2103" s="541">
        <f t="shared" si="903"/>
        <v>2039</v>
      </c>
      <c r="C2103" s="451">
        <f t="shared" si="904"/>
        <v>5</v>
      </c>
      <c r="D2103" s="542">
        <f t="shared" ca="1" si="907"/>
        <v>11933</v>
      </c>
      <c r="E2103" s="542">
        <f t="shared" ca="1" si="907"/>
        <v>738</v>
      </c>
    </row>
    <row r="2104" spans="1:5">
      <c r="A2104" s="37" t="str">
        <f t="shared" si="902"/>
        <v>G</v>
      </c>
      <c r="B2104" s="541">
        <f t="shared" si="903"/>
        <v>2039</v>
      </c>
      <c r="C2104" s="451">
        <f t="shared" si="904"/>
        <v>6</v>
      </c>
      <c r="D2104" s="542">
        <f t="shared" ca="1" si="907"/>
        <v>11803</v>
      </c>
      <c r="E2104" s="542">
        <f t="shared" ca="1" si="907"/>
        <v>741</v>
      </c>
    </row>
    <row r="2105" spans="1:5">
      <c r="A2105" s="37" t="str">
        <f t="shared" si="902"/>
        <v>H</v>
      </c>
      <c r="B2105" s="541">
        <f t="shared" si="903"/>
        <v>2039</v>
      </c>
      <c r="C2105" s="451">
        <f t="shared" si="904"/>
        <v>7</v>
      </c>
      <c r="D2105" s="542">
        <f t="shared" ca="1" si="907"/>
        <v>12103</v>
      </c>
      <c r="E2105" s="542">
        <f t="shared" ca="1" si="907"/>
        <v>740</v>
      </c>
    </row>
    <row r="2106" spans="1:5">
      <c r="A2106" s="37" t="str">
        <f t="shared" si="902"/>
        <v>I</v>
      </c>
      <c r="B2106" s="541">
        <f t="shared" si="903"/>
        <v>2039</v>
      </c>
      <c r="C2106" s="451">
        <f t="shared" si="904"/>
        <v>8</v>
      </c>
      <c r="D2106" s="542">
        <f t="shared" ca="1" si="907"/>
        <v>12468</v>
      </c>
      <c r="E2106" s="542">
        <f t="shared" ca="1" si="907"/>
        <v>739</v>
      </c>
    </row>
    <row r="2107" spans="1:5">
      <c r="A2107" s="37" t="str">
        <f t="shared" si="902"/>
        <v>J</v>
      </c>
      <c r="B2107" s="541">
        <f t="shared" si="903"/>
        <v>2039</v>
      </c>
      <c r="C2107" s="451">
        <f t="shared" si="904"/>
        <v>9</v>
      </c>
      <c r="D2107" s="542">
        <f t="shared" ca="1" si="907"/>
        <v>11129</v>
      </c>
      <c r="E2107" s="542">
        <f t="shared" ca="1" si="907"/>
        <v>738</v>
      </c>
    </row>
    <row r="2108" spans="1:5">
      <c r="A2108" s="37" t="str">
        <f t="shared" ref="A2108:A2124" si="908">A2096</f>
        <v>K</v>
      </c>
      <c r="B2108" s="541">
        <f t="shared" ref="B2108:B2124" si="909">B2096+1</f>
        <v>2039</v>
      </c>
      <c r="C2108" s="451">
        <f t="shared" ref="C2108:C2124" si="910">C2096</f>
        <v>10</v>
      </c>
      <c r="D2108" s="542">
        <f t="shared" ca="1" si="907"/>
        <v>11024</v>
      </c>
      <c r="E2108" s="542">
        <f t="shared" ca="1" si="907"/>
        <v>737</v>
      </c>
    </row>
    <row r="2109" spans="1:5">
      <c r="A2109" s="37" t="str">
        <f t="shared" si="908"/>
        <v>L</v>
      </c>
      <c r="B2109" s="541">
        <f t="shared" si="909"/>
        <v>2039</v>
      </c>
      <c r="C2109" s="451">
        <f t="shared" si="910"/>
        <v>11</v>
      </c>
      <c r="D2109" s="542">
        <f t="shared" ca="1" si="907"/>
        <v>8341</v>
      </c>
      <c r="E2109" s="542">
        <f t="shared" ca="1" si="907"/>
        <v>733</v>
      </c>
    </row>
    <row r="2110" spans="1:5">
      <c r="A2110" s="37" t="str">
        <f t="shared" si="908"/>
        <v>M</v>
      </c>
      <c r="B2110" s="541">
        <f t="shared" si="909"/>
        <v>2039</v>
      </c>
      <c r="C2110" s="451">
        <f t="shared" si="910"/>
        <v>12</v>
      </c>
      <c r="D2110" s="542">
        <f t="shared" ca="1" si="907"/>
        <v>10082</v>
      </c>
      <c r="E2110" s="542">
        <f t="shared" ca="1" si="907"/>
        <v>1339</v>
      </c>
    </row>
    <row r="2111" spans="1:5">
      <c r="A2111" s="37" t="str">
        <f t="shared" si="908"/>
        <v>B</v>
      </c>
      <c r="B2111" s="541">
        <f t="shared" si="909"/>
        <v>2040</v>
      </c>
      <c r="C2111" s="451">
        <f t="shared" si="910"/>
        <v>1</v>
      </c>
      <c r="D2111" s="542">
        <f t="shared" ca="1" si="907"/>
        <v>12744</v>
      </c>
      <c r="E2111" s="542">
        <f t="shared" ca="1" si="907"/>
        <v>1341</v>
      </c>
    </row>
    <row r="2112" spans="1:5">
      <c r="A2112" s="37" t="str">
        <f t="shared" si="908"/>
        <v>C</v>
      </c>
      <c r="B2112" s="541">
        <f t="shared" si="909"/>
        <v>2040</v>
      </c>
      <c r="C2112" s="451">
        <f t="shared" si="910"/>
        <v>2</v>
      </c>
      <c r="D2112" s="542">
        <f t="shared" ref="D2112:E2124" ca="1" si="911">ROUND(INDIRECT(CONCATENATE($A2112,D$1772+($B2112-2011))),0)</f>
        <v>10862</v>
      </c>
      <c r="E2112" s="542">
        <f t="shared" ca="1" si="911"/>
        <v>1337</v>
      </c>
    </row>
    <row r="2113" spans="1:5">
      <c r="A2113" s="37" t="str">
        <f t="shared" si="908"/>
        <v>D</v>
      </c>
      <c r="B2113" s="541">
        <f t="shared" si="909"/>
        <v>2040</v>
      </c>
      <c r="C2113" s="451">
        <f t="shared" si="910"/>
        <v>3</v>
      </c>
      <c r="D2113" s="542">
        <f t="shared" ca="1" si="911"/>
        <v>9913</v>
      </c>
      <c r="E2113" s="542">
        <f t="shared" ca="1" si="911"/>
        <v>1336</v>
      </c>
    </row>
    <row r="2114" spans="1:5">
      <c r="A2114" s="37" t="str">
        <f t="shared" si="908"/>
        <v>E</v>
      </c>
      <c r="B2114" s="541">
        <f t="shared" si="909"/>
        <v>2040</v>
      </c>
      <c r="C2114" s="451">
        <f t="shared" si="910"/>
        <v>4</v>
      </c>
      <c r="D2114" s="542">
        <f t="shared" ca="1" si="911"/>
        <v>10599</v>
      </c>
      <c r="E2114" s="542">
        <f t="shared" ca="1" si="911"/>
        <v>735</v>
      </c>
    </row>
    <row r="2115" spans="1:5">
      <c r="A2115" s="37" t="str">
        <f t="shared" si="908"/>
        <v>F</v>
      </c>
      <c r="B2115" s="541">
        <f t="shared" si="909"/>
        <v>2040</v>
      </c>
      <c r="C2115" s="451">
        <f t="shared" si="910"/>
        <v>5</v>
      </c>
      <c r="D2115" s="542">
        <f t="shared" ca="1" si="911"/>
        <v>12019</v>
      </c>
      <c r="E2115" s="542">
        <f t="shared" ca="1" si="911"/>
        <v>738</v>
      </c>
    </row>
    <row r="2116" spans="1:5">
      <c r="A2116" s="37" t="str">
        <f t="shared" si="908"/>
        <v>G</v>
      </c>
      <c r="B2116" s="541">
        <f t="shared" si="909"/>
        <v>2040</v>
      </c>
      <c r="C2116" s="451">
        <f t="shared" si="910"/>
        <v>6</v>
      </c>
      <c r="D2116" s="542">
        <f t="shared" ca="1" si="911"/>
        <v>11882</v>
      </c>
      <c r="E2116" s="542">
        <f t="shared" ca="1" si="911"/>
        <v>741</v>
      </c>
    </row>
    <row r="2117" spans="1:5">
      <c r="A2117" s="37" t="str">
        <f t="shared" si="908"/>
        <v>H</v>
      </c>
      <c r="B2117" s="541">
        <f t="shared" si="909"/>
        <v>2040</v>
      </c>
      <c r="C2117" s="451">
        <f t="shared" si="910"/>
        <v>7</v>
      </c>
      <c r="D2117" s="542">
        <f t="shared" ca="1" si="911"/>
        <v>12184</v>
      </c>
      <c r="E2117" s="542">
        <f t="shared" ca="1" si="911"/>
        <v>740</v>
      </c>
    </row>
    <row r="2118" spans="1:5">
      <c r="A2118" s="37" t="str">
        <f t="shared" si="908"/>
        <v>I</v>
      </c>
      <c r="B2118" s="541">
        <f t="shared" si="909"/>
        <v>2040</v>
      </c>
      <c r="C2118" s="451">
        <f t="shared" si="910"/>
        <v>8</v>
      </c>
      <c r="D2118" s="542">
        <f t="shared" ca="1" si="911"/>
        <v>12550</v>
      </c>
      <c r="E2118" s="542">
        <f t="shared" ca="1" si="911"/>
        <v>739</v>
      </c>
    </row>
    <row r="2119" spans="1:5">
      <c r="A2119" s="37" t="str">
        <f t="shared" si="908"/>
        <v>J</v>
      </c>
      <c r="B2119" s="541">
        <f t="shared" si="909"/>
        <v>2040</v>
      </c>
      <c r="C2119" s="451">
        <f t="shared" si="910"/>
        <v>9</v>
      </c>
      <c r="D2119" s="542">
        <f t="shared" ca="1" si="911"/>
        <v>11195</v>
      </c>
      <c r="E2119" s="542">
        <f t="shared" ca="1" si="911"/>
        <v>738</v>
      </c>
    </row>
    <row r="2120" spans="1:5">
      <c r="A2120" s="37" t="str">
        <f t="shared" si="908"/>
        <v>K</v>
      </c>
      <c r="B2120" s="541">
        <f t="shared" si="909"/>
        <v>2040</v>
      </c>
      <c r="C2120" s="451">
        <f t="shared" si="910"/>
        <v>10</v>
      </c>
      <c r="D2120" s="542">
        <f t="shared" ca="1" si="911"/>
        <v>11099</v>
      </c>
      <c r="E2120" s="542">
        <f t="shared" ca="1" si="911"/>
        <v>737</v>
      </c>
    </row>
    <row r="2121" spans="1:5">
      <c r="A2121" s="37" t="str">
        <f t="shared" si="908"/>
        <v>L</v>
      </c>
      <c r="B2121" s="541">
        <f t="shared" si="909"/>
        <v>2040</v>
      </c>
      <c r="C2121" s="451">
        <f t="shared" si="910"/>
        <v>11</v>
      </c>
      <c r="D2121" s="542">
        <f t="shared" ca="1" si="911"/>
        <v>8381</v>
      </c>
      <c r="E2121" s="542">
        <f t="shared" ca="1" si="911"/>
        <v>733</v>
      </c>
    </row>
    <row r="2122" spans="1:5">
      <c r="A2122" s="37" t="str">
        <f t="shared" si="908"/>
        <v>M</v>
      </c>
      <c r="B2122" s="541">
        <f t="shared" si="909"/>
        <v>2040</v>
      </c>
      <c r="C2122" s="451">
        <f t="shared" si="910"/>
        <v>12</v>
      </c>
      <c r="D2122" s="542">
        <f t="shared" ca="1" si="911"/>
        <v>10121</v>
      </c>
      <c r="E2122" s="542">
        <f t="shared" ca="1" si="911"/>
        <v>1339</v>
      </c>
    </row>
    <row r="2123" spans="1:5">
      <c r="A2123" s="37" t="str">
        <f t="shared" si="908"/>
        <v>B</v>
      </c>
      <c r="B2123" s="541">
        <f t="shared" si="909"/>
        <v>2041</v>
      </c>
      <c r="C2123" s="451">
        <f t="shared" si="910"/>
        <v>1</v>
      </c>
      <c r="D2123" s="542">
        <f t="shared" ca="1" si="911"/>
        <v>0</v>
      </c>
      <c r="E2123" s="542">
        <f t="shared" ca="1" si="911"/>
        <v>0</v>
      </c>
    </row>
    <row r="2124" spans="1:5">
      <c r="A2124" s="37" t="str">
        <f t="shared" si="908"/>
        <v>C</v>
      </c>
      <c r="B2124" s="541">
        <f t="shared" si="909"/>
        <v>2041</v>
      </c>
      <c r="C2124" s="451">
        <f t="shared" si="910"/>
        <v>2</v>
      </c>
      <c r="D2124" s="542">
        <f t="shared" ca="1" si="911"/>
        <v>0</v>
      </c>
      <c r="E2124" s="542">
        <f t="shared" ca="1" si="911"/>
        <v>0</v>
      </c>
    </row>
  </sheetData>
  <mergeCells count="2">
    <mergeCell ref="A1160:N1160"/>
    <mergeCell ref="AI601:AO601"/>
  </mergeCells>
  <phoneticPr fontId="52" type="noConversion"/>
  <printOptions horizontalCentered="1"/>
  <pageMargins left="0.25" right="0.25" top="0.5" bottom="0.75" header="0" footer="0.25"/>
  <pageSetup scale="10" orientation="landscape" verticalDpi="300" r:id="rId1"/>
  <headerFooter alignWithMargins="0">
    <oddFooter>&amp;LLoad Forecasting : &amp;D&amp;R14LGBRA-NRGPOD1-6-DOC 38
14BGBRA-STAFFROG1-19A-DOC 38</oddFooter>
  </headerFooter>
  <rowBreaks count="13" manualBreakCount="13">
    <brk id="77" max="13" man="1"/>
    <brk id="503" max="13" man="1"/>
    <brk id="583" max="13" man="1"/>
    <brk id="623" max="13" man="1"/>
    <brk id="677" max="13" man="1"/>
    <brk id="757" max="13" man="1"/>
    <brk id="942" max="13" man="1"/>
    <brk id="1061" min="15" max="28" man="1"/>
    <brk id="1062" max="13" man="1"/>
    <brk id="1221" max="13" man="1"/>
    <brk id="1316" max="13" man="1"/>
    <brk id="1437" max="13" man="1"/>
    <brk id="1517" max="13" man="1"/>
  </rowBreaks>
  <colBreaks count="2" manualBreakCount="2">
    <brk id="29" min="600" max="636" man="1"/>
    <brk id="59" min="600" max="636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N152"/>
  <sheetViews>
    <sheetView showGridLines="0" tabSelected="1" zoomScale="80" zoomScaleNormal="80" workbookViewId="0">
      <selection activeCell="AR47" sqref="AR47"/>
    </sheetView>
  </sheetViews>
  <sheetFormatPr defaultRowHeight="12.75"/>
  <cols>
    <col min="1" max="1" width="6.42578125" bestFit="1" customWidth="1"/>
    <col min="2" max="2" width="11.28515625" bestFit="1" customWidth="1"/>
    <col min="3" max="3" width="8" bestFit="1" customWidth="1"/>
    <col min="4" max="4" width="8.85546875" bestFit="1" customWidth="1"/>
    <col min="5" max="5" width="10.140625" bestFit="1" customWidth="1"/>
    <col min="6" max="6" width="8.28515625" bestFit="1" customWidth="1"/>
    <col min="7" max="7" width="12.5703125" customWidth="1"/>
    <col min="8" max="8" width="8.140625" style="321" customWidth="1"/>
    <col min="9" max="9" width="6.7109375" style="321" customWidth="1"/>
    <col min="10" max="10" width="6.85546875" style="321" customWidth="1"/>
    <col min="11" max="11" width="7.140625" style="321" customWidth="1"/>
    <col min="12" max="12" width="7.85546875" customWidth="1"/>
    <col min="13" max="13" width="1.140625" customWidth="1"/>
    <col min="14" max="14" width="5.28515625" style="321" customWidth="1"/>
    <col min="15" max="15" width="9" bestFit="1" customWidth="1"/>
    <col min="16" max="16" width="7.42578125" bestFit="1" customWidth="1"/>
    <col min="17" max="17" width="7.7109375" bestFit="1" customWidth="1"/>
    <col min="18" max="18" width="7.85546875" bestFit="1" customWidth="1"/>
    <col min="19" max="19" width="8.42578125" customWidth="1"/>
    <col min="20" max="20" width="12.85546875" customWidth="1"/>
    <col min="21" max="21" width="8.5703125" bestFit="1" customWidth="1"/>
    <col min="22" max="22" width="8.5703125" customWidth="1"/>
    <col min="23" max="23" width="11.85546875" bestFit="1" customWidth="1"/>
    <col min="24" max="24" width="7.28515625" customWidth="1"/>
    <col min="25" max="25" width="6.28515625" customWidth="1"/>
    <col min="26" max="26" width="10.28515625" bestFit="1" customWidth="1"/>
    <col min="27" max="27" width="3.7109375" customWidth="1"/>
    <col min="29" max="29" width="4.28515625" customWidth="1"/>
    <col min="31" max="31" width="4" customWidth="1"/>
    <col min="33" max="33" width="3.42578125" customWidth="1"/>
    <col min="35" max="35" width="12" bestFit="1" customWidth="1"/>
    <col min="37" max="37" width="2.85546875" customWidth="1"/>
    <col min="39" max="39" width="12.140625" bestFit="1" customWidth="1"/>
  </cols>
  <sheetData>
    <row r="1" spans="1:40" ht="13.5" thickBot="1">
      <c r="A1" s="1621" t="s">
        <v>365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T1" s="1094" t="s">
        <v>624</v>
      </c>
      <c r="U1" s="889"/>
      <c r="V1" s="723"/>
    </row>
    <row r="2" spans="1:40">
      <c r="B2" s="1396" t="s">
        <v>590</v>
      </c>
      <c r="C2" s="1396"/>
      <c r="D2" s="1396"/>
      <c r="E2" s="1332"/>
      <c r="Y2" s="1639" t="str">
        <f>T3</f>
        <v>FALL 2013</v>
      </c>
      <c r="Z2" s="1639"/>
      <c r="AA2" s="1639"/>
      <c r="AB2" s="1639"/>
      <c r="AC2" s="1639"/>
      <c r="AD2" s="1639"/>
      <c r="AE2" s="1639"/>
      <c r="AF2" s="1639"/>
      <c r="AG2" s="1639"/>
      <c r="AH2" s="1639"/>
      <c r="AI2" s="1639"/>
      <c r="AJ2" s="1639"/>
      <c r="AK2" s="1639"/>
      <c r="AL2" s="1639"/>
      <c r="AM2" s="1639"/>
      <c r="AN2" s="1639"/>
    </row>
    <row r="3" spans="1:40">
      <c r="A3" s="1626" t="s">
        <v>560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  <c r="Q3" s="1627"/>
      <c r="R3" s="1628"/>
      <c r="T3" s="1646" t="str">
        <f>A3</f>
        <v>FALL 2013</v>
      </c>
      <c r="U3" s="1646"/>
      <c r="V3" s="1646"/>
      <c r="W3" s="1646"/>
      <c r="X3" s="1646"/>
      <c r="Y3" s="945"/>
      <c r="Z3" s="945"/>
      <c r="AA3" s="945"/>
      <c r="AB3" s="946"/>
      <c r="AC3" s="946"/>
      <c r="AD3" s="946"/>
      <c r="AE3" s="946"/>
      <c r="AF3" s="946"/>
      <c r="AG3" s="946"/>
      <c r="AH3" s="946"/>
      <c r="AI3" s="946"/>
      <c r="AJ3" s="946"/>
      <c r="AK3" s="946"/>
      <c r="AL3" s="946"/>
      <c r="AM3" s="946"/>
      <c r="AN3" s="946"/>
    </row>
    <row r="4" spans="1:40">
      <c r="A4" s="166"/>
      <c r="B4" s="520"/>
      <c r="C4" s="520"/>
      <c r="D4" s="520"/>
      <c r="E4" s="1092" t="s">
        <v>615</v>
      </c>
      <c r="F4" s="728" t="s">
        <v>21</v>
      </c>
      <c r="G4" s="728"/>
      <c r="H4" s="728"/>
      <c r="I4" s="728"/>
      <c r="J4" s="728"/>
      <c r="K4" s="728"/>
      <c r="L4" s="728"/>
      <c r="M4" s="728"/>
      <c r="N4" s="728"/>
      <c r="O4" s="728" t="str">
        <f>F4</f>
        <v>Total</v>
      </c>
      <c r="P4" s="728"/>
      <c r="Q4" s="728"/>
      <c r="R4" s="612"/>
      <c r="S4" s="28"/>
      <c r="T4" s="1643" t="s">
        <v>261</v>
      </c>
      <c r="U4" s="1644"/>
      <c r="V4" s="1644"/>
      <c r="W4" s="1644"/>
      <c r="X4" s="1645"/>
      <c r="Y4" s="962"/>
      <c r="Z4" s="1640" t="s">
        <v>434</v>
      </c>
      <c r="AA4" s="1641"/>
      <c r="AB4" s="1642"/>
      <c r="AC4" s="946"/>
      <c r="AD4" s="1640" t="s">
        <v>415</v>
      </c>
      <c r="AE4" s="1641"/>
      <c r="AF4" s="1642"/>
      <c r="AG4" s="946"/>
      <c r="AH4" s="1640" t="s">
        <v>432</v>
      </c>
      <c r="AI4" s="1641"/>
      <c r="AJ4" s="1642"/>
      <c r="AK4" s="946"/>
      <c r="AL4" s="1640" t="s">
        <v>433</v>
      </c>
      <c r="AM4" s="1641"/>
      <c r="AN4" s="1642"/>
    </row>
    <row r="5" spans="1:40">
      <c r="A5" s="167"/>
      <c r="B5" s="170"/>
      <c r="C5" s="170"/>
      <c r="D5" s="170"/>
      <c r="E5" s="1354" t="s">
        <v>586</v>
      </c>
      <c r="F5" s="591" t="s">
        <v>118</v>
      </c>
      <c r="G5" s="591"/>
      <c r="H5" s="1618" t="s">
        <v>123</v>
      </c>
      <c r="I5" s="1619"/>
      <c r="J5" s="1619"/>
      <c r="K5" s="1619"/>
      <c r="L5" s="1620"/>
      <c r="M5" s="591"/>
      <c r="N5" s="729"/>
      <c r="O5" s="591" t="s">
        <v>125</v>
      </c>
      <c r="P5" s="591"/>
      <c r="Q5" s="591"/>
      <c r="R5" s="613" t="s">
        <v>21</v>
      </c>
      <c r="S5" s="28"/>
      <c r="T5" s="985" t="s">
        <v>591</v>
      </c>
      <c r="V5" s="888" t="s">
        <v>417</v>
      </c>
      <c r="Y5" s="946"/>
      <c r="Z5" s="947"/>
      <c r="AA5" s="948"/>
      <c r="AB5" s="948"/>
      <c r="AC5" s="946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</row>
    <row r="6" spans="1:40">
      <c r="A6" s="167"/>
      <c r="B6" s="170" t="s">
        <v>117</v>
      </c>
      <c r="C6" s="170" t="s">
        <v>118</v>
      </c>
      <c r="D6" s="170" t="s">
        <v>21</v>
      </c>
      <c r="E6" s="591" t="s">
        <v>121</v>
      </c>
      <c r="F6" s="591" t="s">
        <v>122</v>
      </c>
      <c r="G6" s="591"/>
      <c r="H6" s="728" t="s">
        <v>21</v>
      </c>
      <c r="I6" s="728" t="s">
        <v>288</v>
      </c>
      <c r="J6" s="728"/>
      <c r="K6" s="730" t="s">
        <v>349</v>
      </c>
      <c r="L6" s="728"/>
      <c r="M6" s="591"/>
      <c r="N6" s="591" t="s">
        <v>264</v>
      </c>
      <c r="O6" s="591" t="str">
        <f>F6</f>
        <v>before</v>
      </c>
      <c r="P6" s="591" t="s">
        <v>21</v>
      </c>
      <c r="Q6" s="729" t="s">
        <v>147</v>
      </c>
      <c r="R6" s="613" t="s">
        <v>125</v>
      </c>
      <c r="S6" s="28"/>
      <c r="T6" s="725" t="s">
        <v>222</v>
      </c>
      <c r="V6" s="725" t="s">
        <v>367</v>
      </c>
      <c r="X6" s="321" t="s">
        <v>353</v>
      </c>
      <c r="Y6" s="946"/>
      <c r="Z6" s="1191" t="s">
        <v>413</v>
      </c>
      <c r="AA6" s="950"/>
      <c r="AB6" s="949" t="s">
        <v>414</v>
      </c>
      <c r="AC6" s="946"/>
      <c r="AD6" s="951" t="s">
        <v>158</v>
      </c>
      <c r="AE6" s="951"/>
      <c r="AF6" s="951" t="s">
        <v>159</v>
      </c>
      <c r="AG6" s="946"/>
      <c r="AH6" s="951" t="s">
        <v>118</v>
      </c>
      <c r="AI6" s="951" t="s">
        <v>416</v>
      </c>
      <c r="AJ6" s="952" t="s">
        <v>125</v>
      </c>
      <c r="AK6" s="946"/>
      <c r="AL6" s="951" t="s">
        <v>118</v>
      </c>
      <c r="AM6" s="951" t="s">
        <v>416</v>
      </c>
      <c r="AN6" s="952" t="s">
        <v>125</v>
      </c>
    </row>
    <row r="7" spans="1:40">
      <c r="A7" s="168" t="s">
        <v>126</v>
      </c>
      <c r="B7" s="519" t="s">
        <v>118</v>
      </c>
      <c r="C7" s="519" t="s">
        <v>66</v>
      </c>
      <c r="D7" s="519" t="s">
        <v>118</v>
      </c>
      <c r="E7" s="731" t="s">
        <v>59</v>
      </c>
      <c r="F7" s="731" t="s">
        <v>62</v>
      </c>
      <c r="G7" s="731"/>
      <c r="H7" s="732" t="s">
        <v>154</v>
      </c>
      <c r="I7" s="732" t="s">
        <v>286</v>
      </c>
      <c r="J7" s="731" t="s">
        <v>287</v>
      </c>
      <c r="K7" s="733" t="s">
        <v>117</v>
      </c>
      <c r="L7" s="731" t="s">
        <v>0</v>
      </c>
      <c r="M7" s="731"/>
      <c r="N7" s="731" t="s">
        <v>124</v>
      </c>
      <c r="O7" s="731" t="str">
        <f>F7</f>
        <v>DLC</v>
      </c>
      <c r="P7" s="731" t="s">
        <v>66</v>
      </c>
      <c r="Q7" s="731" t="s">
        <v>131</v>
      </c>
      <c r="R7" s="614" t="s">
        <v>117</v>
      </c>
      <c r="S7" s="448" t="s">
        <v>126</v>
      </c>
      <c r="T7" s="883" t="s">
        <v>221</v>
      </c>
      <c r="U7" s="446" t="s">
        <v>223</v>
      </c>
      <c r="V7" s="783" t="s">
        <v>368</v>
      </c>
      <c r="W7" s="782" t="s">
        <v>219</v>
      </c>
      <c r="X7" s="446" t="s">
        <v>220</v>
      </c>
      <c r="Y7" s="986" t="s">
        <v>126</v>
      </c>
      <c r="Z7" s="1192" t="s">
        <v>62</v>
      </c>
      <c r="AA7" s="946"/>
      <c r="AB7" s="953" t="s">
        <v>62</v>
      </c>
      <c r="AC7" s="946"/>
      <c r="AD7" s="954" t="s">
        <v>26</v>
      </c>
      <c r="AE7" s="951"/>
      <c r="AF7" s="954" t="s">
        <v>26</v>
      </c>
      <c r="AG7" s="946"/>
      <c r="AH7" s="955" t="s">
        <v>26</v>
      </c>
      <c r="AI7" s="955" t="s">
        <v>26</v>
      </c>
      <c r="AJ7" s="955" t="s">
        <v>26</v>
      </c>
      <c r="AK7" s="956"/>
      <c r="AL7" s="955" t="s">
        <v>26</v>
      </c>
      <c r="AM7" s="955" t="s">
        <v>26</v>
      </c>
      <c r="AN7" s="955" t="s">
        <v>26</v>
      </c>
    </row>
    <row r="8" spans="1:40" s="28" customFormat="1" hidden="1">
      <c r="A8" s="169">
        <v>2013</v>
      </c>
      <c r="B8" s="522">
        <f>'Monthly Peaks'!B446</f>
        <v>5248</v>
      </c>
      <c r="C8" s="522">
        <f>'Monthly Peaks'!B486</f>
        <v>232</v>
      </c>
      <c r="D8" s="522">
        <f t="shared" ref="D8:D9" si="0">C8+B8</f>
        <v>5480</v>
      </c>
      <c r="E8" s="592">
        <f>'Monthly Peaks'!B566*-1</f>
        <v>0</v>
      </c>
      <c r="F8" s="592">
        <f t="shared" ref="F8:F9" si="1">D8+E8</f>
        <v>5480</v>
      </c>
      <c r="G8" s="592"/>
      <c r="H8" s="713">
        <f>'Monthly Peaks'!B246</f>
        <v>600</v>
      </c>
      <c r="I8" s="713">
        <f>'Monthly Peaks'!B326</f>
        <v>45.629999999999995</v>
      </c>
      <c r="J8" s="713">
        <f>'Monthly Peaks'!B286</f>
        <v>236.08999999999997</v>
      </c>
      <c r="K8" s="734">
        <f>'Monthly Peaks'!B1046</f>
        <v>15.01</v>
      </c>
      <c r="L8" s="592">
        <f t="shared" ref="L8:L9" si="2">SUM(H8:K8)</f>
        <v>896.73</v>
      </c>
      <c r="M8" s="592"/>
      <c r="N8" s="592">
        <f>'Monthly Peaks'!B366</f>
        <v>0</v>
      </c>
      <c r="O8" s="592">
        <f t="shared" ref="O8:O9" si="3">N8+L8+F8</f>
        <v>6376.73</v>
      </c>
      <c r="P8" s="322">
        <f t="shared" ref="P8:P9" si="4">(C8+K8)*-1</f>
        <v>-247.01</v>
      </c>
      <c r="Q8" s="592">
        <f>'Monthly Peaks'!B606*-1+'Monthly Peaks'!B1726</f>
        <v>-823</v>
      </c>
      <c r="R8" s="609">
        <f t="shared" ref="R8:R9" si="5">O8+Q8+P8</f>
        <v>5306.7199999999993</v>
      </c>
      <c r="S8" s="170">
        <f t="shared" ref="S8:S9" si="6">A8</f>
        <v>2013</v>
      </c>
      <c r="T8" s="884">
        <v>13281</v>
      </c>
      <c r="U8" s="452">
        <f t="shared" ref="U8:U13" si="7">T8/R8-1</f>
        <v>1.5026758525039954</v>
      </c>
      <c r="V8" s="784">
        <f t="shared" ref="V8:V13" si="8">T8-(1.2*$R8)</f>
        <v>6912.9360000000006</v>
      </c>
      <c r="W8" s="876">
        <f>[31]System!$C526</f>
        <v>40270133</v>
      </c>
      <c r="X8" s="878">
        <f>W8/(O8*8760)</f>
        <v>0.72090979955537116</v>
      </c>
      <c r="Y8" s="988">
        <v>2013</v>
      </c>
      <c r="Z8" s="957">
        <f t="shared" ref="Z8:Z25" si="9">O8/O83-1</f>
        <v>-0.32269518612066461</v>
      </c>
      <c r="AA8" s="960"/>
      <c r="AB8" s="957">
        <f t="shared" ref="AB8:AB25" si="10">R8/R83-1</f>
        <v>-0.39197855141873439</v>
      </c>
      <c r="AC8" s="960"/>
      <c r="AD8" s="958">
        <f t="shared" ref="AD8:AD20" si="11">SUM(P8:Q8)</f>
        <v>-1070.01</v>
      </c>
      <c r="AE8" s="959"/>
      <c r="AF8" s="958">
        <f t="shared" ref="AF8:AF25" si="12">SUM(P83:Q83)</f>
        <v>-687.01</v>
      </c>
      <c r="AG8" s="960"/>
      <c r="AH8" s="958">
        <f t="shared" ref="AH8:AH24" si="13">R8-L8+K8+5</f>
        <v>4430</v>
      </c>
      <c r="AI8" s="958">
        <f t="shared" ref="AI8:AI24" si="14">L8-K8-5</f>
        <v>876.72</v>
      </c>
      <c r="AJ8" s="958">
        <f t="shared" ref="AJ8:AJ24" si="15">AI8+AH8</f>
        <v>5306.72</v>
      </c>
      <c r="AK8" s="961"/>
      <c r="AL8" s="958">
        <f t="shared" ref="AL8:AL25" si="16">R83-L83+K83+5</f>
        <v>7803.0000000000009</v>
      </c>
      <c r="AM8" s="958">
        <f t="shared" ref="AM8:AM25" si="17">L83-K83-5</f>
        <v>924.84999999999991</v>
      </c>
      <c r="AN8" s="958">
        <f t="shared" ref="AN8:AN25" si="18">AM8+AL8</f>
        <v>8727.85</v>
      </c>
    </row>
    <row r="9" spans="1:40" s="28" customFormat="1">
      <c r="A9" s="169">
        <v>2014</v>
      </c>
      <c r="B9" s="522">
        <f>'Monthly Peaks'!B447</f>
        <v>8887</v>
      </c>
      <c r="C9" s="522">
        <f>'Monthly Peaks'!B487</f>
        <v>232</v>
      </c>
      <c r="D9" s="522">
        <f t="shared" si="0"/>
        <v>9119</v>
      </c>
      <c r="E9" s="592">
        <f>'Monthly Peaks'!B567*-1</f>
        <v>-65.575586025000007</v>
      </c>
      <c r="F9" s="592">
        <f t="shared" si="1"/>
        <v>9053.4244139750008</v>
      </c>
      <c r="G9" s="592"/>
      <c r="H9" s="713">
        <f>'Monthly Peaks'!B247</f>
        <v>650</v>
      </c>
      <c r="I9" s="713">
        <f>'Monthly Peaks'!B327</f>
        <v>45.86</v>
      </c>
      <c r="J9" s="713">
        <f>'Monthly Peaks'!B287</f>
        <v>199.07</v>
      </c>
      <c r="K9" s="734">
        <f>'Monthly Peaks'!B1047</f>
        <v>0</v>
      </c>
      <c r="L9" s="592">
        <f t="shared" si="2"/>
        <v>894.93000000000006</v>
      </c>
      <c r="M9" s="592"/>
      <c r="N9" s="592">
        <f>'Monthly Peaks'!B367</f>
        <v>25</v>
      </c>
      <c r="O9" s="592">
        <f t="shared" si="3"/>
        <v>9973.3544139750011</v>
      </c>
      <c r="P9" s="322">
        <f t="shared" si="4"/>
        <v>-232</v>
      </c>
      <c r="Q9" s="592">
        <f>'Monthly Peaks'!B607*-1+'Monthly Peaks'!B1727</f>
        <v>-871</v>
      </c>
      <c r="R9" s="609">
        <f t="shared" si="5"/>
        <v>8870.3544139750011</v>
      </c>
      <c r="S9" s="170">
        <f t="shared" si="6"/>
        <v>2014</v>
      </c>
      <c r="T9" s="884">
        <v>12297</v>
      </c>
      <c r="U9" s="452">
        <f t="shared" si="7"/>
        <v>0.3863031200451712</v>
      </c>
      <c r="V9" s="784">
        <f t="shared" si="8"/>
        <v>1652.5747032299987</v>
      </c>
      <c r="W9" s="876">
        <f>[31]System!$C527</f>
        <v>39801314</v>
      </c>
      <c r="X9" s="878">
        <f>W9/(O9*8760)</f>
        <v>0.45556678393653027</v>
      </c>
      <c r="Y9" s="988">
        <v>2014</v>
      </c>
      <c r="Z9" s="957">
        <f t="shared" si="9"/>
        <v>4.884519965359746E-2</v>
      </c>
      <c r="AA9" s="960"/>
      <c r="AB9" s="957">
        <f t="shared" si="10"/>
        <v>6.634633666956935E-3</v>
      </c>
      <c r="AC9" s="960"/>
      <c r="AD9" s="958">
        <f t="shared" si="11"/>
        <v>-1103</v>
      </c>
      <c r="AE9" s="959"/>
      <c r="AF9" s="958">
        <f t="shared" si="12"/>
        <v>-697</v>
      </c>
      <c r="AG9" s="960"/>
      <c r="AH9" s="958">
        <f t="shared" si="13"/>
        <v>7980.4244139750008</v>
      </c>
      <c r="AI9" s="958">
        <f t="shared" si="14"/>
        <v>889.93000000000006</v>
      </c>
      <c r="AJ9" s="958">
        <f t="shared" si="15"/>
        <v>8870.3544139750011</v>
      </c>
      <c r="AK9" s="961"/>
      <c r="AL9" s="958">
        <f t="shared" si="16"/>
        <v>8012.9107469557039</v>
      </c>
      <c r="AM9" s="958">
        <f t="shared" si="17"/>
        <v>798.9799999999999</v>
      </c>
      <c r="AN9" s="958">
        <f t="shared" si="18"/>
        <v>8811.8907469557034</v>
      </c>
    </row>
    <row r="10" spans="1:40" s="28" customFormat="1">
      <c r="A10" s="169">
        <v>2015</v>
      </c>
      <c r="B10" s="522">
        <f>'Monthly Peaks'!B448</f>
        <v>8754</v>
      </c>
      <c r="C10" s="522">
        <f>'Monthly Peaks'!B488</f>
        <v>233</v>
      </c>
      <c r="D10" s="522">
        <f t="shared" ref="D10:D17" si="19">C10+B10</f>
        <v>8987</v>
      </c>
      <c r="E10" s="592">
        <f>('Monthly Peaks'!B568-'Monthly Peaks'!B$566)*-1</f>
        <v>-131.10226198554994</v>
      </c>
      <c r="F10" s="592">
        <f t="shared" ref="F10:F17" si="20">D10+E10</f>
        <v>8855.8977380144497</v>
      </c>
      <c r="G10" s="592"/>
      <c r="H10" s="713">
        <f>'Monthly Peaks'!B248</f>
        <v>1150</v>
      </c>
      <c r="I10" s="713">
        <f>'Monthly Peaks'!B328</f>
        <v>46</v>
      </c>
      <c r="J10" s="713">
        <f>'Monthly Peaks'!B288</f>
        <v>180.04999999999998</v>
      </c>
      <c r="K10" s="734">
        <f>'Monthly Peaks'!B1048</f>
        <v>0</v>
      </c>
      <c r="L10" s="592">
        <f t="shared" ref="L10:L17" si="21">SUM(H10:K10)</f>
        <v>1376.05</v>
      </c>
      <c r="M10" s="592"/>
      <c r="N10" s="592">
        <f>'Monthly Peaks'!B368</f>
        <v>25</v>
      </c>
      <c r="O10" s="592">
        <f t="shared" ref="O10:O17" si="22">N10+L10+F10</f>
        <v>10256.947738014449</v>
      </c>
      <c r="P10" s="322">
        <f t="shared" ref="P10:P17" si="23">(C10+K10)*-1</f>
        <v>-233</v>
      </c>
      <c r="Q10" s="592">
        <f>'Monthly Peaks'!B608*-1+'Monthly Peaks'!B1728</f>
        <v>-891</v>
      </c>
      <c r="R10" s="609">
        <f t="shared" ref="R10:R17" si="24">O10+Q10+P10</f>
        <v>9132.947738014449</v>
      </c>
      <c r="S10" s="170">
        <f t="shared" ref="S10:S21" si="25">A10</f>
        <v>2015</v>
      </c>
      <c r="T10" s="884">
        <v>12284</v>
      </c>
      <c r="U10" s="452">
        <f t="shared" si="7"/>
        <v>0.3450202883423712</v>
      </c>
      <c r="V10" s="784">
        <f t="shared" si="8"/>
        <v>1324.4627143826619</v>
      </c>
      <c r="W10" s="876">
        <f>[31]System!$C528</f>
        <v>40489597</v>
      </c>
      <c r="X10" s="878">
        <f>W10/(O10*8760)</f>
        <v>0.45063114604988735</v>
      </c>
      <c r="Y10" s="988">
        <v>2015</v>
      </c>
      <c r="Z10" s="957">
        <f t="shared" si="9"/>
        <v>5.2016005042196278E-2</v>
      </c>
      <c r="AA10" s="960"/>
      <c r="AB10" s="957">
        <f t="shared" si="10"/>
        <v>1.0080485008955975E-2</v>
      </c>
      <c r="AC10" s="960"/>
      <c r="AD10" s="958">
        <f t="shared" si="11"/>
        <v>-1124</v>
      </c>
      <c r="AE10" s="959"/>
      <c r="AF10" s="958">
        <f t="shared" si="12"/>
        <v>-708</v>
      </c>
      <c r="AG10" s="960"/>
      <c r="AH10" s="958">
        <f t="shared" si="13"/>
        <v>7761.8977380144488</v>
      </c>
      <c r="AI10" s="958">
        <f t="shared" si="14"/>
        <v>1371.05</v>
      </c>
      <c r="AJ10" s="958">
        <f t="shared" si="15"/>
        <v>9132.947738014449</v>
      </c>
      <c r="AK10" s="961"/>
      <c r="AL10" s="958">
        <f t="shared" si="16"/>
        <v>8240.7419886142743</v>
      </c>
      <c r="AM10" s="958">
        <f t="shared" si="17"/>
        <v>801.06</v>
      </c>
      <c r="AN10" s="958">
        <f t="shared" si="18"/>
        <v>9041.8019886142738</v>
      </c>
    </row>
    <row r="11" spans="1:40" s="28" customFormat="1">
      <c r="A11" s="169">
        <v>2016</v>
      </c>
      <c r="B11" s="522">
        <f>'Monthly Peaks'!B449</f>
        <v>9055</v>
      </c>
      <c r="C11" s="522">
        <f>'Monthly Peaks'!B489</f>
        <v>233</v>
      </c>
      <c r="D11" s="522">
        <f t="shared" si="19"/>
        <v>9288</v>
      </c>
      <c r="E11" s="592">
        <f>('Monthly Peaks'!B569-'Monthly Peaks'!B$566)*-1</f>
        <v>-180.45095414807236</v>
      </c>
      <c r="F11" s="592">
        <f t="shared" si="20"/>
        <v>9107.5490458519271</v>
      </c>
      <c r="G11" s="592"/>
      <c r="H11" s="713">
        <f>'Monthly Peaks'!B249</f>
        <v>1150</v>
      </c>
      <c r="I11" s="713">
        <f>'Monthly Peaks'!B329</f>
        <v>46.22</v>
      </c>
      <c r="J11" s="713">
        <f>'Monthly Peaks'!B289</f>
        <v>182.04999999999998</v>
      </c>
      <c r="K11" s="734">
        <f>'Monthly Peaks'!B1049</f>
        <v>0</v>
      </c>
      <c r="L11" s="592">
        <f t="shared" si="21"/>
        <v>1378.27</v>
      </c>
      <c r="M11" s="592"/>
      <c r="N11" s="592">
        <f>'Monthly Peaks'!B369</f>
        <v>25</v>
      </c>
      <c r="O11" s="592">
        <f t="shared" si="22"/>
        <v>10510.819045851928</v>
      </c>
      <c r="P11" s="322">
        <f t="shared" si="23"/>
        <v>-233</v>
      </c>
      <c r="Q11" s="592">
        <f>'Monthly Peaks'!B609*-1+'Monthly Peaks'!B1729</f>
        <v>-908</v>
      </c>
      <c r="R11" s="609">
        <f t="shared" si="24"/>
        <v>9369.8190458519275</v>
      </c>
      <c r="S11" s="170">
        <f t="shared" si="25"/>
        <v>2016</v>
      </c>
      <c r="T11" s="884">
        <v>12314</v>
      </c>
      <c r="U11" s="452">
        <f t="shared" si="7"/>
        <v>0.31421961723492187</v>
      </c>
      <c r="V11" s="784">
        <f t="shared" si="8"/>
        <v>1070.217144977687</v>
      </c>
      <c r="W11" s="876">
        <f>[31]System!$C529</f>
        <v>41098360</v>
      </c>
      <c r="X11" s="878">
        <f>W11/(O11*8784)</f>
        <v>0.44513895873640874</v>
      </c>
      <c r="Y11" s="988">
        <v>2016</v>
      </c>
      <c r="Z11" s="957">
        <f t="shared" si="9"/>
        <v>6.5491002741552506E-2</v>
      </c>
      <c r="AA11" s="960"/>
      <c r="AB11" s="957">
        <f t="shared" si="10"/>
        <v>2.4162100413171794E-2</v>
      </c>
      <c r="AC11" s="960"/>
      <c r="AD11" s="958">
        <f t="shared" si="11"/>
        <v>-1141</v>
      </c>
      <c r="AE11" s="959"/>
      <c r="AF11" s="958">
        <f t="shared" si="12"/>
        <v>-716</v>
      </c>
      <c r="AG11" s="960"/>
      <c r="AH11" s="958">
        <f t="shared" si="13"/>
        <v>7996.5490458519271</v>
      </c>
      <c r="AI11" s="958">
        <f t="shared" si="14"/>
        <v>1373.27</v>
      </c>
      <c r="AJ11" s="958">
        <f t="shared" si="15"/>
        <v>9369.8190458519275</v>
      </c>
      <c r="AK11" s="961"/>
      <c r="AL11" s="958">
        <f t="shared" si="16"/>
        <v>8495.535651523247</v>
      </c>
      <c r="AM11" s="958">
        <f t="shared" si="17"/>
        <v>653.23</v>
      </c>
      <c r="AN11" s="958">
        <f t="shared" si="18"/>
        <v>9148.7656515232466</v>
      </c>
    </row>
    <row r="12" spans="1:40" s="28" customFormat="1">
      <c r="A12" s="169">
        <v>2017</v>
      </c>
      <c r="B12" s="522">
        <f>'Monthly Peaks'!B450</f>
        <v>9355</v>
      </c>
      <c r="C12" s="522">
        <f>'Monthly Peaks'!B490</f>
        <v>233</v>
      </c>
      <c r="D12" s="522">
        <f t="shared" si="19"/>
        <v>9588</v>
      </c>
      <c r="E12" s="592">
        <f>('Monthly Peaks'!B570-'Monthly Peaks'!B$566)*-1</f>
        <v>-227.51221170246879</v>
      </c>
      <c r="F12" s="592">
        <f t="shared" si="20"/>
        <v>9360.4877882975306</v>
      </c>
      <c r="G12" s="592"/>
      <c r="H12" s="713">
        <f>'Monthly Peaks'!B250</f>
        <v>1000</v>
      </c>
      <c r="I12" s="713">
        <f>'Monthly Peaks'!B330</f>
        <v>22.61</v>
      </c>
      <c r="J12" s="713">
        <f>'Monthly Peaks'!B290</f>
        <v>65.05</v>
      </c>
      <c r="K12" s="734">
        <f>'Monthly Peaks'!B1050</f>
        <v>0</v>
      </c>
      <c r="L12" s="592">
        <f t="shared" si="21"/>
        <v>1087.6600000000001</v>
      </c>
      <c r="M12" s="592"/>
      <c r="N12" s="592">
        <f>'Monthly Peaks'!B370</f>
        <v>25</v>
      </c>
      <c r="O12" s="592">
        <f t="shared" si="22"/>
        <v>10473.14778829753</v>
      </c>
      <c r="P12" s="322">
        <f t="shared" si="23"/>
        <v>-233</v>
      </c>
      <c r="Q12" s="592">
        <f>'Monthly Peaks'!B610*-1+'Monthly Peaks'!B1730</f>
        <v>-942</v>
      </c>
      <c r="R12" s="609">
        <f t="shared" si="24"/>
        <v>9298.1477882975305</v>
      </c>
      <c r="S12" s="170">
        <f t="shared" si="25"/>
        <v>2017</v>
      </c>
      <c r="T12" s="884">
        <v>12961</v>
      </c>
      <c r="U12" s="452">
        <f t="shared" si="7"/>
        <v>0.39393353333364578</v>
      </c>
      <c r="V12" s="784">
        <f t="shared" si="8"/>
        <v>1803.2226540429638</v>
      </c>
      <c r="W12" s="876">
        <f>[31]System!$C530</f>
        <v>41375353</v>
      </c>
      <c r="X12" s="878">
        <f>W12/(O12*8760)</f>
        <v>0.4509832104215129</v>
      </c>
      <c r="Y12" s="988">
        <v>2017</v>
      </c>
      <c r="Z12" s="957">
        <f t="shared" si="9"/>
        <v>4.065465283345393E-2</v>
      </c>
      <c r="AA12" s="960"/>
      <c r="AB12" s="957">
        <f t="shared" si="10"/>
        <v>-9.510690216301132E-4</v>
      </c>
      <c r="AC12" s="960"/>
      <c r="AD12" s="958">
        <f t="shared" si="11"/>
        <v>-1175</v>
      </c>
      <c r="AE12" s="959"/>
      <c r="AF12" s="958">
        <f t="shared" si="12"/>
        <v>-757</v>
      </c>
      <c r="AG12" s="960"/>
      <c r="AH12" s="958">
        <f t="shared" si="13"/>
        <v>8215.4877882975306</v>
      </c>
      <c r="AI12" s="958">
        <f t="shared" si="14"/>
        <v>1082.6600000000001</v>
      </c>
      <c r="AJ12" s="958">
        <f t="shared" si="15"/>
        <v>9298.1477882975305</v>
      </c>
      <c r="AK12" s="961"/>
      <c r="AL12" s="958">
        <f t="shared" si="16"/>
        <v>8724.8193870989307</v>
      </c>
      <c r="AM12" s="958">
        <f t="shared" si="17"/>
        <v>582.17999999999995</v>
      </c>
      <c r="AN12" s="958">
        <f t="shared" si="18"/>
        <v>9306.999387098931</v>
      </c>
    </row>
    <row r="13" spans="1:40" s="28" customFormat="1">
      <c r="A13" s="169">
        <v>2018</v>
      </c>
      <c r="B13" s="522">
        <f>'Monthly Peaks'!B451</f>
        <v>9653</v>
      </c>
      <c r="C13" s="522">
        <f>'Monthly Peaks'!B491</f>
        <v>240</v>
      </c>
      <c r="D13" s="522">
        <f t="shared" si="19"/>
        <v>9893</v>
      </c>
      <c r="E13" s="592">
        <f>('Monthly Peaks'!B571-'Monthly Peaks'!B$566)*-1</f>
        <v>-263.71101675815396</v>
      </c>
      <c r="F13" s="592">
        <f t="shared" si="20"/>
        <v>9629.2889832418459</v>
      </c>
      <c r="G13" s="592"/>
      <c r="H13" s="713">
        <f>'Monthly Peaks'!B251</f>
        <v>1000</v>
      </c>
      <c r="I13" s="713">
        <f>'Monthly Peaks'!B331</f>
        <v>22.8</v>
      </c>
      <c r="J13" s="713">
        <f>'Monthly Peaks'!B291</f>
        <v>65.05</v>
      </c>
      <c r="K13" s="734">
        <f>'Monthly Peaks'!B1051</f>
        <v>0</v>
      </c>
      <c r="L13" s="592">
        <f t="shared" si="21"/>
        <v>1087.8499999999999</v>
      </c>
      <c r="M13" s="592"/>
      <c r="N13" s="592">
        <f>'Monthly Peaks'!B371</f>
        <v>25</v>
      </c>
      <c r="O13" s="592">
        <f t="shared" si="22"/>
        <v>10742.138983241846</v>
      </c>
      <c r="P13" s="322">
        <f t="shared" si="23"/>
        <v>-240</v>
      </c>
      <c r="Q13" s="592">
        <f>'Monthly Peaks'!B611*-1+'Monthly Peaks'!B1731</f>
        <v>-958</v>
      </c>
      <c r="R13" s="609">
        <f t="shared" si="24"/>
        <v>9544.1389832418463</v>
      </c>
      <c r="S13" s="170">
        <f t="shared" si="25"/>
        <v>2018</v>
      </c>
      <c r="T13" s="884">
        <v>12961</v>
      </c>
      <c r="U13" s="452">
        <f t="shared" si="7"/>
        <v>0.35800620912558756</v>
      </c>
      <c r="V13" s="758">
        <f t="shared" si="8"/>
        <v>1508.0332201097845</v>
      </c>
      <c r="W13" s="876">
        <f>[31]System!$C531</f>
        <v>41994588</v>
      </c>
      <c r="X13" s="878">
        <f>W13/(O13*8760)</f>
        <v>0.44627077970269252</v>
      </c>
      <c r="Y13" s="988">
        <v>2018</v>
      </c>
      <c r="Z13" s="957">
        <f t="shared" si="9"/>
        <v>5.1798555190895046E-2</v>
      </c>
      <c r="AA13" s="960"/>
      <c r="AB13" s="957">
        <f t="shared" si="10"/>
        <v>1.1126527975388711E-2</v>
      </c>
      <c r="AC13" s="960"/>
      <c r="AD13" s="958">
        <f t="shared" si="11"/>
        <v>-1198</v>
      </c>
      <c r="AE13" s="959"/>
      <c r="AF13" s="958">
        <f t="shared" si="12"/>
        <v>-774</v>
      </c>
      <c r="AG13" s="960"/>
      <c r="AH13" s="958">
        <f t="shared" si="13"/>
        <v>8461.2889832418459</v>
      </c>
      <c r="AI13" s="958">
        <f t="shared" si="14"/>
        <v>1082.8499999999999</v>
      </c>
      <c r="AJ13" s="958">
        <f t="shared" si="15"/>
        <v>9544.1389832418463</v>
      </c>
      <c r="AK13" s="961"/>
      <c r="AL13" s="958">
        <f t="shared" si="16"/>
        <v>8856.8944126664192</v>
      </c>
      <c r="AM13" s="958">
        <f t="shared" si="17"/>
        <v>582.21999999999991</v>
      </c>
      <c r="AN13" s="958">
        <f t="shared" si="18"/>
        <v>9439.1144126664185</v>
      </c>
    </row>
    <row r="14" spans="1:40" s="28" customFormat="1">
      <c r="A14" s="169">
        <v>2019</v>
      </c>
      <c r="B14" s="522">
        <f>'Monthly Peaks'!B452</f>
        <v>9797</v>
      </c>
      <c r="C14" s="522">
        <f>'Monthly Peaks'!B492</f>
        <v>283</v>
      </c>
      <c r="D14" s="522">
        <f t="shared" si="19"/>
        <v>10080</v>
      </c>
      <c r="E14" s="592">
        <f>('Monthly Peaks'!B572-'Monthly Peaks'!B$566)*-1</f>
        <v>-298.13963156105513</v>
      </c>
      <c r="F14" s="592">
        <f t="shared" si="20"/>
        <v>9781.8603684389454</v>
      </c>
      <c r="G14" s="592"/>
      <c r="H14" s="713">
        <f>'Monthly Peaks'!B252</f>
        <v>1000</v>
      </c>
      <c r="I14" s="713">
        <f>'Monthly Peaks'!B332</f>
        <v>23</v>
      </c>
      <c r="J14" s="713">
        <f>'Monthly Peaks'!B292</f>
        <v>65.05</v>
      </c>
      <c r="K14" s="734">
        <f>'Monthly Peaks'!B1052</f>
        <v>0</v>
      </c>
      <c r="L14" s="592">
        <f t="shared" si="21"/>
        <v>1088.05</v>
      </c>
      <c r="M14" s="592"/>
      <c r="N14" s="592">
        <f>'Monthly Peaks'!B372</f>
        <v>25</v>
      </c>
      <c r="O14" s="592">
        <f t="shared" si="22"/>
        <v>10894.910368438945</v>
      </c>
      <c r="P14" s="322">
        <f t="shared" si="23"/>
        <v>-283</v>
      </c>
      <c r="Q14" s="592">
        <f>'Monthly Peaks'!B612*-1+'Monthly Peaks'!B1732</f>
        <v>-973</v>
      </c>
      <c r="R14" s="609">
        <f t="shared" si="24"/>
        <v>9638.9103684389447</v>
      </c>
      <c r="S14" s="170">
        <f t="shared" si="25"/>
        <v>2019</v>
      </c>
      <c r="T14" s="322">
        <v>13366</v>
      </c>
      <c r="U14" s="452">
        <f t="shared" ref="U14:U21" si="26">T14/R14-1</f>
        <v>0.38667126149080167</v>
      </c>
      <c r="V14" s="758">
        <f t="shared" ref="V14:V21" si="27">T14-(1.2*$R14)</f>
        <v>1799.307557873266</v>
      </c>
      <c r="W14" s="588">
        <f>[31]System!$C532</f>
        <v>43012927</v>
      </c>
      <c r="X14" s="878">
        <f t="shared" ref="X14:X21" si="28">W14/(O14*8760)</f>
        <v>0.45068305456117358</v>
      </c>
      <c r="Y14" s="988">
        <v>2019</v>
      </c>
      <c r="Z14" s="957">
        <f t="shared" si="9"/>
        <v>2.3637035114093763E-2</v>
      </c>
      <c r="AA14" s="960"/>
      <c r="AB14" s="957">
        <f t="shared" si="10"/>
        <v>-1.7774098015654438E-2</v>
      </c>
      <c r="AC14" s="960"/>
      <c r="AD14" s="958">
        <f t="shared" si="11"/>
        <v>-1256</v>
      </c>
      <c r="AE14" s="959"/>
      <c r="AF14" s="958">
        <f t="shared" si="12"/>
        <v>-830</v>
      </c>
      <c r="AG14" s="960"/>
      <c r="AH14" s="958">
        <f t="shared" si="13"/>
        <v>8555.8603684389454</v>
      </c>
      <c r="AI14" s="958">
        <f t="shared" si="14"/>
        <v>1083.05</v>
      </c>
      <c r="AJ14" s="958">
        <f t="shared" si="15"/>
        <v>9638.9103684389447</v>
      </c>
      <c r="AK14" s="961"/>
      <c r="AL14" s="958">
        <f t="shared" si="16"/>
        <v>8981.0635202888661</v>
      </c>
      <c r="AM14" s="958">
        <f t="shared" si="17"/>
        <v>832.27</v>
      </c>
      <c r="AN14" s="958">
        <f t="shared" si="18"/>
        <v>9813.3335202888666</v>
      </c>
    </row>
    <row r="15" spans="1:40" s="28" customFormat="1">
      <c r="A15" s="169">
        <v>2020</v>
      </c>
      <c r="B15" s="522">
        <f>'Monthly Peaks'!B453</f>
        <v>9935</v>
      </c>
      <c r="C15" s="522">
        <f>'Monthly Peaks'!B493</f>
        <v>304</v>
      </c>
      <c r="D15" s="522">
        <f t="shared" si="19"/>
        <v>10239</v>
      </c>
      <c r="E15" s="592">
        <f>('Monthly Peaks'!B573-'Monthly Peaks'!B$566)*-1</f>
        <v>-338.04279316705367</v>
      </c>
      <c r="F15" s="592">
        <f t="shared" si="20"/>
        <v>9900.9572068329471</v>
      </c>
      <c r="G15" s="592"/>
      <c r="H15" s="713">
        <f>'Monthly Peaks'!B253</f>
        <v>1250</v>
      </c>
      <c r="I15" s="713">
        <f>'Monthly Peaks'!B333</f>
        <v>23.19</v>
      </c>
      <c r="J15" s="713">
        <f>'Monthly Peaks'!B293</f>
        <v>65.05</v>
      </c>
      <c r="K15" s="734">
        <f>'Monthly Peaks'!B1053</f>
        <v>0</v>
      </c>
      <c r="L15" s="592">
        <f t="shared" si="21"/>
        <v>1338.24</v>
      </c>
      <c r="M15" s="592"/>
      <c r="N15" s="592">
        <f>'Monthly Peaks'!B373</f>
        <v>25</v>
      </c>
      <c r="O15" s="592">
        <f t="shared" si="22"/>
        <v>11264.197206832947</v>
      </c>
      <c r="P15" s="322">
        <f t="shared" si="23"/>
        <v>-304</v>
      </c>
      <c r="Q15" s="592">
        <f>'Monthly Peaks'!B613*-1+'Monthly Peaks'!B1733</f>
        <v>-989</v>
      </c>
      <c r="R15" s="609">
        <f t="shared" si="24"/>
        <v>9971.1972068329469</v>
      </c>
      <c r="S15" s="169">
        <f t="shared" si="25"/>
        <v>2020</v>
      </c>
      <c r="T15" s="322">
        <v>13366</v>
      </c>
      <c r="U15" s="452">
        <f t="shared" si="26"/>
        <v>0.34046090181033639</v>
      </c>
      <c r="V15" s="758">
        <f t="shared" si="27"/>
        <v>1400.5633518004634</v>
      </c>
      <c r="W15" s="588">
        <f>[31]System!$C533</f>
        <v>43997632</v>
      </c>
      <c r="X15" s="878">
        <f>W15/(O15*8784)</f>
        <v>0.44466887387491727</v>
      </c>
      <c r="Y15" s="988">
        <v>2020</v>
      </c>
      <c r="Z15" s="957">
        <f t="shared" si="9"/>
        <v>4.3374369846794991E-2</v>
      </c>
      <c r="AA15" s="960"/>
      <c r="AB15" s="957">
        <f t="shared" si="10"/>
        <v>3.6504214377268696E-3</v>
      </c>
      <c r="AC15" s="960"/>
      <c r="AD15" s="958">
        <f t="shared" si="11"/>
        <v>-1293</v>
      </c>
      <c r="AE15" s="959"/>
      <c r="AF15" s="958">
        <f t="shared" si="12"/>
        <v>-861</v>
      </c>
      <c r="AG15" s="960"/>
      <c r="AH15" s="958">
        <f t="shared" si="13"/>
        <v>8637.9572068329471</v>
      </c>
      <c r="AI15" s="958">
        <f t="shared" si="14"/>
        <v>1333.24</v>
      </c>
      <c r="AJ15" s="958">
        <f t="shared" si="15"/>
        <v>9971.1972068329469</v>
      </c>
      <c r="AK15" s="961"/>
      <c r="AL15" s="958">
        <f t="shared" si="16"/>
        <v>9102.5205234677542</v>
      </c>
      <c r="AM15" s="958">
        <f t="shared" si="17"/>
        <v>832.41</v>
      </c>
      <c r="AN15" s="958">
        <f t="shared" si="18"/>
        <v>9934.930523467754</v>
      </c>
    </row>
    <row r="16" spans="1:40" s="28" customFormat="1">
      <c r="A16" s="169">
        <v>2021</v>
      </c>
      <c r="B16" s="522">
        <f>'Monthly Peaks'!B454</f>
        <v>10071</v>
      </c>
      <c r="C16" s="522">
        <f>'Monthly Peaks'!B494</f>
        <v>305</v>
      </c>
      <c r="D16" s="522">
        <f t="shared" si="19"/>
        <v>10376</v>
      </c>
      <c r="E16" s="592">
        <f>('Monthly Peaks'!B574-'Monthly Peaks'!B$566)*-1</f>
        <v>-372.35090633280845</v>
      </c>
      <c r="F16" s="592">
        <f t="shared" si="20"/>
        <v>10003.649093667191</v>
      </c>
      <c r="G16" s="592"/>
      <c r="H16" s="713">
        <f>'Monthly Peaks'!B254</f>
        <v>1250</v>
      </c>
      <c r="I16" s="713">
        <f>'Monthly Peaks'!B334</f>
        <v>23.290000000000003</v>
      </c>
      <c r="J16" s="713">
        <f>'Monthly Peaks'!B294</f>
        <v>65.05</v>
      </c>
      <c r="K16" s="734">
        <f>'Monthly Peaks'!B1054</f>
        <v>0</v>
      </c>
      <c r="L16" s="592">
        <f t="shared" si="21"/>
        <v>1338.34</v>
      </c>
      <c r="M16" s="592"/>
      <c r="N16" s="592">
        <f>'Monthly Peaks'!B374</f>
        <v>25</v>
      </c>
      <c r="O16" s="592">
        <f t="shared" si="22"/>
        <v>11366.989093667191</v>
      </c>
      <c r="P16" s="322">
        <f t="shared" si="23"/>
        <v>-305</v>
      </c>
      <c r="Q16" s="592">
        <f>'Monthly Peaks'!B614*-1+'Monthly Peaks'!B1734</f>
        <v>-1003</v>
      </c>
      <c r="R16" s="522">
        <f t="shared" si="24"/>
        <v>10058.989093667191</v>
      </c>
      <c r="S16" s="169">
        <f t="shared" si="25"/>
        <v>2021</v>
      </c>
      <c r="T16" s="322">
        <v>13693</v>
      </c>
      <c r="U16" s="452">
        <f t="shared" si="26"/>
        <v>0.36126999169535456</v>
      </c>
      <c r="V16" s="749">
        <f t="shared" si="27"/>
        <v>1622.2130875993716</v>
      </c>
      <c r="W16" s="588">
        <f>[31]System!$C534</f>
        <v>44418922</v>
      </c>
      <c r="X16" s="878">
        <f t="shared" si="28"/>
        <v>0.4460858679957746</v>
      </c>
      <c r="Y16" s="988">
        <v>2021</v>
      </c>
      <c r="Z16" s="957">
        <f t="shared" si="9"/>
        <v>5.0242647235329452E-2</v>
      </c>
      <c r="AA16" s="960"/>
      <c r="AB16" s="957">
        <f t="shared" si="10"/>
        <v>1.0729921795033626E-2</v>
      </c>
      <c r="AC16" s="960"/>
      <c r="AD16" s="958">
        <f t="shared" si="11"/>
        <v>-1308</v>
      </c>
      <c r="AE16" s="959"/>
      <c r="AF16" s="958">
        <f t="shared" si="12"/>
        <v>-871</v>
      </c>
      <c r="AG16" s="960"/>
      <c r="AH16" s="958">
        <f t="shared" si="13"/>
        <v>8725.6490936671908</v>
      </c>
      <c r="AI16" s="958">
        <f t="shared" si="14"/>
        <v>1333.34</v>
      </c>
      <c r="AJ16" s="958">
        <f t="shared" si="15"/>
        <v>10058.989093667191</v>
      </c>
      <c r="AK16" s="961"/>
      <c r="AL16" s="958">
        <f t="shared" si="16"/>
        <v>9219.7527366149916</v>
      </c>
      <c r="AM16" s="958">
        <f t="shared" si="17"/>
        <v>732.44999999999993</v>
      </c>
      <c r="AN16" s="958">
        <f t="shared" si="18"/>
        <v>9952.2027366149923</v>
      </c>
    </row>
    <row r="17" spans="1:40" s="28" customFormat="1">
      <c r="A17" s="169">
        <v>2022</v>
      </c>
      <c r="B17" s="522">
        <f>'Monthly Peaks'!B455</f>
        <v>10202</v>
      </c>
      <c r="C17" s="522">
        <f>'Monthly Peaks'!B495</f>
        <v>305</v>
      </c>
      <c r="D17" s="522">
        <f t="shared" si="19"/>
        <v>10507</v>
      </c>
      <c r="E17" s="592">
        <f>('Monthly Peaks'!B575-'Monthly Peaks'!B$566)*-1</f>
        <v>-404.77052514781542</v>
      </c>
      <c r="F17" s="592">
        <f t="shared" si="20"/>
        <v>10102.229474852185</v>
      </c>
      <c r="G17" s="592"/>
      <c r="H17" s="713">
        <f>'Monthly Peaks'!B255</f>
        <v>1250</v>
      </c>
      <c r="I17" s="713">
        <f>'Monthly Peaks'!B335</f>
        <v>23.48</v>
      </c>
      <c r="J17" s="713">
        <f>'Monthly Peaks'!B295</f>
        <v>65.05</v>
      </c>
      <c r="K17" s="734">
        <f>'Monthly Peaks'!B1055</f>
        <v>0</v>
      </c>
      <c r="L17" s="592">
        <f t="shared" si="21"/>
        <v>1338.53</v>
      </c>
      <c r="M17" s="592"/>
      <c r="N17" s="592">
        <f>'Monthly Peaks'!B375</f>
        <v>25</v>
      </c>
      <c r="O17" s="592">
        <f t="shared" si="22"/>
        <v>11465.759474852186</v>
      </c>
      <c r="P17" s="322">
        <f t="shared" si="23"/>
        <v>-305</v>
      </c>
      <c r="Q17" s="592">
        <f>'Monthly Peaks'!B615*-1+'Monthly Peaks'!B1735</f>
        <v>-1017</v>
      </c>
      <c r="R17" s="609">
        <f t="shared" si="24"/>
        <v>10143.759474852186</v>
      </c>
      <c r="S17" s="168">
        <f t="shared" si="25"/>
        <v>2022</v>
      </c>
      <c r="T17" s="597">
        <f t="shared" ref="T17:T25" si="29">T16</f>
        <v>13693</v>
      </c>
      <c r="U17" s="943">
        <f t="shared" si="26"/>
        <v>0.34989399481985783</v>
      </c>
      <c r="V17" s="751">
        <f t="shared" si="27"/>
        <v>1520.4886301773768</v>
      </c>
      <c r="W17" s="785">
        <f>[31]System!$C535</f>
        <v>44869748</v>
      </c>
      <c r="X17" s="944">
        <f t="shared" si="28"/>
        <v>0.44673162408757111</v>
      </c>
      <c r="Y17" s="988">
        <v>2022</v>
      </c>
      <c r="Z17" s="957">
        <f t="shared" si="9"/>
        <v>4.7339042296860478E-2</v>
      </c>
      <c r="AA17" s="960"/>
      <c r="AB17" s="957">
        <f t="shared" si="10"/>
        <v>7.6734461183380898E-3</v>
      </c>
      <c r="AC17" s="960"/>
      <c r="AD17" s="958">
        <f t="shared" si="11"/>
        <v>-1322</v>
      </c>
      <c r="AE17" s="959"/>
      <c r="AF17" s="958">
        <f t="shared" si="12"/>
        <v>-881</v>
      </c>
      <c r="AG17" s="960"/>
      <c r="AH17" s="958">
        <f t="shared" si="13"/>
        <v>8810.2294748521854</v>
      </c>
      <c r="AI17" s="958">
        <f t="shared" si="14"/>
        <v>1333.53</v>
      </c>
      <c r="AJ17" s="958">
        <f t="shared" si="15"/>
        <v>10143.759474852186</v>
      </c>
      <c r="AK17" s="961"/>
      <c r="AL17" s="958">
        <f t="shared" si="16"/>
        <v>9333.92461733659</v>
      </c>
      <c r="AM17" s="958">
        <f t="shared" si="17"/>
        <v>732.58999999999992</v>
      </c>
      <c r="AN17" s="958">
        <f t="shared" si="18"/>
        <v>10066.51461733659</v>
      </c>
    </row>
    <row r="18" spans="1:40" s="28" customFormat="1">
      <c r="A18" s="169">
        <v>2023</v>
      </c>
      <c r="B18" s="522">
        <f>'Monthly Peaks'!B456</f>
        <v>10327</v>
      </c>
      <c r="C18" s="522">
        <f>'Monthly Peaks'!B496</f>
        <v>305</v>
      </c>
      <c r="D18" s="522">
        <f t="shared" ref="D18:D25" si="30">C18+B18</f>
        <v>10632</v>
      </c>
      <c r="E18" s="592">
        <f>('Monthly Peaks'!B576-'Monthly Peaks'!B$566)*-1</f>
        <v>-435.30401203496888</v>
      </c>
      <c r="F18" s="592">
        <f t="shared" ref="F18:F25" si="31">D18+E18</f>
        <v>10196.695987965031</v>
      </c>
      <c r="G18" s="592"/>
      <c r="H18" s="713">
        <f>'Monthly Peaks'!B256</f>
        <v>1250</v>
      </c>
      <c r="I18" s="713">
        <f>'Monthly Peaks'!B336</f>
        <v>23.67</v>
      </c>
      <c r="J18" s="713">
        <f>'Monthly Peaks'!B296</f>
        <v>65.05</v>
      </c>
      <c r="K18" s="734">
        <f>'Monthly Peaks'!B1056</f>
        <v>0</v>
      </c>
      <c r="L18" s="592">
        <f t="shared" ref="L18:L25" si="32">SUM(H18:K18)</f>
        <v>1338.72</v>
      </c>
      <c r="M18" s="592"/>
      <c r="N18" s="592">
        <f>'Monthly Peaks'!B376</f>
        <v>25</v>
      </c>
      <c r="O18" s="592">
        <f t="shared" ref="O18:O25" si="33">N18+L18+F18</f>
        <v>11560.415987965031</v>
      </c>
      <c r="P18" s="322">
        <f t="shared" ref="P18:P25" si="34">(C18+K18)*-1</f>
        <v>-305</v>
      </c>
      <c r="Q18" s="592">
        <f>'Monthly Peaks'!B616*-1+'Monthly Peaks'!B1736</f>
        <v>-1031</v>
      </c>
      <c r="R18" s="609">
        <f t="shared" ref="R18:R25" si="35">O18+Q18+P18</f>
        <v>10224.415987965031</v>
      </c>
      <c r="S18" s="170">
        <f t="shared" si="25"/>
        <v>2023</v>
      </c>
      <c r="T18" s="884">
        <f t="shared" si="29"/>
        <v>13693</v>
      </c>
      <c r="U18" s="452">
        <f t="shared" si="26"/>
        <v>0.33924519660758867</v>
      </c>
      <c r="V18" s="1072">
        <f t="shared" si="27"/>
        <v>1423.7008144419633</v>
      </c>
      <c r="W18" s="876">
        <f>[31]System!$C536</f>
        <v>45458815</v>
      </c>
      <c r="X18" s="878">
        <f t="shared" si="28"/>
        <v>0.44889063233751791</v>
      </c>
      <c r="Y18" s="988">
        <v>2023</v>
      </c>
      <c r="Z18" s="957">
        <f t="shared" si="9"/>
        <v>4.5014961672811049E-2</v>
      </c>
      <c r="AA18" s="960"/>
      <c r="AB18" s="957">
        <f t="shared" si="10"/>
        <v>5.1094268825717659E-3</v>
      </c>
      <c r="AC18" s="960"/>
      <c r="AD18" s="958">
        <f t="shared" si="11"/>
        <v>-1336</v>
      </c>
      <c r="AE18" s="959"/>
      <c r="AF18" s="958">
        <f t="shared" si="12"/>
        <v>-890</v>
      </c>
      <c r="AG18" s="960"/>
      <c r="AH18" s="958">
        <f t="shared" si="13"/>
        <v>8890.6959879650312</v>
      </c>
      <c r="AI18" s="958">
        <f t="shared" si="14"/>
        <v>1333.72</v>
      </c>
      <c r="AJ18" s="958">
        <f t="shared" si="15"/>
        <v>10224.415987965031</v>
      </c>
      <c r="AK18" s="961"/>
      <c r="AL18" s="958">
        <f t="shared" si="16"/>
        <v>9439.7106462656357</v>
      </c>
      <c r="AM18" s="958">
        <f t="shared" si="17"/>
        <v>732.7299999999999</v>
      </c>
      <c r="AN18" s="958">
        <f t="shared" si="18"/>
        <v>10172.440646265635</v>
      </c>
    </row>
    <row r="19" spans="1:40" s="28" customFormat="1">
      <c r="A19" s="169">
        <v>2024</v>
      </c>
      <c r="B19" s="522">
        <f>'Monthly Peaks'!B457</f>
        <v>10447</v>
      </c>
      <c r="C19" s="522">
        <f>'Monthly Peaks'!B497</f>
        <v>304</v>
      </c>
      <c r="D19" s="522">
        <f t="shared" si="30"/>
        <v>10751</v>
      </c>
      <c r="E19" s="592">
        <f>('Monthly Peaks'!B577-'Monthly Peaks'!B$566)*-1</f>
        <v>-465.4395962377672</v>
      </c>
      <c r="F19" s="592">
        <f t="shared" si="31"/>
        <v>10285.560403762232</v>
      </c>
      <c r="G19" s="592"/>
      <c r="H19" s="713">
        <f>'Monthly Peaks'!B257</f>
        <v>1250</v>
      </c>
      <c r="I19" s="713">
        <f>'Monthly Peaks'!B337</f>
        <v>23.77</v>
      </c>
      <c r="J19" s="713">
        <f>'Monthly Peaks'!B297</f>
        <v>65.05</v>
      </c>
      <c r="K19" s="734">
        <f>'Monthly Peaks'!B1057</f>
        <v>0</v>
      </c>
      <c r="L19" s="592">
        <f t="shared" si="32"/>
        <v>1338.82</v>
      </c>
      <c r="M19" s="592"/>
      <c r="N19" s="592">
        <f>'Monthly Peaks'!B377</f>
        <v>25</v>
      </c>
      <c r="O19" s="592">
        <f t="shared" si="33"/>
        <v>11649.380403762232</v>
      </c>
      <c r="P19" s="322">
        <f t="shared" si="34"/>
        <v>-304</v>
      </c>
      <c r="Q19" s="592">
        <f>'Monthly Peaks'!B617*-1+'Monthly Peaks'!B1737</f>
        <v>-1047</v>
      </c>
      <c r="R19" s="609">
        <f t="shared" si="35"/>
        <v>10298.380403762232</v>
      </c>
      <c r="S19" s="170">
        <f t="shared" si="25"/>
        <v>2024</v>
      </c>
      <c r="T19" s="884">
        <f t="shared" si="29"/>
        <v>13693</v>
      </c>
      <c r="U19" s="452">
        <f t="shared" si="26"/>
        <v>0.32962654933562519</v>
      </c>
      <c r="V19" s="1072">
        <f t="shared" si="27"/>
        <v>1334.9435154853218</v>
      </c>
      <c r="W19" s="876">
        <f>[31]System!$C537</f>
        <v>46001731</v>
      </c>
      <c r="X19" s="878">
        <f>W19/(O19*8784)</f>
        <v>0.44955105357969216</v>
      </c>
      <c r="Y19" s="988">
        <v>2024</v>
      </c>
      <c r="Z19" s="957">
        <f t="shared" si="9"/>
        <v>4.2479366286178211E-2</v>
      </c>
      <c r="AA19" s="960"/>
      <c r="AB19" s="957">
        <f t="shared" si="10"/>
        <v>2.1109540212209676E-3</v>
      </c>
      <c r="AC19" s="960"/>
      <c r="AD19" s="958">
        <f t="shared" si="11"/>
        <v>-1351</v>
      </c>
      <c r="AE19" s="959"/>
      <c r="AF19" s="958">
        <f t="shared" si="12"/>
        <v>-898</v>
      </c>
      <c r="AG19" s="960"/>
      <c r="AH19" s="958">
        <f t="shared" si="13"/>
        <v>8964.5604037622325</v>
      </c>
      <c r="AI19" s="958">
        <f t="shared" si="14"/>
        <v>1333.82</v>
      </c>
      <c r="AJ19" s="958">
        <f t="shared" si="15"/>
        <v>10298.380403762232</v>
      </c>
      <c r="AK19" s="961"/>
      <c r="AL19" s="958">
        <f t="shared" si="16"/>
        <v>9543.8267904570876</v>
      </c>
      <c r="AM19" s="958">
        <f t="shared" si="17"/>
        <v>732.8599999999999</v>
      </c>
      <c r="AN19" s="958">
        <f t="shared" si="18"/>
        <v>10276.686790457088</v>
      </c>
    </row>
    <row r="20" spans="1:40" s="28" customFormat="1">
      <c r="A20" s="169">
        <v>2025</v>
      </c>
      <c r="B20" s="522">
        <f>'Monthly Peaks'!B458</f>
        <v>10562</v>
      </c>
      <c r="C20" s="522">
        <f>'Monthly Peaks'!B498</f>
        <v>305</v>
      </c>
      <c r="D20" s="522">
        <f t="shared" si="30"/>
        <v>10867</v>
      </c>
      <c r="E20" s="592">
        <f>('Monthly Peaks'!B578-'Monthly Peaks'!B$566)*-1</f>
        <v>-495.36469045922797</v>
      </c>
      <c r="F20" s="592">
        <f t="shared" si="31"/>
        <v>10371.635309540772</v>
      </c>
      <c r="G20" s="592"/>
      <c r="H20" s="713">
        <f>'Monthly Peaks'!B258</f>
        <v>1250</v>
      </c>
      <c r="I20" s="713">
        <f>'Monthly Peaks'!B338</f>
        <v>23.950000000000003</v>
      </c>
      <c r="J20" s="713">
        <f>'Monthly Peaks'!B298</f>
        <v>65.05</v>
      </c>
      <c r="K20" s="734">
        <f>'Monthly Peaks'!B1058</f>
        <v>0</v>
      </c>
      <c r="L20" s="592">
        <f t="shared" si="32"/>
        <v>1339</v>
      </c>
      <c r="M20" s="592"/>
      <c r="N20" s="592">
        <f>'Monthly Peaks'!B378</f>
        <v>25</v>
      </c>
      <c r="O20" s="592">
        <f t="shared" si="33"/>
        <v>11735.635309540772</v>
      </c>
      <c r="P20" s="322">
        <f t="shared" si="34"/>
        <v>-305</v>
      </c>
      <c r="Q20" s="592">
        <f>'Monthly Peaks'!B618*-1+'Monthly Peaks'!B1738</f>
        <v>-1061</v>
      </c>
      <c r="R20" s="609">
        <f t="shared" si="35"/>
        <v>10369.635309540772</v>
      </c>
      <c r="S20" s="170">
        <f t="shared" si="25"/>
        <v>2025</v>
      </c>
      <c r="T20" s="884">
        <f t="shared" si="29"/>
        <v>13693</v>
      </c>
      <c r="U20" s="452">
        <f t="shared" si="26"/>
        <v>0.32049002604763799</v>
      </c>
      <c r="V20" s="1072">
        <f t="shared" si="27"/>
        <v>1249.4376285510734</v>
      </c>
      <c r="W20" s="876">
        <f>[31]System!$C538</f>
        <v>46377403</v>
      </c>
      <c r="X20" s="878">
        <f t="shared" si="28"/>
        <v>0.45112377362765538</v>
      </c>
      <c r="Y20" s="988">
        <v>2025</v>
      </c>
      <c r="Z20" s="957">
        <f t="shared" si="9"/>
        <v>4.0191208830720138E-2</v>
      </c>
      <c r="AA20" s="960"/>
      <c r="AB20" s="957">
        <f t="shared" si="10"/>
        <v>-4.3908274887072274E-4</v>
      </c>
      <c r="AC20" s="960"/>
      <c r="AD20" s="958">
        <f t="shared" si="11"/>
        <v>-1366</v>
      </c>
      <c r="AE20" s="959"/>
      <c r="AF20" s="958">
        <f t="shared" si="12"/>
        <v>-908</v>
      </c>
      <c r="AG20" s="960"/>
      <c r="AH20" s="958">
        <f t="shared" si="13"/>
        <v>9035.6353095407721</v>
      </c>
      <c r="AI20" s="958">
        <f t="shared" si="14"/>
        <v>1334</v>
      </c>
      <c r="AJ20" s="958">
        <f t="shared" si="15"/>
        <v>10369.635309540772</v>
      </c>
      <c r="AK20" s="961"/>
      <c r="AL20" s="958">
        <f t="shared" si="16"/>
        <v>9641.19043759542</v>
      </c>
      <c r="AM20" s="958">
        <f t="shared" si="17"/>
        <v>733</v>
      </c>
      <c r="AN20" s="958">
        <f t="shared" si="18"/>
        <v>10374.19043759542</v>
      </c>
    </row>
    <row r="21" spans="1:40" s="28" customFormat="1">
      <c r="A21" s="169">
        <v>2026</v>
      </c>
      <c r="B21" s="522">
        <f>'Monthly Peaks'!B459</f>
        <v>10672</v>
      </c>
      <c r="C21" s="522">
        <f>'Monthly Peaks'!B499</f>
        <v>305</v>
      </c>
      <c r="D21" s="522">
        <f t="shared" si="30"/>
        <v>10977</v>
      </c>
      <c r="E21" s="592">
        <f>('Monthly Peaks'!B579-'Monthly Peaks'!B$566)*-1</f>
        <v>-523.99936897181931</v>
      </c>
      <c r="F21" s="592">
        <f t="shared" si="31"/>
        <v>10453.000631028181</v>
      </c>
      <c r="G21" s="592"/>
      <c r="H21" s="713">
        <f>'Monthly Peaks'!B259</f>
        <v>1250</v>
      </c>
      <c r="I21" s="713">
        <f>'Monthly Peaks'!B339</f>
        <v>24.14</v>
      </c>
      <c r="J21" s="713">
        <f>'Monthly Peaks'!B299</f>
        <v>65.05</v>
      </c>
      <c r="K21" s="734">
        <f>'Monthly Peaks'!B1059</f>
        <v>0</v>
      </c>
      <c r="L21" s="592">
        <f t="shared" si="32"/>
        <v>1339.19</v>
      </c>
      <c r="M21" s="592"/>
      <c r="N21" s="592">
        <f>'Monthly Peaks'!B379</f>
        <v>25</v>
      </c>
      <c r="O21" s="592">
        <f t="shared" si="33"/>
        <v>11817.190631028181</v>
      </c>
      <c r="P21" s="322">
        <f t="shared" si="34"/>
        <v>-305</v>
      </c>
      <c r="Q21" s="592">
        <f>'Monthly Peaks'!B619*-1+'Monthly Peaks'!B1739</f>
        <v>-1075</v>
      </c>
      <c r="R21" s="609">
        <f t="shared" si="35"/>
        <v>10437.190631028181</v>
      </c>
      <c r="S21" s="170">
        <f t="shared" si="25"/>
        <v>2026</v>
      </c>
      <c r="T21" s="884">
        <f t="shared" si="29"/>
        <v>13693</v>
      </c>
      <c r="U21" s="452">
        <f t="shared" si="26"/>
        <v>0.31194307779459285</v>
      </c>
      <c r="V21" s="1072">
        <f t="shared" si="27"/>
        <v>1168.3712427661831</v>
      </c>
      <c r="W21" s="876">
        <f>[31]System!$C539</f>
        <v>46949423</v>
      </c>
      <c r="X21" s="878">
        <f t="shared" si="28"/>
        <v>0.45353615261512154</v>
      </c>
      <c r="Y21" s="988">
        <v>2026</v>
      </c>
      <c r="Z21" s="957">
        <f t="shared" si="9"/>
        <v>3.8207741346240276E-2</v>
      </c>
      <c r="AA21" s="960"/>
      <c r="AB21" s="957">
        <f t="shared" si="10"/>
        <v>-2.5905295587860255E-3</v>
      </c>
      <c r="AC21" s="960"/>
      <c r="AD21" s="958">
        <f>SUM(P21:Q21)</f>
        <v>-1380</v>
      </c>
      <c r="AE21" s="959"/>
      <c r="AF21" s="958">
        <f t="shared" si="12"/>
        <v>-918</v>
      </c>
      <c r="AG21" s="960"/>
      <c r="AH21" s="958">
        <f t="shared" si="13"/>
        <v>9103.0006310281806</v>
      </c>
      <c r="AI21" s="958">
        <f t="shared" si="14"/>
        <v>1334.19</v>
      </c>
      <c r="AJ21" s="958">
        <f t="shared" si="15"/>
        <v>10437.190631028181</v>
      </c>
      <c r="AK21" s="961"/>
      <c r="AL21" s="958">
        <f t="shared" si="16"/>
        <v>9731.1487061383996</v>
      </c>
      <c r="AM21" s="958">
        <f t="shared" si="17"/>
        <v>733.15</v>
      </c>
      <c r="AN21" s="958">
        <f t="shared" si="18"/>
        <v>10464.298706138399</v>
      </c>
    </row>
    <row r="22" spans="1:40" s="28" customFormat="1">
      <c r="A22" s="169">
        <v>2027</v>
      </c>
      <c r="B22" s="522">
        <f>'Monthly Peaks'!B460</f>
        <v>10777</v>
      </c>
      <c r="C22" s="522">
        <f>'Monthly Peaks'!B500</f>
        <v>305</v>
      </c>
      <c r="D22" s="522">
        <f t="shared" si="30"/>
        <v>11082</v>
      </c>
      <c r="E22" s="592">
        <f>('Monthly Peaks'!B580-'Monthly Peaks'!B$566)*-1</f>
        <v>-551.61282924684144</v>
      </c>
      <c r="F22" s="592">
        <f t="shared" si="31"/>
        <v>10530.387170753158</v>
      </c>
      <c r="G22" s="592"/>
      <c r="H22" s="713">
        <f>'Monthly Peaks'!B260</f>
        <v>1250</v>
      </c>
      <c r="I22" s="713">
        <f>'Monthly Peaks'!B340</f>
        <v>24.330000000000002</v>
      </c>
      <c r="J22" s="713">
        <f>'Monthly Peaks'!B300</f>
        <v>65.05</v>
      </c>
      <c r="K22" s="734">
        <f>'Monthly Peaks'!B1060</f>
        <v>0</v>
      </c>
      <c r="L22" s="592">
        <f t="shared" si="32"/>
        <v>1339.3799999999999</v>
      </c>
      <c r="M22" s="592"/>
      <c r="N22" s="592">
        <f>'Monthly Peaks'!B380</f>
        <v>25</v>
      </c>
      <c r="O22" s="592">
        <f t="shared" si="33"/>
        <v>11894.767170753157</v>
      </c>
      <c r="P22" s="322">
        <f t="shared" si="34"/>
        <v>-305</v>
      </c>
      <c r="Q22" s="592">
        <f>'Monthly Peaks'!B620*-1+'Monthly Peaks'!B1740</f>
        <v>-1089</v>
      </c>
      <c r="R22" s="609">
        <f t="shared" si="35"/>
        <v>10500.767170753157</v>
      </c>
      <c r="S22" s="170">
        <f>A22</f>
        <v>2027</v>
      </c>
      <c r="T22" s="884">
        <f t="shared" si="29"/>
        <v>13693</v>
      </c>
      <c r="U22" s="452">
        <f>T22/R22-1</f>
        <v>0.30399996279680241</v>
      </c>
      <c r="V22" s="1072">
        <f>T22-(1.2*$R22)</f>
        <v>1092.0793950962125</v>
      </c>
      <c r="W22" s="876">
        <f>[31]System!$C540</f>
        <v>47342233</v>
      </c>
      <c r="X22" s="878">
        <f>W22/(O22*8760)</f>
        <v>0.45434806920854592</v>
      </c>
      <c r="Y22" s="988">
        <v>2027</v>
      </c>
      <c r="Z22" s="957">
        <f t="shared" si="9"/>
        <v>3.596010323047083E-2</v>
      </c>
      <c r="AA22" s="960"/>
      <c r="AB22" s="957">
        <f t="shared" si="10"/>
        <v>-5.1265865525534915E-3</v>
      </c>
      <c r="AC22" s="960"/>
      <c r="AD22" s="958">
        <f>SUM(P22:Q22)</f>
        <v>-1394</v>
      </c>
      <c r="AE22" s="959"/>
      <c r="AF22" s="958">
        <f t="shared" si="12"/>
        <v>-927</v>
      </c>
      <c r="AG22" s="960"/>
      <c r="AH22" s="958">
        <f t="shared" si="13"/>
        <v>9166.387170753158</v>
      </c>
      <c r="AI22" s="958">
        <f t="shared" si="14"/>
        <v>1334.3799999999999</v>
      </c>
      <c r="AJ22" s="958">
        <f t="shared" si="15"/>
        <v>10500.767170753157</v>
      </c>
      <c r="AK22" s="961"/>
      <c r="AL22" s="958">
        <f t="shared" si="16"/>
        <v>9821.5976646526124</v>
      </c>
      <c r="AM22" s="958">
        <f t="shared" si="17"/>
        <v>733.28</v>
      </c>
      <c r="AN22" s="958">
        <f t="shared" si="18"/>
        <v>10554.877664652613</v>
      </c>
    </row>
    <row r="23" spans="1:40" s="28" customFormat="1">
      <c r="A23" s="169">
        <v>2028</v>
      </c>
      <c r="B23" s="522">
        <f>'Monthly Peaks'!B461</f>
        <v>10881</v>
      </c>
      <c r="C23" s="522">
        <f>'Monthly Peaks'!B501</f>
        <v>304</v>
      </c>
      <c r="D23" s="522">
        <f t="shared" si="30"/>
        <v>11185</v>
      </c>
      <c r="E23" s="592">
        <f>('Monthly Peaks'!B581-'Monthly Peaks'!B$566)*-1</f>
        <v>-578.36118098466602</v>
      </c>
      <c r="F23" s="592">
        <f t="shared" si="31"/>
        <v>10606.638819015334</v>
      </c>
      <c r="G23" s="592"/>
      <c r="H23" s="713">
        <f>'Monthly Peaks'!B261</f>
        <v>1250</v>
      </c>
      <c r="I23" s="713">
        <f>'Monthly Peaks'!B341</f>
        <v>24.52</v>
      </c>
      <c r="J23" s="713">
        <f>'Monthly Peaks'!B301</f>
        <v>65.05</v>
      </c>
      <c r="K23" s="734">
        <f>'Monthly Peaks'!B1061</f>
        <v>0</v>
      </c>
      <c r="L23" s="592">
        <f t="shared" si="32"/>
        <v>1339.57</v>
      </c>
      <c r="M23" s="592"/>
      <c r="N23" s="592">
        <f>'Monthly Peaks'!B381</f>
        <v>25</v>
      </c>
      <c r="O23" s="592">
        <f t="shared" si="33"/>
        <v>11971.208819015334</v>
      </c>
      <c r="P23" s="322">
        <f t="shared" si="34"/>
        <v>-304</v>
      </c>
      <c r="Q23" s="592">
        <f>'Monthly Peaks'!B621*-1+'Monthly Peaks'!B1741</f>
        <v>-1104</v>
      </c>
      <c r="R23" s="609">
        <f t="shared" si="35"/>
        <v>10563.208819015334</v>
      </c>
      <c r="S23" s="170">
        <f>A23</f>
        <v>2028</v>
      </c>
      <c r="T23" s="884">
        <f t="shared" si="29"/>
        <v>13693</v>
      </c>
      <c r="U23" s="452">
        <f>T23/R23-1</f>
        <v>0.29629170781425618</v>
      </c>
      <c r="V23" s="1072">
        <f>T23-(1.2*$R23)</f>
        <v>1017.1494171815993</v>
      </c>
      <c r="W23" s="876">
        <f>[31]System!$C541</f>
        <v>47849837</v>
      </c>
      <c r="X23" s="878">
        <f>W23/(O23*8784)</f>
        <v>0.45504058090321242</v>
      </c>
      <c r="Y23" s="988">
        <v>2028</v>
      </c>
      <c r="Z23" s="957">
        <f t="shared" si="9"/>
        <v>3.3980789155338087E-2</v>
      </c>
      <c r="AA23" s="960"/>
      <c r="AB23" s="957">
        <f t="shared" si="10"/>
        <v>-7.4771469084085052E-3</v>
      </c>
      <c r="AC23" s="960"/>
      <c r="AD23" s="958">
        <f>SUM(P23:Q23)</f>
        <v>-1408</v>
      </c>
      <c r="AE23" s="959"/>
      <c r="AF23" s="958">
        <f t="shared" si="12"/>
        <v>-935</v>
      </c>
      <c r="AG23" s="960"/>
      <c r="AH23" s="958">
        <f t="shared" si="13"/>
        <v>9228.6388190153339</v>
      </c>
      <c r="AI23" s="958">
        <f t="shared" si="14"/>
        <v>1334.57</v>
      </c>
      <c r="AJ23" s="958">
        <f t="shared" si="15"/>
        <v>10563.208819015334</v>
      </c>
      <c r="AK23" s="961"/>
      <c r="AL23" s="958">
        <f t="shared" si="16"/>
        <v>9909.4564971694963</v>
      </c>
      <c r="AM23" s="958">
        <f t="shared" si="17"/>
        <v>733.32999999999993</v>
      </c>
      <c r="AN23" s="958">
        <f t="shared" si="18"/>
        <v>10642.786497169496</v>
      </c>
    </row>
    <row r="24" spans="1:40" s="28" customFormat="1">
      <c r="A24" s="169">
        <v>2029</v>
      </c>
      <c r="B24" s="522">
        <f>'Monthly Peaks'!B462</f>
        <v>10982</v>
      </c>
      <c r="C24" s="522">
        <f>'Monthly Peaks'!B502</f>
        <v>305</v>
      </c>
      <c r="D24" s="522">
        <f t="shared" si="30"/>
        <v>11287</v>
      </c>
      <c r="E24" s="592">
        <f>('Monthly Peaks'!B582-'Monthly Peaks'!B$566)*-1</f>
        <v>-604.4282083956117</v>
      </c>
      <c r="F24" s="592">
        <f t="shared" si="31"/>
        <v>10682.571791604389</v>
      </c>
      <c r="G24" s="592"/>
      <c r="H24" s="713">
        <f>'Monthly Peaks'!B262</f>
        <v>1250</v>
      </c>
      <c r="I24" s="713">
        <f>'Monthly Peaks'!B342</f>
        <v>24.71</v>
      </c>
      <c r="J24" s="713">
        <f>'Monthly Peaks'!B302</f>
        <v>65.05</v>
      </c>
      <c r="K24" s="734">
        <f>'Monthly Peaks'!B1062</f>
        <v>0</v>
      </c>
      <c r="L24" s="592">
        <f t="shared" si="32"/>
        <v>1339.76</v>
      </c>
      <c r="M24" s="592"/>
      <c r="N24" s="592">
        <f>'Monthly Peaks'!B382</f>
        <v>25</v>
      </c>
      <c r="O24" s="592">
        <f t="shared" si="33"/>
        <v>12047.331791604389</v>
      </c>
      <c r="P24" s="322">
        <f t="shared" si="34"/>
        <v>-305</v>
      </c>
      <c r="Q24" s="592">
        <f>'Monthly Peaks'!B622*-1+'Monthly Peaks'!B1742</f>
        <v>-1118</v>
      </c>
      <c r="R24" s="609">
        <f t="shared" si="35"/>
        <v>10624.331791604389</v>
      </c>
      <c r="S24" s="170">
        <f>A24</f>
        <v>2029</v>
      </c>
      <c r="T24" s="884">
        <f t="shared" si="29"/>
        <v>13693</v>
      </c>
      <c r="U24" s="452">
        <f>T24/R24-1</f>
        <v>0.28883399620675898</v>
      </c>
      <c r="V24" s="1072">
        <f>T24-(1.2*$R24)</f>
        <v>943.80185007473301</v>
      </c>
      <c r="W24" s="876">
        <f>[31]System!$C542</f>
        <v>48232387</v>
      </c>
      <c r="X24" s="878">
        <f>W24/(O24*8760)</f>
        <v>0.45702902073126189</v>
      </c>
      <c r="Y24" s="988">
        <v>2029</v>
      </c>
      <c r="Z24" s="957">
        <f t="shared" si="9"/>
        <v>3.2054165920656574E-2</v>
      </c>
      <c r="AA24" s="960"/>
      <c r="AB24" s="957">
        <f t="shared" si="10"/>
        <v>-9.6779557613110301E-3</v>
      </c>
      <c r="AC24" s="960"/>
      <c r="AD24" s="958">
        <f>SUM(P24:Q24)</f>
        <v>-1423</v>
      </c>
      <c r="AE24" s="959"/>
      <c r="AF24" s="958">
        <f t="shared" si="12"/>
        <v>-945</v>
      </c>
      <c r="AG24" s="960"/>
      <c r="AH24" s="958">
        <f t="shared" si="13"/>
        <v>9289.5717916043886</v>
      </c>
      <c r="AI24" s="958">
        <f t="shared" si="14"/>
        <v>1334.76</v>
      </c>
      <c r="AJ24" s="958">
        <f t="shared" si="15"/>
        <v>10624.331791604389</v>
      </c>
      <c r="AK24" s="961"/>
      <c r="AL24" s="958">
        <f t="shared" si="16"/>
        <v>9994.6884343321926</v>
      </c>
      <c r="AM24" s="958">
        <f t="shared" si="17"/>
        <v>733.46999999999991</v>
      </c>
      <c r="AN24" s="958">
        <f t="shared" si="18"/>
        <v>10728.158434332192</v>
      </c>
    </row>
    <row r="25" spans="1:40" s="28" customFormat="1">
      <c r="A25" s="168">
        <v>2030</v>
      </c>
      <c r="B25" s="523">
        <f>'Monthly Peaks'!B463</f>
        <v>11079</v>
      </c>
      <c r="C25" s="523">
        <f>'Monthly Peaks'!B503</f>
        <v>305</v>
      </c>
      <c r="D25" s="523">
        <f t="shared" si="30"/>
        <v>11384</v>
      </c>
      <c r="E25" s="598">
        <f>('Monthly Peaks'!B583-'Monthly Peaks'!B$566)*-1</f>
        <v>-629.76289558402357</v>
      </c>
      <c r="F25" s="598">
        <f t="shared" si="31"/>
        <v>10754.237104415977</v>
      </c>
      <c r="G25" s="598"/>
      <c r="H25" s="716">
        <f>'Monthly Peaks'!B263</f>
        <v>1250</v>
      </c>
      <c r="I25" s="716">
        <f>'Monthly Peaks'!B343</f>
        <v>24.810000000000002</v>
      </c>
      <c r="J25" s="716">
        <f>'Monthly Peaks'!B303</f>
        <v>65.05</v>
      </c>
      <c r="K25" s="735">
        <f>'Monthly Peaks'!B1063</f>
        <v>0</v>
      </c>
      <c r="L25" s="598">
        <f t="shared" si="32"/>
        <v>1339.86</v>
      </c>
      <c r="M25" s="598"/>
      <c r="N25" s="598">
        <f>'Monthly Peaks'!B383</f>
        <v>25</v>
      </c>
      <c r="O25" s="598">
        <f t="shared" si="33"/>
        <v>12119.097104415978</v>
      </c>
      <c r="P25" s="597">
        <f t="shared" si="34"/>
        <v>-305</v>
      </c>
      <c r="Q25" s="598">
        <f>'Monthly Peaks'!B623*-1+'Monthly Peaks'!B1743</f>
        <v>-1131</v>
      </c>
      <c r="R25" s="610">
        <f t="shared" si="35"/>
        <v>10683.097104415978</v>
      </c>
      <c r="S25" s="170">
        <f>A25</f>
        <v>2030</v>
      </c>
      <c r="T25" s="884">
        <f t="shared" si="29"/>
        <v>13693</v>
      </c>
      <c r="U25" s="452">
        <f>T25/R25-1</f>
        <v>0.2817444104612552</v>
      </c>
      <c r="V25" s="1072">
        <f>T25-(1.2*$R25)</f>
        <v>873.28347470082736</v>
      </c>
      <c r="W25" s="876">
        <f>[31]System!$C543</f>
        <v>48576796</v>
      </c>
      <c r="X25" s="878">
        <f>W25/(O25*8760)</f>
        <v>0.45756678894926578</v>
      </c>
      <c r="Y25" s="988">
        <v>2030</v>
      </c>
      <c r="Z25" s="957">
        <f t="shared" si="9"/>
        <v>3.0368890511861091E-2</v>
      </c>
      <c r="AA25" s="960"/>
      <c r="AB25" s="957">
        <f t="shared" si="10"/>
        <v>-1.1547488021949714E-2</v>
      </c>
      <c r="AC25" s="960"/>
      <c r="AD25" s="958">
        <f>SUM(P25:Q25)</f>
        <v>-1436</v>
      </c>
      <c r="AE25" s="959"/>
      <c r="AF25" s="958">
        <f t="shared" si="12"/>
        <v>-954</v>
      </c>
      <c r="AG25" s="960"/>
      <c r="AH25" s="958">
        <f>R25-L25+K25+5</f>
        <v>9348.2371044159772</v>
      </c>
      <c r="AI25" s="958">
        <f>L25-K25-5</f>
        <v>1334.86</v>
      </c>
      <c r="AJ25" s="958">
        <f>AI25+AH25</f>
        <v>10683.097104415978</v>
      </c>
      <c r="AK25" s="961"/>
      <c r="AL25" s="958">
        <f t="shared" si="16"/>
        <v>10074.30121422971</v>
      </c>
      <c r="AM25" s="958">
        <f t="shared" si="17"/>
        <v>733.59999999999991</v>
      </c>
      <c r="AN25" s="958">
        <f t="shared" si="18"/>
        <v>10807.901214229711</v>
      </c>
    </row>
    <row r="26" spans="1:40" s="28" customFormat="1">
      <c r="A26" s="170"/>
      <c r="B26" s="1396" t="s">
        <v>590</v>
      </c>
      <c r="C26" s="1396"/>
      <c r="D26" s="1396"/>
      <c r="E26" s="1397"/>
      <c r="F26" s="190"/>
      <c r="G26" s="190"/>
      <c r="H26" s="605"/>
      <c r="I26" s="605"/>
      <c r="J26" s="605"/>
      <c r="K26" s="603"/>
      <c r="L26" s="190"/>
      <c r="M26" s="190"/>
      <c r="N26" s="522"/>
      <c r="O26" s="190"/>
      <c r="P26" s="171"/>
      <c r="Q26" s="190"/>
      <c r="R26" s="190"/>
      <c r="S26" s="170"/>
      <c r="T26" s="524"/>
      <c r="U26" s="452"/>
      <c r="W26" s="320"/>
      <c r="X26" s="453"/>
      <c r="Z26" s="960"/>
      <c r="AA26" s="960"/>
      <c r="AB26" s="960"/>
      <c r="AC26" s="960"/>
      <c r="AD26" s="960"/>
      <c r="AE26" s="960"/>
      <c r="AF26" s="960"/>
      <c r="AG26" s="960"/>
      <c r="AH26" s="960"/>
      <c r="AI26" s="960"/>
      <c r="AJ26" s="960"/>
      <c r="AK26" s="960"/>
      <c r="AL26" s="960"/>
      <c r="AM26" s="960"/>
      <c r="AN26" s="960"/>
    </row>
    <row r="27" spans="1:40">
      <c r="A27" s="1635" t="s">
        <v>559</v>
      </c>
      <c r="B27" s="1624"/>
      <c r="C27" s="1624"/>
      <c r="D27" s="1624"/>
      <c r="E27" s="1624"/>
      <c r="F27" s="1624"/>
      <c r="G27" s="1624"/>
      <c r="H27" s="1624"/>
      <c r="I27" s="1624"/>
      <c r="J27" s="1624"/>
      <c r="K27" s="1624"/>
      <c r="L27" s="1624"/>
      <c r="M27" s="1624"/>
      <c r="N27" s="1624"/>
      <c r="O27" s="1624"/>
      <c r="P27" s="1624"/>
      <c r="Q27" s="1624"/>
      <c r="R27" s="1625"/>
      <c r="S27" s="28"/>
      <c r="AG27" s="1193" t="s">
        <v>555</v>
      </c>
      <c r="AH27" s="331">
        <f>(AH13/AH8)^(0.2)-1</f>
        <v>0.13816849599470715</v>
      </c>
      <c r="AI27" s="331">
        <f t="shared" ref="AI27:AN27" si="36">(AI13/AI8)^(0.2)-1</f>
        <v>4.3137305803258474E-2</v>
      </c>
      <c r="AJ27" s="331">
        <f t="shared" si="36"/>
        <v>0.12455866512603331</v>
      </c>
      <c r="AK27" s="331"/>
      <c r="AL27" s="331">
        <f t="shared" si="36"/>
        <v>2.5661306940514494E-2</v>
      </c>
      <c r="AM27" s="331">
        <f t="shared" si="36"/>
        <v>-8.8402419560007939E-2</v>
      </c>
      <c r="AN27" s="331">
        <f t="shared" si="36"/>
        <v>1.5792016716741575E-2</v>
      </c>
    </row>
    <row r="28" spans="1:40">
      <c r="A28" s="166"/>
      <c r="B28" s="520" t="s">
        <v>116</v>
      </c>
      <c r="C28" s="520"/>
      <c r="D28" s="520"/>
      <c r="F28" s="520" t="s">
        <v>21</v>
      </c>
      <c r="G28" s="1092" t="s">
        <v>615</v>
      </c>
      <c r="H28" s="520"/>
      <c r="I28" s="520"/>
      <c r="J28" s="520"/>
      <c r="K28" s="520"/>
      <c r="L28" s="520"/>
      <c r="M28" s="520"/>
      <c r="N28" s="520"/>
      <c r="O28" s="520" t="str">
        <f>F28</f>
        <v>Total</v>
      </c>
      <c r="P28" s="520"/>
      <c r="Q28" s="520"/>
      <c r="R28" s="612"/>
      <c r="S28" s="28"/>
      <c r="T28" s="1636" t="s">
        <v>262</v>
      </c>
      <c r="U28" s="1637"/>
      <c r="V28" s="1637"/>
      <c r="W28" s="1637"/>
      <c r="X28" s="1638"/>
      <c r="Y28" s="866"/>
      <c r="Z28" s="866"/>
      <c r="AA28" s="866"/>
      <c r="AB28" s="866"/>
    </row>
    <row r="29" spans="1:40">
      <c r="A29" s="167"/>
      <c r="B29" s="170" t="s">
        <v>117</v>
      </c>
      <c r="C29" s="170"/>
      <c r="D29" s="170" t="s">
        <v>120</v>
      </c>
      <c r="E29" s="28"/>
      <c r="F29" s="170" t="s">
        <v>118</v>
      </c>
      <c r="G29" s="1354" t="s">
        <v>586</v>
      </c>
      <c r="H29" s="1632" t="s">
        <v>123</v>
      </c>
      <c r="I29" s="1633"/>
      <c r="J29" s="1633"/>
      <c r="K29" s="1633"/>
      <c r="L29" s="1634"/>
      <c r="M29" s="170"/>
      <c r="N29" s="521"/>
      <c r="O29" s="170" t="s">
        <v>125</v>
      </c>
      <c r="P29" s="170"/>
      <c r="Q29" s="170"/>
      <c r="R29" s="613" t="s">
        <v>21</v>
      </c>
      <c r="S29" s="28"/>
      <c r="T29" s="885" t="str">
        <f>T5</f>
        <v>TYSP13</v>
      </c>
      <c r="V29" s="888" t="s">
        <v>417</v>
      </c>
      <c r="Z29" s="866"/>
      <c r="AA29" s="866"/>
      <c r="AB29" s="866"/>
    </row>
    <row r="30" spans="1:40">
      <c r="A30" s="167"/>
      <c r="B30" s="170" t="s">
        <v>118</v>
      </c>
      <c r="C30" s="170" t="s">
        <v>118</v>
      </c>
      <c r="D30" s="170" t="s">
        <v>21</v>
      </c>
      <c r="E30" s="591" t="s">
        <v>121</v>
      </c>
      <c r="F30" s="170" t="s">
        <v>122</v>
      </c>
      <c r="G30" s="591" t="s">
        <v>121</v>
      </c>
      <c r="H30" s="520" t="s">
        <v>21</v>
      </c>
      <c r="I30" s="520" t="s">
        <v>288</v>
      </c>
      <c r="J30" s="520"/>
      <c r="K30" s="706" t="str">
        <f>K6</f>
        <v>Non-</v>
      </c>
      <c r="L30" s="520"/>
      <c r="M30" s="170"/>
      <c r="N30" s="170" t="s">
        <v>264</v>
      </c>
      <c r="O30" s="170" t="str">
        <f>F30</f>
        <v>before</v>
      </c>
      <c r="P30" s="170" t="s">
        <v>21</v>
      </c>
      <c r="Q30" s="521" t="s">
        <v>147</v>
      </c>
      <c r="R30" s="613" t="s">
        <v>125</v>
      </c>
      <c r="S30" s="28"/>
      <c r="T30" s="725" t="s">
        <v>222</v>
      </c>
      <c r="V30" s="725" t="s">
        <v>367</v>
      </c>
      <c r="X30" s="321" t="s">
        <v>352</v>
      </c>
      <c r="Z30" s="1368" t="s">
        <v>602</v>
      </c>
      <c r="AA30" s="866"/>
      <c r="AB30" s="866"/>
    </row>
    <row r="31" spans="1:40">
      <c r="A31" s="168" t="s">
        <v>126</v>
      </c>
      <c r="B31" s="519" t="s">
        <v>119</v>
      </c>
      <c r="C31" s="519" t="s">
        <v>66</v>
      </c>
      <c r="D31" s="519" t="s">
        <v>118</v>
      </c>
      <c r="E31" s="731" t="s">
        <v>59</v>
      </c>
      <c r="F31" s="519" t="s">
        <v>62</v>
      </c>
      <c r="G31" s="731" t="s">
        <v>59</v>
      </c>
      <c r="H31" s="586" t="s">
        <v>154</v>
      </c>
      <c r="I31" s="586" t="s">
        <v>286</v>
      </c>
      <c r="J31" s="519" t="s">
        <v>287</v>
      </c>
      <c r="K31" s="705" t="str">
        <f>K7</f>
        <v>Firm</v>
      </c>
      <c r="L31" s="519" t="s">
        <v>0</v>
      </c>
      <c r="M31" s="519"/>
      <c r="N31" s="519" t="s">
        <v>124</v>
      </c>
      <c r="O31" s="519" t="str">
        <f>F31</f>
        <v>DLC</v>
      </c>
      <c r="P31" s="519" t="s">
        <v>66</v>
      </c>
      <c r="Q31" s="519" t="s">
        <v>131</v>
      </c>
      <c r="R31" s="614" t="s">
        <v>117</v>
      </c>
      <c r="S31" s="448" t="s">
        <v>126</v>
      </c>
      <c r="T31" s="883" t="s">
        <v>221</v>
      </c>
      <c r="U31" s="446" t="s">
        <v>223</v>
      </c>
      <c r="V31" s="783" t="s">
        <v>368</v>
      </c>
      <c r="W31" s="782" t="s">
        <v>219</v>
      </c>
      <c r="X31" s="446" t="s">
        <v>220</v>
      </c>
      <c r="Z31" s="1368" t="s">
        <v>603</v>
      </c>
      <c r="AA31" s="866"/>
      <c r="AB31" s="866"/>
    </row>
    <row r="32" spans="1:40" hidden="1">
      <c r="A32" s="169">
        <v>2013</v>
      </c>
      <c r="B32" s="524">
        <v>9911</v>
      </c>
      <c r="C32" s="524">
        <v>234</v>
      </c>
      <c r="D32" s="522">
        <v>10145</v>
      </c>
      <c r="E32" s="524">
        <v>-951</v>
      </c>
      <c r="F32" s="592">
        <v>9194</v>
      </c>
      <c r="G32" s="170"/>
      <c r="H32" s="524">
        <v>600</v>
      </c>
      <c r="I32" s="524">
        <v>46</v>
      </c>
      <c r="J32" s="524">
        <v>247.608</v>
      </c>
      <c r="K32" s="524">
        <v>15</v>
      </c>
      <c r="L32" s="592">
        <v>908.60799999999995</v>
      </c>
      <c r="M32" s="170"/>
      <c r="N32" s="524">
        <v>25</v>
      </c>
      <c r="O32" s="592">
        <v>10127.608</v>
      </c>
      <c r="P32" s="524">
        <v>-249</v>
      </c>
      <c r="Q32" s="524">
        <v>-892</v>
      </c>
      <c r="R32" s="609">
        <v>8986.6080000000002</v>
      </c>
      <c r="S32" s="170">
        <f t="shared" ref="S32:S33" si="37">A32</f>
        <v>2013</v>
      </c>
      <c r="T32" s="511">
        <v>11903</v>
      </c>
      <c r="U32" s="331">
        <f t="shared" ref="U32:U49" si="38">(T32)/R83-1</f>
        <v>0.36379520729618409</v>
      </c>
      <c r="V32" s="784">
        <f t="shared" ref="V32:V49" si="39">T32-(1.2*$R83)</f>
        <v>1429.58</v>
      </c>
      <c r="W32" s="588">
        <f t="shared" ref="W32:W49" si="40">W8</f>
        <v>40270133</v>
      </c>
      <c r="X32" s="877">
        <f>W32/(O83*8760)</f>
        <v>0.48827567761163959</v>
      </c>
      <c r="Z32" s="866"/>
      <c r="AA32" s="866"/>
      <c r="AB32" s="866"/>
    </row>
    <row r="33" spans="1:28">
      <c r="A33" s="169">
        <v>2014</v>
      </c>
      <c r="B33" s="1355">
        <v>10060</v>
      </c>
      <c r="C33" s="524">
        <v>236</v>
      </c>
      <c r="D33" s="1357">
        <v>10296</v>
      </c>
      <c r="E33" s="1355">
        <v>-1017</v>
      </c>
      <c r="F33" s="592">
        <v>9279</v>
      </c>
      <c r="G33" s="524">
        <f>E33-$E$32</f>
        <v>-66</v>
      </c>
      <c r="H33" s="524">
        <v>650</v>
      </c>
      <c r="I33" s="524">
        <v>46</v>
      </c>
      <c r="J33" s="524">
        <v>230.608</v>
      </c>
      <c r="K33" s="524">
        <v>15</v>
      </c>
      <c r="L33" s="592">
        <v>941.60799999999995</v>
      </c>
      <c r="M33" s="170"/>
      <c r="N33" s="524">
        <v>25</v>
      </c>
      <c r="O33" s="592">
        <v>10245.608</v>
      </c>
      <c r="P33" s="524">
        <v>-251</v>
      </c>
      <c r="Q33" s="524">
        <v>-905</v>
      </c>
      <c r="R33" s="609">
        <v>9089.6080000000002</v>
      </c>
      <c r="S33" s="170">
        <f t="shared" si="37"/>
        <v>2014</v>
      </c>
      <c r="T33" s="511">
        <v>10960</v>
      </c>
      <c r="U33" s="331">
        <f t="shared" si="38"/>
        <v>0.24377393169410522</v>
      </c>
      <c r="V33" s="784">
        <f t="shared" si="39"/>
        <v>385.73110365315551</v>
      </c>
      <c r="W33" s="588">
        <f t="shared" si="40"/>
        <v>39801314</v>
      </c>
      <c r="X33" s="877">
        <f>W33/(O84*8760)</f>
        <v>0.47781903445345747</v>
      </c>
      <c r="Z33" s="866">
        <f>O9/O84</f>
        <v>1.0488451996535975</v>
      </c>
      <c r="AA33" s="866"/>
      <c r="AB33" s="866"/>
    </row>
    <row r="34" spans="1:28">
      <c r="A34" s="169">
        <v>2015</v>
      </c>
      <c r="B34" s="1355">
        <v>10248</v>
      </c>
      <c r="C34" s="524">
        <v>239</v>
      </c>
      <c r="D34" s="1357">
        <v>10487</v>
      </c>
      <c r="E34" s="1355">
        <v>-1074</v>
      </c>
      <c r="F34" s="592">
        <v>9413</v>
      </c>
      <c r="G34" s="524">
        <f t="shared" ref="G34:G49" si="41">E34-$E$32</f>
        <v>-123</v>
      </c>
      <c r="H34" s="524">
        <v>1150</v>
      </c>
      <c r="I34" s="524">
        <v>47</v>
      </c>
      <c r="J34" s="524">
        <v>232.608</v>
      </c>
      <c r="K34" s="524">
        <v>15</v>
      </c>
      <c r="L34" s="592">
        <v>1444.6079999999999</v>
      </c>
      <c r="M34" s="170"/>
      <c r="N34" s="524">
        <v>25</v>
      </c>
      <c r="O34" s="592">
        <v>10882.608</v>
      </c>
      <c r="P34" s="524">
        <v>-254</v>
      </c>
      <c r="Q34" s="524">
        <v>-919</v>
      </c>
      <c r="R34" s="609">
        <v>9709.6080000000002</v>
      </c>
      <c r="S34" s="170">
        <f t="shared" ref="S34:S49" si="42">A34</f>
        <v>2015</v>
      </c>
      <c r="T34" s="511">
        <v>11000</v>
      </c>
      <c r="U34" s="331">
        <f t="shared" si="38"/>
        <v>0.21657165395255862</v>
      </c>
      <c r="V34" s="784">
        <f t="shared" si="39"/>
        <v>149.83761366287217</v>
      </c>
      <c r="W34" s="588">
        <f t="shared" si="40"/>
        <v>40489597</v>
      </c>
      <c r="X34" s="877">
        <f>W34/(O85*8760)</f>
        <v>0.47407117801498899</v>
      </c>
      <c r="Z34" s="866">
        <f t="shared" ref="Z34:Z49" si="43">O10/O85</f>
        <v>1.0520160050421963</v>
      </c>
      <c r="AA34" s="866"/>
      <c r="AB34" s="866"/>
    </row>
    <row r="35" spans="1:28">
      <c r="A35" s="169">
        <v>2016</v>
      </c>
      <c r="B35" s="1355">
        <v>10441</v>
      </c>
      <c r="C35" s="524">
        <v>238</v>
      </c>
      <c r="D35" s="1357">
        <v>10679</v>
      </c>
      <c r="E35" s="1355">
        <v>-1124</v>
      </c>
      <c r="F35" s="592">
        <v>9555</v>
      </c>
      <c r="G35" s="524">
        <f t="shared" si="41"/>
        <v>-173</v>
      </c>
      <c r="H35" s="524">
        <v>1150</v>
      </c>
      <c r="I35" s="524">
        <v>47</v>
      </c>
      <c r="J35" s="524">
        <v>234.608</v>
      </c>
      <c r="K35" s="524">
        <v>15</v>
      </c>
      <c r="L35" s="592">
        <v>1446.6079999999999</v>
      </c>
      <c r="M35" s="170"/>
      <c r="N35" s="524">
        <v>25</v>
      </c>
      <c r="O35" s="592">
        <v>11026.608</v>
      </c>
      <c r="P35" s="524">
        <v>-253</v>
      </c>
      <c r="Q35" s="524">
        <v>-932</v>
      </c>
      <c r="R35" s="609">
        <v>9841.6080000000002</v>
      </c>
      <c r="S35" s="170">
        <f t="shared" si="42"/>
        <v>2016</v>
      </c>
      <c r="T35" s="511">
        <v>11415</v>
      </c>
      <c r="U35" s="331">
        <f t="shared" si="38"/>
        <v>0.2477093014290328</v>
      </c>
      <c r="V35" s="784">
        <f t="shared" si="39"/>
        <v>436.48121817210449</v>
      </c>
      <c r="W35" s="588">
        <f t="shared" si="40"/>
        <v>41098360</v>
      </c>
      <c r="X35" s="877">
        <f>W35/(O86*8784)</f>
        <v>0.47429155550338675</v>
      </c>
      <c r="Z35" s="866">
        <f t="shared" si="43"/>
        <v>1.0654910027415525</v>
      </c>
      <c r="AA35" s="866"/>
      <c r="AB35" s="866"/>
    </row>
    <row r="36" spans="1:28">
      <c r="A36" s="169">
        <v>2017</v>
      </c>
      <c r="B36" s="1355">
        <v>10633</v>
      </c>
      <c r="C36" s="524">
        <v>247</v>
      </c>
      <c r="D36" s="1357">
        <v>10880</v>
      </c>
      <c r="E36" s="1355">
        <v>-1171</v>
      </c>
      <c r="F36" s="592">
        <v>9709</v>
      </c>
      <c r="G36" s="524">
        <f t="shared" si="41"/>
        <v>-220</v>
      </c>
      <c r="H36" s="524">
        <v>1250</v>
      </c>
      <c r="I36" s="524">
        <v>23</v>
      </c>
      <c r="J36" s="524">
        <v>106</v>
      </c>
      <c r="K36" s="524">
        <v>15</v>
      </c>
      <c r="L36" s="592">
        <v>1394</v>
      </c>
      <c r="M36" s="170"/>
      <c r="N36" s="524">
        <v>25</v>
      </c>
      <c r="O36" s="592">
        <v>11128</v>
      </c>
      <c r="P36" s="524">
        <v>-262</v>
      </c>
      <c r="Q36" s="524">
        <v>-956</v>
      </c>
      <c r="R36" s="609">
        <v>9910</v>
      </c>
      <c r="S36" s="170">
        <f t="shared" si="42"/>
        <v>2017</v>
      </c>
      <c r="T36" s="511">
        <f>T35</f>
        <v>11415</v>
      </c>
      <c r="U36" s="331">
        <f t="shared" si="38"/>
        <v>0.22649626643610965</v>
      </c>
      <c r="V36" s="784">
        <f t="shared" si="39"/>
        <v>246.60073548128275</v>
      </c>
      <c r="W36" s="588">
        <f t="shared" si="40"/>
        <v>41375353</v>
      </c>
      <c r="X36" s="877">
        <f>W36/(O87*8760)</f>
        <v>0.46931777627491605</v>
      </c>
      <c r="Z36" s="866">
        <f t="shared" si="43"/>
        <v>1.0406546528334539</v>
      </c>
      <c r="AA36" s="866"/>
      <c r="AB36" s="866"/>
    </row>
    <row r="37" spans="1:28">
      <c r="A37" s="169">
        <v>2018</v>
      </c>
      <c r="B37" s="1355">
        <v>10832</v>
      </c>
      <c r="C37" s="524">
        <v>249</v>
      </c>
      <c r="D37" s="1357">
        <v>11081</v>
      </c>
      <c r="E37" s="1355">
        <v>-1207</v>
      </c>
      <c r="F37" s="592">
        <v>9874</v>
      </c>
      <c r="G37" s="524">
        <f t="shared" si="41"/>
        <v>-256</v>
      </c>
      <c r="H37" s="524">
        <v>1250</v>
      </c>
      <c r="I37" s="524">
        <v>23</v>
      </c>
      <c r="J37" s="524">
        <v>106</v>
      </c>
      <c r="K37" s="524">
        <v>15</v>
      </c>
      <c r="L37" s="592">
        <v>1394</v>
      </c>
      <c r="M37" s="170"/>
      <c r="N37" s="524">
        <v>25</v>
      </c>
      <c r="O37" s="592">
        <v>11293</v>
      </c>
      <c r="P37" s="524">
        <v>-264</v>
      </c>
      <c r="Q37" s="524">
        <v>-993</v>
      </c>
      <c r="R37" s="609">
        <v>10036</v>
      </c>
      <c r="S37" s="170">
        <f t="shared" si="42"/>
        <v>2018</v>
      </c>
      <c r="T37" s="511">
        <v>11975</v>
      </c>
      <c r="U37" s="452">
        <f t="shared" si="38"/>
        <v>0.26865715113386668</v>
      </c>
      <c r="V37" s="758">
        <f t="shared" si="39"/>
        <v>648.06270480029889</v>
      </c>
      <c r="W37" s="588">
        <f t="shared" si="40"/>
        <v>41994588</v>
      </c>
      <c r="X37" s="878">
        <f>W37/(O88*8760)</f>
        <v>0.46938696131520624</v>
      </c>
      <c r="Z37" s="1398">
        <f t="shared" si="43"/>
        <v>1.051798555190895</v>
      </c>
      <c r="AA37" s="866"/>
      <c r="AB37" s="866"/>
    </row>
    <row r="38" spans="1:28">
      <c r="A38" s="169">
        <v>2019</v>
      </c>
      <c r="B38" s="1355">
        <v>11034</v>
      </c>
      <c r="C38" s="524">
        <v>263</v>
      </c>
      <c r="D38" s="1357">
        <v>11297</v>
      </c>
      <c r="E38" s="1355">
        <v>-1241</v>
      </c>
      <c r="F38" s="592">
        <v>10056</v>
      </c>
      <c r="G38" s="524">
        <f t="shared" si="41"/>
        <v>-290</v>
      </c>
      <c r="H38" s="524">
        <v>1250</v>
      </c>
      <c r="I38" s="524">
        <v>23</v>
      </c>
      <c r="J38" s="524">
        <v>106</v>
      </c>
      <c r="K38" s="524">
        <v>15</v>
      </c>
      <c r="L38" s="592">
        <v>1394</v>
      </c>
      <c r="M38" s="170"/>
      <c r="N38" s="524">
        <v>25</v>
      </c>
      <c r="O38" s="592">
        <v>11475</v>
      </c>
      <c r="P38" s="524">
        <v>-278</v>
      </c>
      <c r="Q38" s="524">
        <v>-1009</v>
      </c>
      <c r="R38" s="609">
        <v>10188</v>
      </c>
      <c r="S38" s="170">
        <f t="shared" si="42"/>
        <v>2019</v>
      </c>
      <c r="T38" s="511">
        <v>11975</v>
      </c>
      <c r="U38" s="452">
        <f t="shared" si="38"/>
        <v>0.22027850936095583</v>
      </c>
      <c r="V38" s="758">
        <f t="shared" si="39"/>
        <v>198.99977565336121</v>
      </c>
      <c r="W38" s="588">
        <f t="shared" si="40"/>
        <v>43012927</v>
      </c>
      <c r="X38" s="878">
        <f>W38/(O89*8760)</f>
        <v>0.46133586574716307</v>
      </c>
      <c r="Z38" s="866">
        <f t="shared" si="43"/>
        <v>1.0236370351140938</v>
      </c>
      <c r="AA38" s="866"/>
      <c r="AB38" s="866"/>
    </row>
    <row r="39" spans="1:28">
      <c r="A39" s="169">
        <v>2020</v>
      </c>
      <c r="B39" s="1355">
        <v>11235</v>
      </c>
      <c r="C39" s="524">
        <v>277</v>
      </c>
      <c r="D39" s="1357">
        <v>11512</v>
      </c>
      <c r="E39" s="1355">
        <v>-1281</v>
      </c>
      <c r="F39" s="592">
        <v>10231</v>
      </c>
      <c r="G39" s="524">
        <f t="shared" si="41"/>
        <v>-330</v>
      </c>
      <c r="H39" s="524">
        <v>1250</v>
      </c>
      <c r="I39" s="524">
        <v>23</v>
      </c>
      <c r="J39" s="524">
        <v>106</v>
      </c>
      <c r="K39" s="524">
        <v>15</v>
      </c>
      <c r="L39" s="592">
        <v>1394</v>
      </c>
      <c r="M39" s="170"/>
      <c r="N39" s="524">
        <v>25</v>
      </c>
      <c r="O39" s="592">
        <v>11650</v>
      </c>
      <c r="P39" s="524">
        <v>-292</v>
      </c>
      <c r="Q39" s="524">
        <v>-1023</v>
      </c>
      <c r="R39" s="609">
        <v>10335</v>
      </c>
      <c r="S39" s="169">
        <f t="shared" si="42"/>
        <v>2020</v>
      </c>
      <c r="T39" s="511">
        <v>12185</v>
      </c>
      <c r="U39" s="452">
        <f t="shared" si="38"/>
        <v>0.22648064535703138</v>
      </c>
      <c r="V39" s="758">
        <f t="shared" si="39"/>
        <v>263.0833718386948</v>
      </c>
      <c r="W39" s="588">
        <f t="shared" si="40"/>
        <v>43997632</v>
      </c>
      <c r="X39" s="878">
        <f>W39/(O90*8784)</f>
        <v>0.46395610606972576</v>
      </c>
      <c r="Y39" s="28"/>
      <c r="Z39" s="866">
        <f t="shared" si="43"/>
        <v>1.043374369846795</v>
      </c>
      <c r="AA39" s="866"/>
      <c r="AB39" s="866"/>
    </row>
    <row r="40" spans="1:28">
      <c r="A40" s="169">
        <v>2021</v>
      </c>
      <c r="B40" s="1355">
        <v>11435</v>
      </c>
      <c r="C40" s="524">
        <v>285</v>
      </c>
      <c r="D40" s="1357">
        <v>11720</v>
      </c>
      <c r="E40" s="1355">
        <v>-1316</v>
      </c>
      <c r="F40" s="592">
        <v>10404</v>
      </c>
      <c r="G40" s="524">
        <f t="shared" si="41"/>
        <v>-365</v>
      </c>
      <c r="H40" s="524">
        <v>1250</v>
      </c>
      <c r="I40" s="524">
        <v>23</v>
      </c>
      <c r="J40" s="524">
        <v>106</v>
      </c>
      <c r="K40" s="524">
        <v>15</v>
      </c>
      <c r="L40" s="592">
        <v>1394</v>
      </c>
      <c r="M40" s="170"/>
      <c r="N40" s="524">
        <v>25</v>
      </c>
      <c r="O40" s="592">
        <v>11823</v>
      </c>
      <c r="P40" s="524">
        <v>-300</v>
      </c>
      <c r="Q40" s="524">
        <v>-1038</v>
      </c>
      <c r="R40" s="609">
        <v>10485</v>
      </c>
      <c r="S40" s="169">
        <f t="shared" si="42"/>
        <v>2021</v>
      </c>
      <c r="T40" s="511">
        <v>12185</v>
      </c>
      <c r="U40" s="452">
        <f t="shared" si="38"/>
        <v>0.22435206782618677</v>
      </c>
      <c r="V40" s="758">
        <f t="shared" si="39"/>
        <v>242.35671606200958</v>
      </c>
      <c r="W40" s="588">
        <f t="shared" si="40"/>
        <v>44418922</v>
      </c>
      <c r="X40" s="878">
        <f>W40/(O91*8760)</f>
        <v>0.46849840289815203</v>
      </c>
      <c r="Y40" s="28"/>
      <c r="Z40" s="866">
        <f t="shared" si="43"/>
        <v>1.0502426472353295</v>
      </c>
      <c r="AA40" s="866"/>
      <c r="AB40" s="866"/>
    </row>
    <row r="41" spans="1:28">
      <c r="A41" s="169">
        <v>2022</v>
      </c>
      <c r="B41" s="1355">
        <v>11631</v>
      </c>
      <c r="C41" s="524">
        <v>285</v>
      </c>
      <c r="D41" s="1357">
        <v>11916</v>
      </c>
      <c r="E41" s="1355">
        <v>-1348</v>
      </c>
      <c r="F41" s="592">
        <v>10568</v>
      </c>
      <c r="G41" s="524">
        <f t="shared" si="41"/>
        <v>-397</v>
      </c>
      <c r="H41" s="524">
        <v>1250</v>
      </c>
      <c r="I41" s="524">
        <v>23</v>
      </c>
      <c r="J41" s="524">
        <v>106</v>
      </c>
      <c r="K41" s="524">
        <v>15</v>
      </c>
      <c r="L41" s="592">
        <v>1394</v>
      </c>
      <c r="M41" s="170"/>
      <c r="N41" s="524">
        <v>25</v>
      </c>
      <c r="O41" s="592">
        <v>11987</v>
      </c>
      <c r="P41" s="524">
        <v>-300</v>
      </c>
      <c r="Q41" s="524">
        <v>-1052</v>
      </c>
      <c r="R41" s="609">
        <v>10635</v>
      </c>
      <c r="S41" s="168">
        <f t="shared" si="42"/>
        <v>2022</v>
      </c>
      <c r="T41" s="942">
        <v>12371</v>
      </c>
      <c r="U41" s="943">
        <f t="shared" si="38"/>
        <v>0.22892584675679273</v>
      </c>
      <c r="V41" s="789">
        <f t="shared" si="39"/>
        <v>291.18245919609217</v>
      </c>
      <c r="W41" s="785">
        <f t="shared" si="40"/>
        <v>44869748</v>
      </c>
      <c r="X41" s="944">
        <f>W41/(O92*8760)</f>
        <v>0.46787947133559782</v>
      </c>
      <c r="Y41" s="869"/>
      <c r="Z41" s="866">
        <f t="shared" si="43"/>
        <v>1.0473390422968605</v>
      </c>
      <c r="AA41" s="331"/>
      <c r="AB41" s="784"/>
    </row>
    <row r="42" spans="1:28">
      <c r="A42" s="169">
        <v>2023</v>
      </c>
      <c r="B42" s="1355">
        <v>11825</v>
      </c>
      <c r="C42" s="524">
        <v>285</v>
      </c>
      <c r="D42" s="1357">
        <v>12110</v>
      </c>
      <c r="E42" s="1355">
        <v>-1378</v>
      </c>
      <c r="F42" s="592">
        <v>10732</v>
      </c>
      <c r="G42" s="524">
        <f t="shared" si="41"/>
        <v>-427</v>
      </c>
      <c r="H42" s="524">
        <v>1250</v>
      </c>
      <c r="I42" s="524">
        <v>23</v>
      </c>
      <c r="J42" s="524">
        <v>106</v>
      </c>
      <c r="K42" s="524">
        <v>15</v>
      </c>
      <c r="L42" s="592">
        <v>1394</v>
      </c>
      <c r="M42" s="170"/>
      <c r="N42" s="524">
        <v>25</v>
      </c>
      <c r="O42" s="592">
        <v>12151</v>
      </c>
      <c r="P42" s="524">
        <v>-300</v>
      </c>
      <c r="Q42" s="524">
        <v>-1066</v>
      </c>
      <c r="R42" s="609">
        <v>10785</v>
      </c>
      <c r="S42" s="170">
        <f t="shared" si="42"/>
        <v>2023</v>
      </c>
      <c r="T42" s="511">
        <f t="shared" ref="T42:T49" si="44">T41</f>
        <v>12371</v>
      </c>
      <c r="U42" s="331">
        <f t="shared" si="38"/>
        <v>0.21612899304961486</v>
      </c>
      <c r="V42" s="784">
        <f t="shared" si="39"/>
        <v>164.07122448123846</v>
      </c>
      <c r="W42" s="588">
        <f t="shared" si="40"/>
        <v>45458815</v>
      </c>
      <c r="X42" s="877">
        <f>W42/(O93*8760)</f>
        <v>0.46909742694747519</v>
      </c>
      <c r="Z42" s="866">
        <f t="shared" si="43"/>
        <v>1.045014961672811</v>
      </c>
      <c r="AA42" s="331"/>
      <c r="AB42" s="784"/>
    </row>
    <row r="43" spans="1:28">
      <c r="A43" s="169">
        <v>2024</v>
      </c>
      <c r="B43" s="1355">
        <v>12016</v>
      </c>
      <c r="C43" s="524">
        <v>284</v>
      </c>
      <c r="D43" s="1357">
        <v>12300</v>
      </c>
      <c r="E43" s="1355">
        <v>-1409</v>
      </c>
      <c r="F43" s="592">
        <v>10891</v>
      </c>
      <c r="G43" s="524">
        <f t="shared" si="41"/>
        <v>-458</v>
      </c>
      <c r="H43" s="524">
        <v>1250</v>
      </c>
      <c r="I43" s="524">
        <v>23</v>
      </c>
      <c r="J43" s="524">
        <v>106</v>
      </c>
      <c r="K43" s="524">
        <v>15</v>
      </c>
      <c r="L43" s="592">
        <v>1394</v>
      </c>
      <c r="M43" s="170"/>
      <c r="N43" s="524">
        <v>25</v>
      </c>
      <c r="O43" s="592">
        <v>12310</v>
      </c>
      <c r="P43" s="524">
        <v>-299</v>
      </c>
      <c r="Q43" s="524">
        <v>-1080</v>
      </c>
      <c r="R43" s="609">
        <v>10931</v>
      </c>
      <c r="S43" s="170">
        <f t="shared" si="42"/>
        <v>2024</v>
      </c>
      <c r="T43" s="511">
        <f t="shared" si="44"/>
        <v>12371</v>
      </c>
      <c r="U43" s="331">
        <f t="shared" si="38"/>
        <v>0.20379264759608007</v>
      </c>
      <c r="V43" s="1072">
        <f t="shared" si="39"/>
        <v>38.975851451494236</v>
      </c>
      <c r="W43" s="588">
        <f t="shared" si="40"/>
        <v>46001731</v>
      </c>
      <c r="X43" s="877">
        <f>W43/(O94*8784)</f>
        <v>0.46864769744904117</v>
      </c>
      <c r="Z43" s="866">
        <f t="shared" si="43"/>
        <v>1.0424793662861782</v>
      </c>
      <c r="AA43" s="331"/>
      <c r="AB43" s="784"/>
    </row>
    <row r="44" spans="1:28">
      <c r="A44" s="169">
        <v>2025</v>
      </c>
      <c r="B44" s="1355">
        <v>12205</v>
      </c>
      <c r="C44" s="524">
        <v>270</v>
      </c>
      <c r="D44" s="1357">
        <v>12475</v>
      </c>
      <c r="E44" s="1355">
        <v>-1438</v>
      </c>
      <c r="F44" s="592">
        <v>11037</v>
      </c>
      <c r="G44" s="524">
        <f t="shared" si="41"/>
        <v>-487</v>
      </c>
      <c r="H44" s="524">
        <v>1250</v>
      </c>
      <c r="I44" s="524">
        <v>23</v>
      </c>
      <c r="J44" s="524">
        <v>106</v>
      </c>
      <c r="K44" s="524">
        <v>15</v>
      </c>
      <c r="L44" s="592">
        <v>1394</v>
      </c>
      <c r="M44" s="170"/>
      <c r="N44" s="524">
        <v>25</v>
      </c>
      <c r="O44" s="592">
        <v>12456</v>
      </c>
      <c r="P44" s="524">
        <v>-285</v>
      </c>
      <c r="Q44" s="524">
        <v>-1095</v>
      </c>
      <c r="R44" s="609">
        <v>11076</v>
      </c>
      <c r="S44" s="170">
        <f t="shared" si="42"/>
        <v>2025</v>
      </c>
      <c r="T44" s="511">
        <f t="shared" si="44"/>
        <v>12371</v>
      </c>
      <c r="U44" s="331">
        <f t="shared" si="38"/>
        <v>0.19247859140586687</v>
      </c>
      <c r="V44" s="1072">
        <f t="shared" si="39"/>
        <v>-78.028525114503282</v>
      </c>
      <c r="W44" s="588">
        <f t="shared" si="40"/>
        <v>46377403</v>
      </c>
      <c r="X44" s="877">
        <f>W44/(O95*8760)</f>
        <v>0.46925498342202704</v>
      </c>
      <c r="Z44" s="866">
        <f t="shared" si="43"/>
        <v>1.0401912088307201</v>
      </c>
      <c r="AA44" s="331"/>
      <c r="AB44" s="784"/>
    </row>
    <row r="45" spans="1:28">
      <c r="A45" s="169">
        <v>2026</v>
      </c>
      <c r="B45" s="1355">
        <v>12392</v>
      </c>
      <c r="C45" s="524">
        <v>255</v>
      </c>
      <c r="D45" s="1357">
        <v>12647</v>
      </c>
      <c r="E45" s="1355">
        <v>-1467</v>
      </c>
      <c r="F45" s="592">
        <v>11180</v>
      </c>
      <c r="G45" s="524">
        <f t="shared" si="41"/>
        <v>-516</v>
      </c>
      <c r="H45" s="524">
        <v>1250</v>
      </c>
      <c r="I45" s="524">
        <v>25</v>
      </c>
      <c r="J45" s="524">
        <v>106</v>
      </c>
      <c r="K45" s="524">
        <v>15</v>
      </c>
      <c r="L45" s="592">
        <v>1396</v>
      </c>
      <c r="M45" s="170"/>
      <c r="N45" s="524">
        <v>25</v>
      </c>
      <c r="O45" s="592">
        <v>12601</v>
      </c>
      <c r="P45" s="524">
        <v>-270</v>
      </c>
      <c r="Q45" s="524">
        <v>-1109</v>
      </c>
      <c r="R45" s="609">
        <v>11222</v>
      </c>
      <c r="S45" s="170">
        <f t="shared" si="42"/>
        <v>2026</v>
      </c>
      <c r="T45" s="511">
        <f t="shared" si="44"/>
        <v>12371</v>
      </c>
      <c r="U45" s="331">
        <f t="shared" si="38"/>
        <v>0.18221013633174699</v>
      </c>
      <c r="V45" s="1072">
        <f t="shared" si="39"/>
        <v>-186.15844736607869</v>
      </c>
      <c r="W45" s="588">
        <f t="shared" si="40"/>
        <v>46949423</v>
      </c>
      <c r="X45" s="877">
        <f>W45/(O96*8760)</f>
        <v>0.47086474462540912</v>
      </c>
      <c r="Z45" s="866">
        <f t="shared" si="43"/>
        <v>1.0382077413462403</v>
      </c>
      <c r="AA45" s="331"/>
      <c r="AB45" s="784"/>
    </row>
    <row r="46" spans="1:28">
      <c r="A46" s="169">
        <v>2027</v>
      </c>
      <c r="B46" s="1355">
        <v>12578</v>
      </c>
      <c r="C46" s="524">
        <v>255</v>
      </c>
      <c r="D46" s="1357">
        <v>12833</v>
      </c>
      <c r="E46" s="1355">
        <v>-1495</v>
      </c>
      <c r="F46" s="592">
        <v>11338</v>
      </c>
      <c r="G46" s="524">
        <f t="shared" si="41"/>
        <v>-544</v>
      </c>
      <c r="H46" s="524">
        <v>1250</v>
      </c>
      <c r="I46" s="524">
        <v>25</v>
      </c>
      <c r="J46" s="524">
        <v>106</v>
      </c>
      <c r="K46" s="524">
        <v>15</v>
      </c>
      <c r="L46" s="592">
        <v>1396</v>
      </c>
      <c r="M46" s="170"/>
      <c r="N46" s="524">
        <v>25</v>
      </c>
      <c r="O46" s="592">
        <v>12759</v>
      </c>
      <c r="P46" s="524">
        <v>-270</v>
      </c>
      <c r="Q46" s="524">
        <v>-1123</v>
      </c>
      <c r="R46" s="609">
        <v>11366</v>
      </c>
      <c r="S46" s="170">
        <f t="shared" si="42"/>
        <v>2027</v>
      </c>
      <c r="T46" s="511">
        <f t="shared" si="44"/>
        <v>12371</v>
      </c>
      <c r="U46" s="331">
        <f t="shared" si="38"/>
        <v>0.17206474513953163</v>
      </c>
      <c r="V46" s="1072">
        <f t="shared" si="39"/>
        <v>-294.85319758313562</v>
      </c>
      <c r="W46" s="588">
        <f t="shared" si="40"/>
        <v>47342233</v>
      </c>
      <c r="X46" s="877">
        <f>W46/(O97*8760)</f>
        <v>0.47068647267985025</v>
      </c>
      <c r="Z46" s="866">
        <f t="shared" si="43"/>
        <v>1.0359601032304708</v>
      </c>
    </row>
    <row r="47" spans="1:28">
      <c r="A47" s="169">
        <v>2028</v>
      </c>
      <c r="B47" s="1355">
        <v>12763</v>
      </c>
      <c r="C47" s="524">
        <v>255</v>
      </c>
      <c r="D47" s="1357">
        <v>13018</v>
      </c>
      <c r="E47" s="1355">
        <v>-1521</v>
      </c>
      <c r="F47" s="592">
        <v>11497</v>
      </c>
      <c r="G47" s="524">
        <f t="shared" si="41"/>
        <v>-570</v>
      </c>
      <c r="H47" s="524">
        <v>1250</v>
      </c>
      <c r="I47" s="524">
        <v>25</v>
      </c>
      <c r="J47" s="524">
        <v>106</v>
      </c>
      <c r="K47" s="524">
        <v>15</v>
      </c>
      <c r="L47" s="592">
        <v>1396</v>
      </c>
      <c r="M47" s="170"/>
      <c r="N47" s="524">
        <v>25</v>
      </c>
      <c r="O47" s="592">
        <v>12918</v>
      </c>
      <c r="P47" s="524">
        <v>-270</v>
      </c>
      <c r="Q47" s="524">
        <v>-1137</v>
      </c>
      <c r="R47" s="609">
        <v>11511</v>
      </c>
      <c r="S47" s="170">
        <f t="shared" si="42"/>
        <v>2028</v>
      </c>
      <c r="T47" s="511">
        <f t="shared" si="44"/>
        <v>12371</v>
      </c>
      <c r="U47" s="331">
        <f t="shared" si="38"/>
        <v>0.16238355465367382</v>
      </c>
      <c r="V47" s="1072">
        <f t="shared" si="39"/>
        <v>-400.34379660339437</v>
      </c>
      <c r="W47" s="588">
        <f t="shared" si="40"/>
        <v>47849837</v>
      </c>
      <c r="X47" s="877">
        <f>W47/(O98*8784)</f>
        <v>0.47050321894000707</v>
      </c>
      <c r="Z47" s="866">
        <f t="shared" si="43"/>
        <v>1.0339807891553381</v>
      </c>
    </row>
    <row r="48" spans="1:28">
      <c r="A48" s="169">
        <v>2029</v>
      </c>
      <c r="B48" s="1355">
        <v>12946</v>
      </c>
      <c r="C48" s="524">
        <v>255</v>
      </c>
      <c r="D48" s="1357">
        <v>13201</v>
      </c>
      <c r="E48" s="1355">
        <v>-1548</v>
      </c>
      <c r="F48" s="592">
        <v>11653</v>
      </c>
      <c r="G48" s="524">
        <f t="shared" si="41"/>
        <v>-597</v>
      </c>
      <c r="H48" s="524">
        <v>1250</v>
      </c>
      <c r="I48" s="524">
        <v>25</v>
      </c>
      <c r="J48" s="524">
        <v>106</v>
      </c>
      <c r="K48" s="524">
        <v>15</v>
      </c>
      <c r="L48" s="592">
        <v>1396</v>
      </c>
      <c r="M48" s="170"/>
      <c r="N48" s="524">
        <v>25</v>
      </c>
      <c r="O48" s="592">
        <v>13074</v>
      </c>
      <c r="P48" s="524">
        <v>-270</v>
      </c>
      <c r="Q48" s="524">
        <v>-1152</v>
      </c>
      <c r="R48" s="609">
        <v>11652</v>
      </c>
      <c r="S48" s="170">
        <f t="shared" si="42"/>
        <v>2029</v>
      </c>
      <c r="T48" s="511">
        <f t="shared" si="44"/>
        <v>12371</v>
      </c>
      <c r="U48" s="331">
        <f t="shared" si="38"/>
        <v>0.15313360403127496</v>
      </c>
      <c r="V48" s="1072">
        <f t="shared" si="39"/>
        <v>-502.79012119863</v>
      </c>
      <c r="W48" s="588">
        <f t="shared" si="40"/>
        <v>48232387</v>
      </c>
      <c r="X48" s="877">
        <f>W48/(O99*8760)</f>
        <v>0.47167870479233692</v>
      </c>
      <c r="Z48" s="866">
        <f t="shared" si="43"/>
        <v>1.0320541659206566</v>
      </c>
    </row>
    <row r="49" spans="1:28">
      <c r="A49" s="168">
        <v>2030</v>
      </c>
      <c r="B49" s="1356">
        <v>13128</v>
      </c>
      <c r="C49" s="525">
        <v>255</v>
      </c>
      <c r="D49" s="1358">
        <v>13383</v>
      </c>
      <c r="E49" s="1356">
        <v>-1573</v>
      </c>
      <c r="F49" s="598">
        <v>11810</v>
      </c>
      <c r="G49" s="525">
        <f t="shared" si="41"/>
        <v>-622</v>
      </c>
      <c r="H49" s="525">
        <v>1250</v>
      </c>
      <c r="I49" s="525">
        <v>25</v>
      </c>
      <c r="J49" s="525">
        <v>106</v>
      </c>
      <c r="K49" s="525">
        <v>15</v>
      </c>
      <c r="L49" s="598">
        <v>1396</v>
      </c>
      <c r="M49" s="519"/>
      <c r="N49" s="525">
        <v>25</v>
      </c>
      <c r="O49" s="598">
        <v>13231</v>
      </c>
      <c r="P49" s="525">
        <v>-270</v>
      </c>
      <c r="Q49" s="525">
        <v>-1166</v>
      </c>
      <c r="R49" s="610">
        <v>11795</v>
      </c>
      <c r="S49" s="170">
        <f t="shared" si="42"/>
        <v>2030</v>
      </c>
      <c r="T49" s="511">
        <f t="shared" si="44"/>
        <v>12371</v>
      </c>
      <c r="U49" s="331">
        <f t="shared" si="38"/>
        <v>0.14462556187248543</v>
      </c>
      <c r="V49" s="1072">
        <f t="shared" si="39"/>
        <v>-598.48145707565163</v>
      </c>
      <c r="W49" s="588">
        <f t="shared" si="40"/>
        <v>48576796</v>
      </c>
      <c r="X49" s="877">
        <f>W49/(O100*8760)</f>
        <v>0.47146258466472984</v>
      </c>
      <c r="Z49" s="866">
        <f t="shared" si="43"/>
        <v>1.0303688905118611</v>
      </c>
    </row>
    <row r="50" spans="1:28">
      <c r="A50" s="170"/>
      <c r="L50" s="524"/>
      <c r="S50" s="28"/>
    </row>
    <row r="51" spans="1:28">
      <c r="A51" s="1623" t="str">
        <f>CONCATENATE(A3,"  vs  ",A27)</f>
        <v>FALL 2013  vs  TYSP 2013</v>
      </c>
      <c r="B51" s="1624"/>
      <c r="C51" s="1624"/>
      <c r="D51" s="1624"/>
      <c r="E51" s="1624"/>
      <c r="F51" s="1624"/>
      <c r="G51" s="1624"/>
      <c r="H51" s="1624"/>
      <c r="I51" s="1624"/>
      <c r="J51" s="1624"/>
      <c r="K51" s="1624"/>
      <c r="L51" s="1624"/>
      <c r="M51" s="1624"/>
      <c r="N51" s="1624"/>
      <c r="O51" s="1624"/>
      <c r="P51" s="1624"/>
      <c r="Q51" s="1624"/>
      <c r="R51" s="1625"/>
    </row>
    <row r="52" spans="1:28">
      <c r="A52" s="736"/>
      <c r="B52" s="728" t="s">
        <v>116</v>
      </c>
      <c r="C52" s="728"/>
      <c r="D52" s="728"/>
      <c r="F52" s="728" t="s">
        <v>21</v>
      </c>
      <c r="G52" s="737"/>
      <c r="H52" s="728"/>
      <c r="I52" s="728"/>
      <c r="J52" s="728"/>
      <c r="K52" s="728"/>
      <c r="L52" s="738"/>
      <c r="M52" s="738"/>
      <c r="N52" s="728"/>
      <c r="O52" s="728" t="str">
        <f>F52</f>
        <v>Total</v>
      </c>
      <c r="P52" s="728"/>
      <c r="Q52" s="728"/>
      <c r="R52" s="1359"/>
    </row>
    <row r="53" spans="1:28">
      <c r="A53" s="740"/>
      <c r="B53" s="591" t="s">
        <v>117</v>
      </c>
      <c r="C53" s="591"/>
      <c r="D53" s="591" t="s">
        <v>120</v>
      </c>
      <c r="E53" s="28"/>
      <c r="F53" s="591" t="s">
        <v>118</v>
      </c>
      <c r="G53" s="729" t="s">
        <v>622</v>
      </c>
      <c r="H53" s="1618" t="s">
        <v>123</v>
      </c>
      <c r="I53" s="1619"/>
      <c r="J53" s="1619"/>
      <c r="K53" s="1619"/>
      <c r="L53" s="1620"/>
      <c r="M53" s="590"/>
      <c r="N53" s="729"/>
      <c r="O53" s="591" t="s">
        <v>125</v>
      </c>
      <c r="P53" s="591"/>
      <c r="Q53" s="591"/>
      <c r="R53" s="1360" t="s">
        <v>21</v>
      </c>
      <c r="V53" s="727"/>
      <c r="W53" s="727"/>
      <c r="X53" s="727"/>
      <c r="Z53" s="1630"/>
      <c r="AA53" s="1631"/>
      <c r="AB53" s="1631"/>
    </row>
    <row r="54" spans="1:28">
      <c r="A54" s="740"/>
      <c r="B54" s="591" t="s">
        <v>118</v>
      </c>
      <c r="C54" s="591" t="s">
        <v>118</v>
      </c>
      <c r="D54" s="591" t="s">
        <v>21</v>
      </c>
      <c r="E54" s="591" t="s">
        <v>121</v>
      </c>
      <c r="F54" s="591" t="s">
        <v>122</v>
      </c>
      <c r="G54" s="591" t="s">
        <v>121</v>
      </c>
      <c r="H54" s="728" t="s">
        <v>21</v>
      </c>
      <c r="I54" s="728" t="s">
        <v>288</v>
      </c>
      <c r="J54" s="728"/>
      <c r="K54" s="730" t="str">
        <f>K30</f>
        <v>Non-</v>
      </c>
      <c r="L54" s="728"/>
      <c r="M54" s="591"/>
      <c r="N54" s="591" t="s">
        <v>264</v>
      </c>
      <c r="O54" s="591" t="str">
        <f>F54</f>
        <v>before</v>
      </c>
      <c r="P54" s="591" t="s">
        <v>21</v>
      </c>
      <c r="Q54" s="729" t="s">
        <v>147</v>
      </c>
      <c r="R54" s="1360" t="s">
        <v>125</v>
      </c>
      <c r="W54" s="591"/>
      <c r="AA54" s="591"/>
    </row>
    <row r="55" spans="1:28" ht="14.25" customHeight="1">
      <c r="A55" s="743" t="s">
        <v>126</v>
      </c>
      <c r="B55" s="731" t="s">
        <v>119</v>
      </c>
      <c r="C55" s="731" t="s">
        <v>66</v>
      </c>
      <c r="D55" s="731" t="s">
        <v>118</v>
      </c>
      <c r="E55" s="731" t="s">
        <v>59</v>
      </c>
      <c r="F55" s="731" t="s">
        <v>62</v>
      </c>
      <c r="G55" s="731" t="s">
        <v>59</v>
      </c>
      <c r="H55" s="732" t="s">
        <v>154</v>
      </c>
      <c r="I55" s="732" t="s">
        <v>286</v>
      </c>
      <c r="J55" s="731" t="s">
        <v>287</v>
      </c>
      <c r="K55" s="733" t="str">
        <f>K31</f>
        <v>Firm</v>
      </c>
      <c r="L55" s="744" t="s">
        <v>0</v>
      </c>
      <c r="M55" s="744"/>
      <c r="N55" s="731" t="s">
        <v>124</v>
      </c>
      <c r="O55" s="731" t="str">
        <f>F55</f>
        <v>DLC</v>
      </c>
      <c r="P55" s="731" t="s">
        <v>66</v>
      </c>
      <c r="Q55" s="731" t="s">
        <v>131</v>
      </c>
      <c r="R55" s="1361" t="s">
        <v>117</v>
      </c>
      <c r="S55" s="718"/>
      <c r="T55" s="719"/>
      <c r="W55" s="720"/>
      <c r="X55" s="717"/>
      <c r="Z55" s="719"/>
      <c r="AA55" s="720"/>
      <c r="AB55" s="717"/>
    </row>
    <row r="56" spans="1:28" hidden="1">
      <c r="A56" s="746">
        <f t="shared" ref="A56:A73" si="45">A32</f>
        <v>2013</v>
      </c>
      <c r="B56" s="322">
        <f t="shared" ref="B56:F65" si="46">B8-B32</f>
        <v>-4663</v>
      </c>
      <c r="C56" s="322">
        <f t="shared" si="46"/>
        <v>-2</v>
      </c>
      <c r="D56" s="322">
        <f t="shared" si="46"/>
        <v>-4665</v>
      </c>
      <c r="E56" s="322">
        <f t="shared" si="46"/>
        <v>951</v>
      </c>
      <c r="F56" s="322">
        <f t="shared" si="46"/>
        <v>-3714</v>
      </c>
      <c r="G56" s="591"/>
      <c r="H56" s="322">
        <f t="shared" ref="H56:L65" si="47">H8-H32</f>
        <v>0</v>
      </c>
      <c r="I56" s="322">
        <f t="shared" si="47"/>
        <v>-0.37000000000000455</v>
      </c>
      <c r="J56" s="322">
        <f t="shared" si="47"/>
        <v>-11.518000000000029</v>
      </c>
      <c r="K56" s="322">
        <f t="shared" si="47"/>
        <v>9.9999999999997868E-3</v>
      </c>
      <c r="L56" s="322">
        <f t="shared" si="47"/>
        <v>-11.877999999999929</v>
      </c>
      <c r="M56" s="591"/>
      <c r="N56" s="322">
        <f t="shared" ref="N56:R65" si="48">N8-N32</f>
        <v>-25</v>
      </c>
      <c r="O56" s="322">
        <f t="shared" si="48"/>
        <v>-3750.8780000000006</v>
      </c>
      <c r="P56" s="322">
        <f t="shared" si="48"/>
        <v>1.9900000000000091</v>
      </c>
      <c r="Q56" s="322">
        <f t="shared" si="48"/>
        <v>69</v>
      </c>
      <c r="R56" s="1362">
        <f t="shared" si="48"/>
        <v>-3679.8880000000008</v>
      </c>
      <c r="S56" s="1110"/>
      <c r="T56" s="381"/>
      <c r="W56" s="592"/>
      <c r="X56" s="381"/>
      <c r="Z56" s="665"/>
      <c r="AA56" s="721"/>
      <c r="AB56" s="381"/>
    </row>
    <row r="57" spans="1:28">
      <c r="A57" s="746">
        <f t="shared" si="45"/>
        <v>2014</v>
      </c>
      <c r="B57" s="1355">
        <f t="shared" si="46"/>
        <v>-1173</v>
      </c>
      <c r="C57" s="322">
        <f t="shared" si="46"/>
        <v>-4</v>
      </c>
      <c r="D57" s="1355">
        <f t="shared" si="46"/>
        <v>-1177</v>
      </c>
      <c r="E57" s="1355">
        <f t="shared" si="46"/>
        <v>951.42441397499999</v>
      </c>
      <c r="F57" s="322">
        <f t="shared" si="46"/>
        <v>-225.57558602499921</v>
      </c>
      <c r="G57" s="322">
        <f>G33-E9</f>
        <v>-0.42441397499999312</v>
      </c>
      <c r="H57" s="322">
        <f t="shared" si="47"/>
        <v>0</v>
      </c>
      <c r="I57" s="322">
        <f t="shared" si="47"/>
        <v>-0.14000000000000057</v>
      </c>
      <c r="J57" s="322">
        <f t="shared" si="47"/>
        <v>-31.538000000000011</v>
      </c>
      <c r="K57" s="322">
        <f t="shared" si="47"/>
        <v>-15</v>
      </c>
      <c r="L57" s="322">
        <f t="shared" si="47"/>
        <v>-46.677999999999884</v>
      </c>
      <c r="M57" s="591"/>
      <c r="N57" s="322">
        <f t="shared" si="48"/>
        <v>0</v>
      </c>
      <c r="O57" s="322">
        <f t="shared" si="48"/>
        <v>-272.25358602499909</v>
      </c>
      <c r="P57" s="322">
        <f t="shared" si="48"/>
        <v>19</v>
      </c>
      <c r="Q57" s="322">
        <f t="shared" si="48"/>
        <v>34</v>
      </c>
      <c r="R57" s="1362">
        <f t="shared" si="48"/>
        <v>-219.25358602499909</v>
      </c>
      <c r="S57" s="722"/>
      <c r="T57" s="381"/>
      <c r="W57" s="592"/>
      <c r="X57" s="381"/>
      <c r="Z57" s="665"/>
      <c r="AA57" s="721"/>
      <c r="AB57" s="381"/>
    </row>
    <row r="58" spans="1:28">
      <c r="A58" s="746">
        <f t="shared" si="45"/>
        <v>2015</v>
      </c>
      <c r="B58" s="1355">
        <f t="shared" si="46"/>
        <v>-1494</v>
      </c>
      <c r="C58" s="322">
        <f t="shared" si="46"/>
        <v>-6</v>
      </c>
      <c r="D58" s="1355">
        <f t="shared" si="46"/>
        <v>-1500</v>
      </c>
      <c r="E58" s="1355">
        <f t="shared" si="46"/>
        <v>942.89773801445006</v>
      </c>
      <c r="F58" s="322">
        <f t="shared" si="46"/>
        <v>-557.10226198555029</v>
      </c>
      <c r="G58" s="322">
        <f t="shared" ref="G58:G73" si="49">G34-E10</f>
        <v>8.1022619855499443</v>
      </c>
      <c r="H58" s="322">
        <f t="shared" si="47"/>
        <v>0</v>
      </c>
      <c r="I58" s="322">
        <f t="shared" si="47"/>
        <v>-1</v>
      </c>
      <c r="J58" s="322">
        <f t="shared" si="47"/>
        <v>-52.558000000000021</v>
      </c>
      <c r="K58" s="322">
        <f t="shared" si="47"/>
        <v>-15</v>
      </c>
      <c r="L58" s="322">
        <f t="shared" si="47"/>
        <v>-68.557999999999993</v>
      </c>
      <c r="M58" s="591"/>
      <c r="N58" s="322">
        <f t="shared" si="48"/>
        <v>0</v>
      </c>
      <c r="O58" s="322">
        <f t="shared" si="48"/>
        <v>-625.66026198555119</v>
      </c>
      <c r="P58" s="322">
        <f t="shared" si="48"/>
        <v>21</v>
      </c>
      <c r="Q58" s="322">
        <f t="shared" si="48"/>
        <v>28</v>
      </c>
      <c r="R58" s="1362">
        <f t="shared" si="48"/>
        <v>-576.66026198555119</v>
      </c>
      <c r="S58" s="722"/>
      <c r="T58" s="381"/>
      <c r="W58" s="592"/>
      <c r="X58" s="381"/>
      <c r="Z58" s="665"/>
      <c r="AA58" s="721"/>
      <c r="AB58" s="381"/>
    </row>
    <row r="59" spans="1:28">
      <c r="A59" s="746">
        <f t="shared" si="45"/>
        <v>2016</v>
      </c>
      <c r="B59" s="1355">
        <f t="shared" si="46"/>
        <v>-1386</v>
      </c>
      <c r="C59" s="322">
        <f t="shared" si="46"/>
        <v>-5</v>
      </c>
      <c r="D59" s="1355">
        <f t="shared" si="46"/>
        <v>-1391</v>
      </c>
      <c r="E59" s="1355">
        <f t="shared" si="46"/>
        <v>943.54904585192764</v>
      </c>
      <c r="F59" s="322">
        <f t="shared" si="46"/>
        <v>-447.45095414807292</v>
      </c>
      <c r="G59" s="322">
        <f t="shared" si="49"/>
        <v>7.4509541480723556</v>
      </c>
      <c r="H59" s="322">
        <f t="shared" si="47"/>
        <v>0</v>
      </c>
      <c r="I59" s="322">
        <f t="shared" si="47"/>
        <v>-0.78000000000000114</v>
      </c>
      <c r="J59" s="322">
        <f t="shared" si="47"/>
        <v>-52.558000000000021</v>
      </c>
      <c r="K59" s="322">
        <f t="shared" si="47"/>
        <v>-15</v>
      </c>
      <c r="L59" s="322">
        <f t="shared" si="47"/>
        <v>-68.337999999999965</v>
      </c>
      <c r="M59" s="591"/>
      <c r="N59" s="322">
        <f t="shared" si="48"/>
        <v>0</v>
      </c>
      <c r="O59" s="322">
        <f t="shared" si="48"/>
        <v>-515.78895414807266</v>
      </c>
      <c r="P59" s="322">
        <f t="shared" si="48"/>
        <v>20</v>
      </c>
      <c r="Q59" s="322">
        <f t="shared" si="48"/>
        <v>24</v>
      </c>
      <c r="R59" s="1362">
        <f t="shared" si="48"/>
        <v>-471.78895414807266</v>
      </c>
      <c r="S59" s="722"/>
      <c r="T59" s="381"/>
      <c r="W59" s="592"/>
      <c r="X59" s="381"/>
      <c r="Z59" s="665"/>
      <c r="AA59" s="721"/>
      <c r="AB59" s="381"/>
    </row>
    <row r="60" spans="1:28">
      <c r="A60" s="746">
        <f t="shared" si="45"/>
        <v>2017</v>
      </c>
      <c r="B60" s="1355">
        <f t="shared" si="46"/>
        <v>-1278</v>
      </c>
      <c r="C60" s="322">
        <f t="shared" si="46"/>
        <v>-14</v>
      </c>
      <c r="D60" s="1355">
        <f t="shared" si="46"/>
        <v>-1292</v>
      </c>
      <c r="E60" s="1355">
        <f t="shared" si="46"/>
        <v>943.48778829753121</v>
      </c>
      <c r="F60" s="322">
        <f t="shared" si="46"/>
        <v>-348.51221170246936</v>
      </c>
      <c r="G60" s="322">
        <f t="shared" si="49"/>
        <v>7.5122117024687896</v>
      </c>
      <c r="H60" s="322">
        <f t="shared" si="47"/>
        <v>-250</v>
      </c>
      <c r="I60" s="322">
        <f t="shared" si="47"/>
        <v>-0.39000000000000057</v>
      </c>
      <c r="J60" s="322">
        <f t="shared" si="47"/>
        <v>-40.950000000000003</v>
      </c>
      <c r="K60" s="322">
        <f t="shared" si="47"/>
        <v>-15</v>
      </c>
      <c r="L60" s="322">
        <f t="shared" si="47"/>
        <v>-306.33999999999992</v>
      </c>
      <c r="M60" s="591"/>
      <c r="N60" s="322">
        <f t="shared" si="48"/>
        <v>0</v>
      </c>
      <c r="O60" s="322">
        <f t="shared" si="48"/>
        <v>-654.8522117024695</v>
      </c>
      <c r="P60" s="322">
        <f t="shared" si="48"/>
        <v>29</v>
      </c>
      <c r="Q60" s="322">
        <f t="shared" si="48"/>
        <v>14</v>
      </c>
      <c r="R60" s="1362">
        <f t="shared" si="48"/>
        <v>-611.8522117024695</v>
      </c>
      <c r="S60" s="722"/>
      <c r="T60" s="381"/>
      <c r="W60" s="592"/>
      <c r="X60" s="381"/>
      <c r="Z60" s="665"/>
      <c r="AA60" s="721"/>
      <c r="AB60" s="381"/>
    </row>
    <row r="61" spans="1:28">
      <c r="A61" s="746">
        <f t="shared" si="45"/>
        <v>2018</v>
      </c>
      <c r="B61" s="1355">
        <f t="shared" si="46"/>
        <v>-1179</v>
      </c>
      <c r="C61" s="322">
        <f t="shared" si="46"/>
        <v>-9</v>
      </c>
      <c r="D61" s="1355">
        <f t="shared" si="46"/>
        <v>-1188</v>
      </c>
      <c r="E61" s="1355">
        <f t="shared" si="46"/>
        <v>943.28898324184604</v>
      </c>
      <c r="F61" s="322">
        <f t="shared" si="46"/>
        <v>-244.71101675815407</v>
      </c>
      <c r="G61" s="322">
        <f t="shared" si="49"/>
        <v>7.7110167581539599</v>
      </c>
      <c r="H61" s="322">
        <f t="shared" si="47"/>
        <v>-250</v>
      </c>
      <c r="I61" s="322">
        <f t="shared" si="47"/>
        <v>-0.19999999999999929</v>
      </c>
      <c r="J61" s="322">
        <f t="shared" si="47"/>
        <v>-40.950000000000003</v>
      </c>
      <c r="K61" s="322">
        <f t="shared" si="47"/>
        <v>-15</v>
      </c>
      <c r="L61" s="322">
        <f t="shared" si="47"/>
        <v>-306.15000000000009</v>
      </c>
      <c r="M61" s="591"/>
      <c r="N61" s="322">
        <f t="shared" si="48"/>
        <v>0</v>
      </c>
      <c r="O61" s="322">
        <f t="shared" si="48"/>
        <v>-550.86101675815371</v>
      </c>
      <c r="P61" s="322">
        <f t="shared" si="48"/>
        <v>24</v>
      </c>
      <c r="Q61" s="322">
        <f t="shared" si="48"/>
        <v>35</v>
      </c>
      <c r="R61" s="1362">
        <f t="shared" si="48"/>
        <v>-491.86101675815371</v>
      </c>
      <c r="S61" s="722"/>
      <c r="T61" s="381"/>
      <c r="W61" s="592"/>
      <c r="X61" s="381"/>
      <c r="Z61" s="665"/>
      <c r="AA61" s="721"/>
      <c r="AB61" s="381"/>
    </row>
    <row r="62" spans="1:28">
      <c r="A62" s="746">
        <f t="shared" si="45"/>
        <v>2019</v>
      </c>
      <c r="B62" s="1355">
        <f t="shared" si="46"/>
        <v>-1237</v>
      </c>
      <c r="C62" s="322">
        <f t="shared" si="46"/>
        <v>20</v>
      </c>
      <c r="D62" s="1355">
        <f t="shared" si="46"/>
        <v>-1217</v>
      </c>
      <c r="E62" s="1355">
        <f t="shared" si="46"/>
        <v>942.86036843894487</v>
      </c>
      <c r="F62" s="322">
        <f t="shared" si="46"/>
        <v>-274.13963156105456</v>
      </c>
      <c r="G62" s="322">
        <f t="shared" si="49"/>
        <v>8.1396315610551255</v>
      </c>
      <c r="H62" s="322">
        <f t="shared" si="47"/>
        <v>-250</v>
      </c>
      <c r="I62" s="322">
        <f t="shared" si="47"/>
        <v>0</v>
      </c>
      <c r="J62" s="322">
        <f t="shared" si="47"/>
        <v>-40.950000000000003</v>
      </c>
      <c r="K62" s="322">
        <f t="shared" si="47"/>
        <v>-15</v>
      </c>
      <c r="L62" s="322">
        <f t="shared" si="47"/>
        <v>-305.95000000000005</v>
      </c>
      <c r="M62" s="591"/>
      <c r="N62" s="322">
        <f t="shared" si="48"/>
        <v>0</v>
      </c>
      <c r="O62" s="322">
        <f t="shared" si="48"/>
        <v>-580.08963156105528</v>
      </c>
      <c r="P62" s="322">
        <f t="shared" si="48"/>
        <v>-5</v>
      </c>
      <c r="Q62" s="322">
        <f t="shared" si="48"/>
        <v>36</v>
      </c>
      <c r="R62" s="1362">
        <f t="shared" si="48"/>
        <v>-549.08963156105528</v>
      </c>
      <c r="S62" s="722"/>
      <c r="T62" s="381"/>
      <c r="W62" s="592"/>
      <c r="X62" s="381"/>
      <c r="Z62" s="665"/>
      <c r="AA62" s="721"/>
      <c r="AB62" s="381"/>
    </row>
    <row r="63" spans="1:28">
      <c r="A63" s="746">
        <f t="shared" si="45"/>
        <v>2020</v>
      </c>
      <c r="B63" s="1355">
        <f t="shared" si="46"/>
        <v>-1300</v>
      </c>
      <c r="C63" s="322">
        <f t="shared" si="46"/>
        <v>27</v>
      </c>
      <c r="D63" s="1355">
        <f t="shared" si="46"/>
        <v>-1273</v>
      </c>
      <c r="E63" s="1355">
        <f t="shared" si="46"/>
        <v>942.95720683294633</v>
      </c>
      <c r="F63" s="322">
        <f t="shared" si="46"/>
        <v>-330.04279316705288</v>
      </c>
      <c r="G63" s="322">
        <f t="shared" si="49"/>
        <v>8.0427931670536736</v>
      </c>
      <c r="H63" s="322">
        <f t="shared" si="47"/>
        <v>0</v>
      </c>
      <c r="I63" s="322">
        <f t="shared" si="47"/>
        <v>0.19000000000000128</v>
      </c>
      <c r="J63" s="322">
        <f t="shared" si="47"/>
        <v>-40.950000000000003</v>
      </c>
      <c r="K63" s="322">
        <f t="shared" si="47"/>
        <v>-15</v>
      </c>
      <c r="L63" s="322">
        <f t="shared" si="47"/>
        <v>-55.759999999999991</v>
      </c>
      <c r="M63" s="591"/>
      <c r="N63" s="322">
        <f t="shared" si="48"/>
        <v>0</v>
      </c>
      <c r="O63" s="322">
        <f t="shared" si="48"/>
        <v>-385.8027931670531</v>
      </c>
      <c r="P63" s="322">
        <f t="shared" si="48"/>
        <v>-12</v>
      </c>
      <c r="Q63" s="322">
        <f t="shared" si="48"/>
        <v>34</v>
      </c>
      <c r="R63" s="1362">
        <f t="shared" si="48"/>
        <v>-363.8027931670531</v>
      </c>
      <c r="S63" s="722"/>
      <c r="T63" s="381"/>
      <c r="W63" s="592"/>
      <c r="X63" s="381"/>
      <c r="Z63" s="665"/>
      <c r="AA63" s="721"/>
      <c r="AB63" s="381"/>
    </row>
    <row r="64" spans="1:28">
      <c r="A64" s="746">
        <f t="shared" si="45"/>
        <v>2021</v>
      </c>
      <c r="B64" s="1355">
        <f t="shared" si="46"/>
        <v>-1364</v>
      </c>
      <c r="C64" s="322">
        <f t="shared" si="46"/>
        <v>20</v>
      </c>
      <c r="D64" s="1355">
        <f t="shared" si="46"/>
        <v>-1344</v>
      </c>
      <c r="E64" s="1355">
        <f t="shared" si="46"/>
        <v>943.64909366719155</v>
      </c>
      <c r="F64" s="322">
        <f t="shared" si="46"/>
        <v>-400.35090633280925</v>
      </c>
      <c r="G64" s="322">
        <f t="shared" si="49"/>
        <v>7.3509063328084494</v>
      </c>
      <c r="H64" s="322">
        <f t="shared" si="47"/>
        <v>0</v>
      </c>
      <c r="I64" s="322">
        <f t="shared" si="47"/>
        <v>0.2900000000000027</v>
      </c>
      <c r="J64" s="322">
        <f t="shared" si="47"/>
        <v>-40.950000000000003</v>
      </c>
      <c r="K64" s="322">
        <f t="shared" si="47"/>
        <v>-15</v>
      </c>
      <c r="L64" s="322">
        <f t="shared" si="47"/>
        <v>-55.660000000000082</v>
      </c>
      <c r="M64" s="591"/>
      <c r="N64" s="322">
        <f t="shared" si="48"/>
        <v>0</v>
      </c>
      <c r="O64" s="322">
        <f t="shared" si="48"/>
        <v>-456.0109063328091</v>
      </c>
      <c r="P64" s="322">
        <f t="shared" si="48"/>
        <v>-5</v>
      </c>
      <c r="Q64" s="322">
        <f t="shared" si="48"/>
        <v>35</v>
      </c>
      <c r="R64" s="1362">
        <f t="shared" si="48"/>
        <v>-426.0109063328091</v>
      </c>
      <c r="S64" s="722"/>
      <c r="T64" s="381"/>
      <c r="W64" s="592"/>
      <c r="X64" s="381"/>
      <c r="Z64" s="665"/>
      <c r="AA64" s="721"/>
      <c r="AB64" s="381"/>
    </row>
    <row r="65" spans="1:28">
      <c r="A65" s="746">
        <f t="shared" si="45"/>
        <v>2022</v>
      </c>
      <c r="B65" s="1355">
        <f t="shared" si="46"/>
        <v>-1429</v>
      </c>
      <c r="C65" s="322">
        <f t="shared" si="46"/>
        <v>20</v>
      </c>
      <c r="D65" s="1355">
        <f t="shared" si="46"/>
        <v>-1409</v>
      </c>
      <c r="E65" s="1355">
        <f t="shared" si="46"/>
        <v>943.22947485218458</v>
      </c>
      <c r="F65" s="322">
        <f t="shared" si="46"/>
        <v>-465.77052514781462</v>
      </c>
      <c r="G65" s="322">
        <f t="shared" si="49"/>
        <v>7.7705251478154196</v>
      </c>
      <c r="H65" s="322">
        <f t="shared" si="47"/>
        <v>0</v>
      </c>
      <c r="I65" s="322">
        <f t="shared" si="47"/>
        <v>0.48000000000000043</v>
      </c>
      <c r="J65" s="322">
        <f t="shared" si="47"/>
        <v>-40.950000000000003</v>
      </c>
      <c r="K65" s="322">
        <f t="shared" si="47"/>
        <v>-15</v>
      </c>
      <c r="L65" s="322">
        <f t="shared" si="47"/>
        <v>-55.470000000000027</v>
      </c>
      <c r="M65" s="591"/>
      <c r="N65" s="322">
        <f t="shared" si="48"/>
        <v>0</v>
      </c>
      <c r="O65" s="322">
        <f t="shared" si="48"/>
        <v>-521.24052514781397</v>
      </c>
      <c r="P65" s="322">
        <f t="shared" si="48"/>
        <v>-5</v>
      </c>
      <c r="Q65" s="322">
        <f t="shared" si="48"/>
        <v>35</v>
      </c>
      <c r="R65" s="1362">
        <f t="shared" si="48"/>
        <v>-491.24052514781397</v>
      </c>
      <c r="S65" s="722"/>
      <c r="T65" s="381"/>
      <c r="W65" s="592"/>
      <c r="X65" s="381"/>
      <c r="Z65" s="665"/>
      <c r="AA65" s="721"/>
      <c r="AB65" s="381"/>
    </row>
    <row r="66" spans="1:28">
      <c r="A66" s="746">
        <f t="shared" si="45"/>
        <v>2023</v>
      </c>
      <c r="B66" s="1355">
        <f t="shared" ref="B66:F73" si="50">B18-B42</f>
        <v>-1498</v>
      </c>
      <c r="C66" s="322">
        <f t="shared" si="50"/>
        <v>20</v>
      </c>
      <c r="D66" s="1355">
        <f t="shared" si="50"/>
        <v>-1478</v>
      </c>
      <c r="E66" s="1355">
        <f t="shared" si="50"/>
        <v>942.69598796503112</v>
      </c>
      <c r="F66" s="322">
        <f t="shared" si="50"/>
        <v>-535.30401203496876</v>
      </c>
      <c r="G66" s="322">
        <f t="shared" si="49"/>
        <v>8.3040120349688777</v>
      </c>
      <c r="H66" s="322">
        <f t="shared" ref="H66:L73" si="51">H18-H42</f>
        <v>0</v>
      </c>
      <c r="I66" s="322">
        <f t="shared" si="51"/>
        <v>0.67000000000000171</v>
      </c>
      <c r="J66" s="322">
        <f t="shared" si="51"/>
        <v>-40.950000000000003</v>
      </c>
      <c r="K66" s="322">
        <f t="shared" si="51"/>
        <v>-15</v>
      </c>
      <c r="L66" s="322">
        <f t="shared" si="51"/>
        <v>-55.279999999999973</v>
      </c>
      <c r="M66" s="591"/>
      <c r="N66" s="322">
        <f t="shared" ref="N66:R73" si="52">N18-N42</f>
        <v>0</v>
      </c>
      <c r="O66" s="322">
        <f t="shared" si="52"/>
        <v>-590.58401203496942</v>
      </c>
      <c r="P66" s="322">
        <f t="shared" si="52"/>
        <v>-5</v>
      </c>
      <c r="Q66" s="322">
        <f t="shared" si="52"/>
        <v>35</v>
      </c>
      <c r="R66" s="1362">
        <f t="shared" si="52"/>
        <v>-560.58401203496942</v>
      </c>
      <c r="S66" s="722"/>
      <c r="T66" s="381"/>
      <c r="W66" s="592"/>
      <c r="X66" s="381"/>
      <c r="Z66" s="665"/>
      <c r="AA66" s="721"/>
      <c r="AB66" s="381"/>
    </row>
    <row r="67" spans="1:28">
      <c r="A67" s="746">
        <f t="shared" si="45"/>
        <v>2024</v>
      </c>
      <c r="B67" s="1355">
        <f t="shared" si="50"/>
        <v>-1569</v>
      </c>
      <c r="C67" s="322">
        <f t="shared" si="50"/>
        <v>20</v>
      </c>
      <c r="D67" s="1355">
        <f t="shared" si="50"/>
        <v>-1549</v>
      </c>
      <c r="E67" s="1355">
        <f t="shared" si="50"/>
        <v>943.5604037622328</v>
      </c>
      <c r="F67" s="322">
        <f t="shared" si="50"/>
        <v>-605.43959623776755</v>
      </c>
      <c r="G67" s="322">
        <f t="shared" si="49"/>
        <v>7.4395962377672049</v>
      </c>
      <c r="H67" s="322">
        <f t="shared" si="51"/>
        <v>0</v>
      </c>
      <c r="I67" s="322">
        <f t="shared" si="51"/>
        <v>0.76999999999999957</v>
      </c>
      <c r="J67" s="322">
        <f t="shared" si="51"/>
        <v>-40.950000000000003</v>
      </c>
      <c r="K67" s="322">
        <f t="shared" si="51"/>
        <v>-15</v>
      </c>
      <c r="L67" s="322">
        <f t="shared" si="51"/>
        <v>-55.180000000000064</v>
      </c>
      <c r="M67" s="591"/>
      <c r="N67" s="322">
        <f t="shared" si="52"/>
        <v>0</v>
      </c>
      <c r="O67" s="322">
        <f t="shared" si="52"/>
        <v>-660.61959623776784</v>
      </c>
      <c r="P67" s="322">
        <f t="shared" si="52"/>
        <v>-5</v>
      </c>
      <c r="Q67" s="322">
        <f t="shared" si="52"/>
        <v>33</v>
      </c>
      <c r="R67" s="1362">
        <f t="shared" si="52"/>
        <v>-632.61959623776784</v>
      </c>
      <c r="S67" s="722"/>
      <c r="T67" s="381"/>
      <c r="W67" s="592"/>
      <c r="X67" s="381"/>
      <c r="Z67" s="665"/>
      <c r="AA67" s="721"/>
      <c r="AB67" s="381"/>
    </row>
    <row r="68" spans="1:28">
      <c r="A68" s="746">
        <f t="shared" si="45"/>
        <v>2025</v>
      </c>
      <c r="B68" s="1355">
        <f t="shared" si="50"/>
        <v>-1643</v>
      </c>
      <c r="C68" s="322">
        <f t="shared" si="50"/>
        <v>35</v>
      </c>
      <c r="D68" s="1355">
        <f t="shared" si="50"/>
        <v>-1608</v>
      </c>
      <c r="E68" s="1355">
        <f t="shared" si="50"/>
        <v>942.63530954077203</v>
      </c>
      <c r="F68" s="322">
        <f t="shared" si="50"/>
        <v>-665.36469045922786</v>
      </c>
      <c r="G68" s="322">
        <f t="shared" si="49"/>
        <v>8.3646904592279725</v>
      </c>
      <c r="H68" s="322">
        <f t="shared" si="51"/>
        <v>0</v>
      </c>
      <c r="I68" s="322">
        <f t="shared" si="51"/>
        <v>0.95000000000000284</v>
      </c>
      <c r="J68" s="322">
        <f t="shared" si="51"/>
        <v>-40.950000000000003</v>
      </c>
      <c r="K68" s="322">
        <f t="shared" si="51"/>
        <v>-15</v>
      </c>
      <c r="L68" s="322">
        <f t="shared" si="51"/>
        <v>-55</v>
      </c>
      <c r="M68" s="591"/>
      <c r="N68" s="322">
        <f t="shared" si="52"/>
        <v>0</v>
      </c>
      <c r="O68" s="322">
        <f t="shared" si="52"/>
        <v>-720.36469045922786</v>
      </c>
      <c r="P68" s="322">
        <f t="shared" si="52"/>
        <v>-20</v>
      </c>
      <c r="Q68" s="322">
        <f t="shared" si="52"/>
        <v>34</v>
      </c>
      <c r="R68" s="1362">
        <f t="shared" si="52"/>
        <v>-706.36469045922786</v>
      </c>
      <c r="S68" s="722"/>
      <c r="T68" s="381"/>
      <c r="W68" s="592"/>
      <c r="X68" s="381"/>
      <c r="Z68" s="665"/>
      <c r="AA68" s="721"/>
      <c r="AB68" s="381"/>
    </row>
    <row r="69" spans="1:28">
      <c r="A69" s="746">
        <f t="shared" si="45"/>
        <v>2026</v>
      </c>
      <c r="B69" s="1355">
        <f t="shared" si="50"/>
        <v>-1720</v>
      </c>
      <c r="C69" s="322">
        <f t="shared" si="50"/>
        <v>50</v>
      </c>
      <c r="D69" s="1355">
        <f t="shared" si="50"/>
        <v>-1670</v>
      </c>
      <c r="E69" s="1355">
        <f t="shared" si="50"/>
        <v>943.00063102818069</v>
      </c>
      <c r="F69" s="322">
        <f t="shared" si="50"/>
        <v>-726.99936897181942</v>
      </c>
      <c r="G69" s="322">
        <f t="shared" si="49"/>
        <v>7.9993689718193082</v>
      </c>
      <c r="H69" s="322">
        <f t="shared" si="51"/>
        <v>0</v>
      </c>
      <c r="I69" s="322">
        <f t="shared" si="51"/>
        <v>-0.85999999999999943</v>
      </c>
      <c r="J69" s="322">
        <f t="shared" si="51"/>
        <v>-40.950000000000003</v>
      </c>
      <c r="K69" s="322">
        <f t="shared" si="51"/>
        <v>-15</v>
      </c>
      <c r="L69" s="322">
        <f t="shared" si="51"/>
        <v>-56.809999999999945</v>
      </c>
      <c r="M69" s="591"/>
      <c r="N69" s="322">
        <f t="shared" si="52"/>
        <v>0</v>
      </c>
      <c r="O69" s="322">
        <f t="shared" si="52"/>
        <v>-783.80936897181891</v>
      </c>
      <c r="P69" s="322">
        <f t="shared" si="52"/>
        <v>-35</v>
      </c>
      <c r="Q69" s="322">
        <f t="shared" si="52"/>
        <v>34</v>
      </c>
      <c r="R69" s="1362">
        <f t="shared" si="52"/>
        <v>-784.80936897181891</v>
      </c>
    </row>
    <row r="70" spans="1:28">
      <c r="A70" s="746">
        <f t="shared" si="45"/>
        <v>2027</v>
      </c>
      <c r="B70" s="1355">
        <f t="shared" si="50"/>
        <v>-1801</v>
      </c>
      <c r="C70" s="322">
        <f t="shared" si="50"/>
        <v>50</v>
      </c>
      <c r="D70" s="1355">
        <f t="shared" si="50"/>
        <v>-1751</v>
      </c>
      <c r="E70" s="1355">
        <f t="shared" si="50"/>
        <v>943.38717075315856</v>
      </c>
      <c r="F70" s="322">
        <f t="shared" si="50"/>
        <v>-807.61282924684201</v>
      </c>
      <c r="G70" s="322">
        <f t="shared" si="49"/>
        <v>7.6128292468414429</v>
      </c>
      <c r="H70" s="322">
        <f t="shared" si="51"/>
        <v>0</v>
      </c>
      <c r="I70" s="322">
        <f t="shared" si="51"/>
        <v>-0.66999999999999815</v>
      </c>
      <c r="J70" s="322">
        <f t="shared" si="51"/>
        <v>-40.950000000000003</v>
      </c>
      <c r="K70" s="322">
        <f t="shared" si="51"/>
        <v>-15</v>
      </c>
      <c r="L70" s="322">
        <f t="shared" si="51"/>
        <v>-56.620000000000118</v>
      </c>
      <c r="M70" s="591"/>
      <c r="N70" s="322">
        <f t="shared" si="52"/>
        <v>0</v>
      </c>
      <c r="O70" s="322">
        <f t="shared" si="52"/>
        <v>-864.23282924684281</v>
      </c>
      <c r="P70" s="322">
        <f t="shared" si="52"/>
        <v>-35</v>
      </c>
      <c r="Q70" s="322">
        <f t="shared" si="52"/>
        <v>34</v>
      </c>
      <c r="R70" s="1362">
        <f t="shared" si="52"/>
        <v>-865.23282924684281</v>
      </c>
    </row>
    <row r="71" spans="1:28">
      <c r="A71" s="746">
        <f t="shared" si="45"/>
        <v>2028</v>
      </c>
      <c r="B71" s="1355">
        <f t="shared" si="50"/>
        <v>-1882</v>
      </c>
      <c r="C71" s="322">
        <f t="shared" si="50"/>
        <v>49</v>
      </c>
      <c r="D71" s="1355">
        <f t="shared" si="50"/>
        <v>-1833</v>
      </c>
      <c r="E71" s="1355">
        <f t="shared" si="50"/>
        <v>942.63881901533398</v>
      </c>
      <c r="F71" s="322">
        <f t="shared" si="50"/>
        <v>-890.36118098466613</v>
      </c>
      <c r="G71" s="322">
        <f t="shared" si="49"/>
        <v>8.3611809846660208</v>
      </c>
      <c r="H71" s="322">
        <f t="shared" si="51"/>
        <v>0</v>
      </c>
      <c r="I71" s="322">
        <f t="shared" si="51"/>
        <v>-0.48000000000000043</v>
      </c>
      <c r="J71" s="322">
        <f t="shared" si="51"/>
        <v>-40.950000000000003</v>
      </c>
      <c r="K71" s="322">
        <f t="shared" si="51"/>
        <v>-15</v>
      </c>
      <c r="L71" s="322">
        <f t="shared" si="51"/>
        <v>-56.430000000000064</v>
      </c>
      <c r="M71" s="591"/>
      <c r="N71" s="322">
        <f t="shared" si="52"/>
        <v>0</v>
      </c>
      <c r="O71" s="322">
        <f t="shared" si="52"/>
        <v>-946.79118098466643</v>
      </c>
      <c r="P71" s="322">
        <f t="shared" si="52"/>
        <v>-34</v>
      </c>
      <c r="Q71" s="322">
        <f t="shared" si="52"/>
        <v>33</v>
      </c>
      <c r="R71" s="1362">
        <f t="shared" si="52"/>
        <v>-947.79118098466643</v>
      </c>
    </row>
    <row r="72" spans="1:28">
      <c r="A72" s="746">
        <f t="shared" si="45"/>
        <v>2029</v>
      </c>
      <c r="B72" s="1355">
        <f t="shared" si="50"/>
        <v>-1964</v>
      </c>
      <c r="C72" s="322">
        <f t="shared" si="50"/>
        <v>50</v>
      </c>
      <c r="D72" s="1355">
        <f t="shared" si="50"/>
        <v>-1914</v>
      </c>
      <c r="E72" s="1355">
        <f t="shared" si="50"/>
        <v>943.5717916043883</v>
      </c>
      <c r="F72" s="322">
        <f t="shared" si="50"/>
        <v>-970.42820839561136</v>
      </c>
      <c r="G72" s="322">
        <f t="shared" si="49"/>
        <v>7.4282083956117049</v>
      </c>
      <c r="H72" s="322">
        <f t="shared" si="51"/>
        <v>0</v>
      </c>
      <c r="I72" s="322">
        <f t="shared" si="51"/>
        <v>-0.28999999999999915</v>
      </c>
      <c r="J72" s="322">
        <f t="shared" si="51"/>
        <v>-40.950000000000003</v>
      </c>
      <c r="K72" s="322">
        <f t="shared" si="51"/>
        <v>-15</v>
      </c>
      <c r="L72" s="322">
        <f t="shared" si="51"/>
        <v>-56.240000000000009</v>
      </c>
      <c r="M72" s="591"/>
      <c r="N72" s="322">
        <f t="shared" si="52"/>
        <v>0</v>
      </c>
      <c r="O72" s="322">
        <f t="shared" si="52"/>
        <v>-1026.6682083956111</v>
      </c>
      <c r="P72" s="322">
        <f t="shared" si="52"/>
        <v>-35</v>
      </c>
      <c r="Q72" s="322">
        <f t="shared" si="52"/>
        <v>34</v>
      </c>
      <c r="R72" s="1362">
        <f t="shared" si="52"/>
        <v>-1027.6682083956111</v>
      </c>
    </row>
    <row r="73" spans="1:28">
      <c r="A73" s="743">
        <f t="shared" si="45"/>
        <v>2030</v>
      </c>
      <c r="B73" s="1356">
        <f t="shared" si="50"/>
        <v>-2049</v>
      </c>
      <c r="C73" s="597">
        <f t="shared" si="50"/>
        <v>50</v>
      </c>
      <c r="D73" s="1356">
        <f t="shared" si="50"/>
        <v>-1999</v>
      </c>
      <c r="E73" s="1356">
        <f t="shared" si="50"/>
        <v>943.23710441597643</v>
      </c>
      <c r="F73" s="597">
        <f t="shared" si="50"/>
        <v>-1055.7628955840228</v>
      </c>
      <c r="G73" s="597">
        <f t="shared" si="49"/>
        <v>7.7628955840235676</v>
      </c>
      <c r="H73" s="597">
        <f t="shared" si="51"/>
        <v>0</v>
      </c>
      <c r="I73" s="597">
        <f t="shared" si="51"/>
        <v>-0.18999999999999773</v>
      </c>
      <c r="J73" s="597">
        <f t="shared" si="51"/>
        <v>-40.950000000000003</v>
      </c>
      <c r="K73" s="597">
        <f t="shared" si="51"/>
        <v>-15</v>
      </c>
      <c r="L73" s="597">
        <f t="shared" si="51"/>
        <v>-56.1400000000001</v>
      </c>
      <c r="M73" s="731"/>
      <c r="N73" s="597">
        <f t="shared" si="52"/>
        <v>0</v>
      </c>
      <c r="O73" s="597">
        <f t="shared" si="52"/>
        <v>-1111.9028955840222</v>
      </c>
      <c r="P73" s="597">
        <f t="shared" si="52"/>
        <v>-35</v>
      </c>
      <c r="Q73" s="597">
        <f t="shared" si="52"/>
        <v>35</v>
      </c>
      <c r="R73" s="1363">
        <f t="shared" si="52"/>
        <v>-1111.9028955840222</v>
      </c>
    </row>
    <row r="74" spans="1:28">
      <c r="A74" s="591"/>
      <c r="B74" s="322"/>
      <c r="C74" s="322"/>
      <c r="D74" s="322"/>
      <c r="E74" s="322"/>
      <c r="F74" s="322"/>
      <c r="G74" s="591"/>
      <c r="H74" s="322"/>
      <c r="I74" s="322"/>
      <c r="J74" s="322"/>
      <c r="K74" s="322"/>
      <c r="L74" s="322"/>
      <c r="M74" s="591"/>
      <c r="N74" s="322"/>
      <c r="O74" s="322"/>
      <c r="P74" s="322"/>
      <c r="Q74" s="322"/>
      <c r="R74" s="322"/>
      <c r="S74" s="28"/>
    </row>
    <row r="75" spans="1:28">
      <c r="A75" s="591"/>
      <c r="B75" s="588"/>
      <c r="C75" s="588"/>
      <c r="D75" s="588"/>
      <c r="E75" s="588"/>
      <c r="F75" s="588"/>
      <c r="G75" s="590"/>
      <c r="H75" s="322"/>
      <c r="I75" s="322"/>
      <c r="J75" s="322"/>
      <c r="K75" s="322"/>
      <c r="L75" s="588"/>
      <c r="M75" s="590"/>
      <c r="N75" s="322"/>
      <c r="O75" s="588"/>
      <c r="P75" s="588"/>
      <c r="Q75" s="588"/>
      <c r="R75" s="588"/>
    </row>
    <row r="76" spans="1:28" ht="13.5" thickBot="1">
      <c r="A76" s="1621" t="s">
        <v>366</v>
      </c>
      <c r="B76" s="1622"/>
      <c r="C76" s="1622"/>
      <c r="D76" s="1622"/>
      <c r="E76" s="1622"/>
      <c r="F76" s="1622"/>
      <c r="G76" s="1622"/>
      <c r="H76" s="1622"/>
      <c r="I76" s="1622"/>
      <c r="J76" s="1622"/>
      <c r="K76" s="1622"/>
      <c r="L76" s="1622"/>
      <c r="M76" s="1622"/>
      <c r="N76" s="1622"/>
      <c r="O76" s="1622"/>
      <c r="P76" s="1622"/>
      <c r="Q76" s="1622"/>
      <c r="R76" s="1622"/>
    </row>
    <row r="77" spans="1:28">
      <c r="A77" s="726"/>
      <c r="B77" s="726"/>
      <c r="C77" s="726"/>
      <c r="D77" s="726"/>
      <c r="E77" s="726"/>
      <c r="F77" s="726"/>
      <c r="G77" s="726"/>
      <c r="H77" s="725"/>
      <c r="I77" s="725"/>
      <c r="J77" s="725"/>
      <c r="K77" s="725"/>
      <c r="L77" s="726"/>
      <c r="M77" s="726"/>
      <c r="N77" s="725"/>
      <c r="O77" s="726"/>
      <c r="P77" s="726"/>
      <c r="Q77" s="726"/>
      <c r="R77" s="726"/>
    </row>
    <row r="78" spans="1:28">
      <c r="A78" s="1626" t="str">
        <f>A3</f>
        <v>FALL 2013</v>
      </c>
      <c r="B78" s="1627"/>
      <c r="C78" s="1627"/>
      <c r="D78" s="1627"/>
      <c r="E78" s="1627"/>
      <c r="F78" s="1627"/>
      <c r="G78" s="1627"/>
      <c r="H78" s="1627"/>
      <c r="I78" s="1627"/>
      <c r="J78" s="1627"/>
      <c r="K78" s="1627"/>
      <c r="L78" s="1627"/>
      <c r="M78" s="1627"/>
      <c r="N78" s="1627"/>
      <c r="O78" s="1627"/>
      <c r="P78" s="1627"/>
      <c r="Q78" s="1627"/>
      <c r="R78" s="1628"/>
    </row>
    <row r="79" spans="1:28">
      <c r="A79" s="736"/>
      <c r="B79" s="728" t="s">
        <v>116</v>
      </c>
      <c r="C79" s="728"/>
      <c r="D79" s="728"/>
      <c r="E79" s="1092" t="s">
        <v>615</v>
      </c>
      <c r="F79" s="728" t="s">
        <v>21</v>
      </c>
      <c r="G79" s="728"/>
      <c r="H79" s="728"/>
      <c r="I79" s="728"/>
      <c r="J79" s="728"/>
      <c r="K79" s="728"/>
      <c r="L79" s="728"/>
      <c r="M79" s="728"/>
      <c r="N79" s="728"/>
      <c r="O79" s="728" t="str">
        <f>F79</f>
        <v>Total</v>
      </c>
      <c r="P79" s="728"/>
      <c r="Q79" s="728"/>
      <c r="R79" s="739"/>
    </row>
    <row r="80" spans="1:28">
      <c r="A80" s="740"/>
      <c r="B80" s="591" t="s">
        <v>117</v>
      </c>
      <c r="C80" s="591"/>
      <c r="D80" s="591" t="s">
        <v>120</v>
      </c>
      <c r="E80" s="1354" t="s">
        <v>586</v>
      </c>
      <c r="F80" s="591" t="s">
        <v>118</v>
      </c>
      <c r="H80" s="1618" t="s">
        <v>123</v>
      </c>
      <c r="I80" s="1619"/>
      <c r="J80" s="1619"/>
      <c r="K80" s="1619"/>
      <c r="L80" s="1620"/>
      <c r="M80" s="591"/>
      <c r="N80" s="729"/>
      <c r="O80" s="591" t="s">
        <v>125</v>
      </c>
      <c r="P80" s="591"/>
      <c r="Q80" s="591"/>
      <c r="R80" s="742" t="s">
        <v>21</v>
      </c>
    </row>
    <row r="81" spans="1:24">
      <c r="A81" s="740"/>
      <c r="B81" s="591" t="s">
        <v>118</v>
      </c>
      <c r="C81" s="591" t="s">
        <v>118</v>
      </c>
      <c r="D81" s="591" t="s">
        <v>21</v>
      </c>
      <c r="E81" s="591" t="s">
        <v>121</v>
      </c>
      <c r="F81" s="591" t="s">
        <v>122</v>
      </c>
      <c r="H81" s="728" t="s">
        <v>21</v>
      </c>
      <c r="I81" s="728" t="s">
        <v>288</v>
      </c>
      <c r="J81" s="728"/>
      <c r="K81" s="730" t="s">
        <v>349</v>
      </c>
      <c r="L81" s="728"/>
      <c r="M81" s="591"/>
      <c r="N81" s="591" t="s">
        <v>264</v>
      </c>
      <c r="O81" s="591" t="str">
        <f>F81</f>
        <v>before</v>
      </c>
      <c r="P81" s="591" t="s">
        <v>21</v>
      </c>
      <c r="Q81" s="729" t="s">
        <v>147</v>
      </c>
      <c r="R81" s="742" t="s">
        <v>125</v>
      </c>
    </row>
    <row r="82" spans="1:24">
      <c r="A82" s="743" t="s">
        <v>126</v>
      </c>
      <c r="B82" s="731" t="s">
        <v>119</v>
      </c>
      <c r="C82" s="731" t="s">
        <v>66</v>
      </c>
      <c r="D82" s="731" t="s">
        <v>118</v>
      </c>
      <c r="E82" s="731" t="s">
        <v>59</v>
      </c>
      <c r="F82" s="731" t="s">
        <v>62</v>
      </c>
      <c r="G82" s="869"/>
      <c r="H82" s="732" t="s">
        <v>154</v>
      </c>
      <c r="I82" s="732" t="s">
        <v>286</v>
      </c>
      <c r="J82" s="731" t="s">
        <v>287</v>
      </c>
      <c r="K82" s="733" t="s">
        <v>117</v>
      </c>
      <c r="L82" s="731" t="s">
        <v>0</v>
      </c>
      <c r="M82" s="731"/>
      <c r="N82" s="731" t="s">
        <v>124</v>
      </c>
      <c r="O82" s="731" t="str">
        <f>F82</f>
        <v>DLC</v>
      </c>
      <c r="P82" s="731" t="s">
        <v>66</v>
      </c>
      <c r="Q82" s="731" t="s">
        <v>131</v>
      </c>
      <c r="R82" s="745" t="s">
        <v>117</v>
      </c>
    </row>
    <row r="83" spans="1:24" hidden="1">
      <c r="A83" s="746">
        <f t="shared" ref="A83:A100" si="53">A8</f>
        <v>2013</v>
      </c>
      <c r="B83" s="749">
        <f>'Monthly Peaks'!I446</f>
        <v>8211</v>
      </c>
      <c r="C83" s="382">
        <f>'Monthly Peaks'!I486</f>
        <v>234</v>
      </c>
      <c r="D83" s="382">
        <f t="shared" ref="D83:D94" si="54">C83+B83</f>
        <v>8445</v>
      </c>
      <c r="E83" s="592">
        <f>'Monthly Peaks'!I566*-1</f>
        <v>0</v>
      </c>
      <c r="F83" s="382">
        <f t="shared" ref="F83:F94" si="55">E83+D83</f>
        <v>8445</v>
      </c>
      <c r="G83" s="382"/>
      <c r="H83" s="750">
        <f>'Monthly Peaks'!I246</f>
        <v>600</v>
      </c>
      <c r="I83" s="750">
        <f>'Monthly Peaks'!I326</f>
        <v>41.75</v>
      </c>
      <c r="J83" s="750">
        <f>'Monthly Peaks'!I286</f>
        <v>288.09999999999997</v>
      </c>
      <c r="K83" s="750">
        <f>'Monthly Peaks'!I1046</f>
        <v>15.01</v>
      </c>
      <c r="L83" s="382">
        <f t="shared" ref="L83:L94" si="56">SUM(H83:K83)</f>
        <v>944.8599999999999</v>
      </c>
      <c r="M83" s="382"/>
      <c r="N83" s="750">
        <f>'Monthly Peaks'!I366</f>
        <v>25</v>
      </c>
      <c r="O83" s="592">
        <f t="shared" ref="O83:O94" si="57">N83+L83+F83</f>
        <v>9414.86</v>
      </c>
      <c r="P83" s="322">
        <f t="shared" ref="P83:P94" si="58">(C83+K83)*-1</f>
        <v>-249.01</v>
      </c>
      <c r="Q83" s="592">
        <f>'Monthly Peaks'!I606*-1+'Monthly Peaks'!I1726</f>
        <v>-438</v>
      </c>
      <c r="R83" s="593">
        <f t="shared" ref="R83:R94" si="59">O83+Q83+P83</f>
        <v>8727.85</v>
      </c>
      <c r="S83" s="585"/>
      <c r="U83" s="331"/>
      <c r="W83" s="320"/>
      <c r="X83" s="444"/>
    </row>
    <row r="84" spans="1:24">
      <c r="A84" s="746">
        <f t="shared" si="53"/>
        <v>2014</v>
      </c>
      <c r="B84" s="749">
        <f>'Monthly Peaks'!I447</f>
        <v>8476</v>
      </c>
      <c r="C84" s="382">
        <f>'Monthly Peaks'!I487</f>
        <v>249</v>
      </c>
      <c r="D84" s="382">
        <f t="shared" si="54"/>
        <v>8725</v>
      </c>
      <c r="E84" s="592">
        <f>'Monthly Peaks'!I567*-1</f>
        <v>-45.08925304429556</v>
      </c>
      <c r="F84" s="382">
        <f t="shared" si="55"/>
        <v>8679.9107469557039</v>
      </c>
      <c r="G84" s="382"/>
      <c r="H84" s="750">
        <f>'Monthly Peaks'!I247</f>
        <v>550</v>
      </c>
      <c r="I84" s="750">
        <f>'Monthly Peaks'!I327</f>
        <v>41.93</v>
      </c>
      <c r="J84" s="750">
        <f>'Monthly Peaks'!I287</f>
        <v>212.04999999999998</v>
      </c>
      <c r="K84" s="750">
        <f>'Monthly Peaks'!I1047</f>
        <v>0</v>
      </c>
      <c r="L84" s="382">
        <f t="shared" si="56"/>
        <v>803.9799999999999</v>
      </c>
      <c r="M84" s="382"/>
      <c r="N84" s="750">
        <f>'Monthly Peaks'!I367</f>
        <v>25</v>
      </c>
      <c r="O84" s="592">
        <f t="shared" si="57"/>
        <v>9508.8907469557034</v>
      </c>
      <c r="P84" s="322">
        <f t="shared" si="58"/>
        <v>-249</v>
      </c>
      <c r="Q84" s="592">
        <f>'Monthly Peaks'!I607*-1+'Monthly Peaks'!I1727</f>
        <v>-448</v>
      </c>
      <c r="R84" s="593">
        <f t="shared" si="59"/>
        <v>8811.8907469557034</v>
      </c>
      <c r="S84" s="585"/>
      <c r="U84" s="331"/>
      <c r="W84" s="320"/>
      <c r="X84" s="444"/>
    </row>
    <row r="85" spans="1:24">
      <c r="A85" s="746">
        <f t="shared" si="53"/>
        <v>2015</v>
      </c>
      <c r="B85" s="749">
        <f>'Monthly Peaks'!I448</f>
        <v>8744</v>
      </c>
      <c r="C85" s="382">
        <f>'Monthly Peaks'!I488</f>
        <v>251</v>
      </c>
      <c r="D85" s="382">
        <f t="shared" si="54"/>
        <v>8995</v>
      </c>
      <c r="E85" s="592">
        <f>'Monthly Peaks'!I568*-1</f>
        <v>-76.258011385726263</v>
      </c>
      <c r="F85" s="382">
        <f t="shared" si="55"/>
        <v>8918.7419886142743</v>
      </c>
      <c r="G85" s="382"/>
      <c r="H85" s="750">
        <f>'Monthly Peaks'!I248</f>
        <v>550</v>
      </c>
      <c r="I85" s="750">
        <f>'Monthly Peaks'!I328</f>
        <v>42.010000000000005</v>
      </c>
      <c r="J85" s="750">
        <f>'Monthly Peaks'!I288</f>
        <v>214.04999999999998</v>
      </c>
      <c r="K85" s="750">
        <f>'Monthly Peaks'!I1048</f>
        <v>0</v>
      </c>
      <c r="L85" s="382">
        <f t="shared" si="56"/>
        <v>806.06</v>
      </c>
      <c r="M85" s="382"/>
      <c r="N85" s="750">
        <f>'Monthly Peaks'!I368</f>
        <v>25</v>
      </c>
      <c r="O85" s="592">
        <f t="shared" si="57"/>
        <v>9749.8019886142738</v>
      </c>
      <c r="P85" s="322">
        <f t="shared" si="58"/>
        <v>-251</v>
      </c>
      <c r="Q85" s="592">
        <f>'Monthly Peaks'!I608*-1+'Monthly Peaks'!I1728</f>
        <v>-457</v>
      </c>
      <c r="R85" s="593">
        <f t="shared" si="59"/>
        <v>9041.8019886142738</v>
      </c>
      <c r="S85" s="585"/>
      <c r="U85" s="331"/>
      <c r="W85" s="320"/>
      <c r="X85" s="444"/>
    </row>
    <row r="86" spans="1:24">
      <c r="A86" s="746">
        <f t="shared" si="53"/>
        <v>2016</v>
      </c>
      <c r="B86" s="749">
        <f>'Monthly Peaks'!I449</f>
        <v>9036</v>
      </c>
      <c r="C86" s="382">
        <f>'Monthly Peaks'!I489</f>
        <v>250</v>
      </c>
      <c r="D86" s="382">
        <f t="shared" si="54"/>
        <v>9286</v>
      </c>
      <c r="E86" s="592">
        <f>'Monthly Peaks'!I569*-1</f>
        <v>-104.46434847675221</v>
      </c>
      <c r="F86" s="382">
        <f t="shared" si="55"/>
        <v>9181.535651523247</v>
      </c>
      <c r="G86" s="382"/>
      <c r="H86" s="750">
        <f>'Monthly Peaks'!I249</f>
        <v>400</v>
      </c>
      <c r="I86" s="750">
        <f>'Monthly Peaks'!I329</f>
        <v>42.180000000000007</v>
      </c>
      <c r="J86" s="750">
        <f>'Monthly Peaks'!I289</f>
        <v>216.04999999999998</v>
      </c>
      <c r="K86" s="750">
        <f>'Monthly Peaks'!I1049</f>
        <v>0</v>
      </c>
      <c r="L86" s="382">
        <f t="shared" si="56"/>
        <v>658.23</v>
      </c>
      <c r="M86" s="382"/>
      <c r="N86" s="750">
        <f>'Monthly Peaks'!I369</f>
        <v>25</v>
      </c>
      <c r="O86" s="592">
        <f t="shared" si="57"/>
        <v>9864.7656515232466</v>
      </c>
      <c r="P86" s="322">
        <f t="shared" si="58"/>
        <v>-250</v>
      </c>
      <c r="Q86" s="592">
        <f>'Monthly Peaks'!I609*-1+'Monthly Peaks'!I1729</f>
        <v>-466</v>
      </c>
      <c r="R86" s="593">
        <f t="shared" si="59"/>
        <v>9148.7656515232466</v>
      </c>
      <c r="S86" s="585"/>
      <c r="U86" s="331"/>
      <c r="W86" s="320"/>
      <c r="X86" s="444"/>
    </row>
    <row r="87" spans="1:24">
      <c r="A87" s="746">
        <f t="shared" si="53"/>
        <v>2017</v>
      </c>
      <c r="B87" s="749">
        <f>'Monthly Peaks'!I450</f>
        <v>9330</v>
      </c>
      <c r="C87" s="382">
        <f>'Monthly Peaks'!I490</f>
        <v>251</v>
      </c>
      <c r="D87" s="382">
        <f t="shared" si="54"/>
        <v>9581</v>
      </c>
      <c r="E87" s="592">
        <f>'Monthly Peaks'!I570*-1</f>
        <v>-129.18061290106868</v>
      </c>
      <c r="F87" s="382">
        <f t="shared" si="55"/>
        <v>9451.8193870989307</v>
      </c>
      <c r="G87" s="382"/>
      <c r="H87" s="750">
        <f>'Monthly Peaks'!I250</f>
        <v>500</v>
      </c>
      <c r="I87" s="750">
        <f>'Monthly Peaks'!I330</f>
        <v>22.13</v>
      </c>
      <c r="J87" s="750">
        <f>'Monthly Peaks'!I290</f>
        <v>65.05</v>
      </c>
      <c r="K87" s="750">
        <f>'Monthly Peaks'!I1050</f>
        <v>0</v>
      </c>
      <c r="L87" s="382">
        <f t="shared" si="56"/>
        <v>587.17999999999995</v>
      </c>
      <c r="M87" s="382"/>
      <c r="N87" s="750">
        <f>'Monthly Peaks'!I370</f>
        <v>25</v>
      </c>
      <c r="O87" s="592">
        <f t="shared" si="57"/>
        <v>10063.999387098931</v>
      </c>
      <c r="P87" s="322">
        <f t="shared" si="58"/>
        <v>-251</v>
      </c>
      <c r="Q87" s="592">
        <f>'Monthly Peaks'!I610*-1+'Monthly Peaks'!I1730</f>
        <v>-506</v>
      </c>
      <c r="R87" s="593">
        <f t="shared" si="59"/>
        <v>9306.999387098931</v>
      </c>
      <c r="S87" s="585"/>
      <c r="U87" s="331"/>
      <c r="W87" s="320"/>
      <c r="X87" s="444"/>
    </row>
    <row r="88" spans="1:24">
      <c r="A88" s="746">
        <f t="shared" si="53"/>
        <v>2018</v>
      </c>
      <c r="B88" s="749">
        <f>'Monthly Peaks'!I451</f>
        <v>9494</v>
      </c>
      <c r="C88" s="382">
        <f>'Monthly Peaks'!I491</f>
        <v>258</v>
      </c>
      <c r="D88" s="382">
        <f t="shared" si="54"/>
        <v>9752</v>
      </c>
      <c r="E88" s="592">
        <f>'Monthly Peaks'!I571*-1</f>
        <v>-151.10558733358027</v>
      </c>
      <c r="F88" s="382">
        <f t="shared" si="55"/>
        <v>9600.8944126664192</v>
      </c>
      <c r="G88" s="382"/>
      <c r="H88" s="750">
        <f>'Monthly Peaks'!I251</f>
        <v>500</v>
      </c>
      <c r="I88" s="750">
        <f>'Monthly Peaks'!I331</f>
        <v>22.17</v>
      </c>
      <c r="J88" s="750">
        <f>'Monthly Peaks'!I291</f>
        <v>65.05</v>
      </c>
      <c r="K88" s="750">
        <f>'Monthly Peaks'!I1051</f>
        <v>0</v>
      </c>
      <c r="L88" s="382">
        <f t="shared" si="56"/>
        <v>587.21999999999991</v>
      </c>
      <c r="M88" s="382"/>
      <c r="N88" s="750">
        <f>'Monthly Peaks'!I371</f>
        <v>25</v>
      </c>
      <c r="O88" s="592">
        <f t="shared" si="57"/>
        <v>10213.114412666419</v>
      </c>
      <c r="P88" s="322">
        <f t="shared" si="58"/>
        <v>-258</v>
      </c>
      <c r="Q88" s="592">
        <f>'Monthly Peaks'!I611*-1+'Monthly Peaks'!I1731</f>
        <v>-516</v>
      </c>
      <c r="R88" s="593">
        <f t="shared" si="59"/>
        <v>9439.1144126664185</v>
      </c>
      <c r="S88" s="585"/>
      <c r="U88" s="331"/>
      <c r="W88" s="320"/>
      <c r="X88" s="444"/>
    </row>
    <row r="89" spans="1:24">
      <c r="A89" s="746">
        <f t="shared" si="53"/>
        <v>2019</v>
      </c>
      <c r="B89" s="749">
        <f>'Monthly Peaks'!I452</f>
        <v>9648</v>
      </c>
      <c r="C89" s="382">
        <f>'Monthly Peaks'!I492</f>
        <v>305</v>
      </c>
      <c r="D89" s="382">
        <f t="shared" si="54"/>
        <v>9953</v>
      </c>
      <c r="E89" s="592">
        <f>'Monthly Peaks'!I572*-1</f>
        <v>-171.93647971113307</v>
      </c>
      <c r="F89" s="382">
        <f t="shared" si="55"/>
        <v>9781.0635202888661</v>
      </c>
      <c r="G89" s="382"/>
      <c r="H89" s="750">
        <f>'Monthly Peaks'!I252</f>
        <v>750</v>
      </c>
      <c r="I89" s="750">
        <f>'Monthly Peaks'!I332</f>
        <v>22.220000000000002</v>
      </c>
      <c r="J89" s="750">
        <f>'Monthly Peaks'!I292</f>
        <v>65.05</v>
      </c>
      <c r="K89" s="750">
        <f>'Monthly Peaks'!I1052</f>
        <v>0</v>
      </c>
      <c r="L89" s="382">
        <f t="shared" si="56"/>
        <v>837.27</v>
      </c>
      <c r="M89" s="382"/>
      <c r="N89" s="750">
        <f>'Monthly Peaks'!I372</f>
        <v>25</v>
      </c>
      <c r="O89" s="592">
        <f t="shared" si="57"/>
        <v>10643.333520288867</v>
      </c>
      <c r="P89" s="322">
        <f t="shared" si="58"/>
        <v>-305</v>
      </c>
      <c r="Q89" s="592">
        <f>'Monthly Peaks'!I612*-1+'Monthly Peaks'!I1732</f>
        <v>-525</v>
      </c>
      <c r="R89" s="593">
        <f t="shared" si="59"/>
        <v>9813.3335202888666</v>
      </c>
      <c r="S89" s="585"/>
      <c r="U89" s="331"/>
      <c r="W89" s="320"/>
      <c r="X89" s="444"/>
    </row>
    <row r="90" spans="1:24">
      <c r="A90" s="746">
        <f t="shared" si="53"/>
        <v>2020</v>
      </c>
      <c r="B90" s="749">
        <f>'Monthly Peaks'!I453</f>
        <v>9800</v>
      </c>
      <c r="C90" s="382">
        <f>'Monthly Peaks'!I493</f>
        <v>327</v>
      </c>
      <c r="D90" s="382">
        <f t="shared" si="54"/>
        <v>10127</v>
      </c>
      <c r="E90" s="592">
        <f>'Monthly Peaks'!I573*-1</f>
        <v>-193.47947653224503</v>
      </c>
      <c r="F90" s="382">
        <f t="shared" si="55"/>
        <v>9933.5205234677542</v>
      </c>
      <c r="G90" s="382"/>
      <c r="H90" s="750">
        <f>'Monthly Peaks'!I253</f>
        <v>750</v>
      </c>
      <c r="I90" s="750">
        <f>'Monthly Peaks'!I333</f>
        <v>22.36</v>
      </c>
      <c r="J90" s="750">
        <f>'Monthly Peaks'!I293</f>
        <v>65.05</v>
      </c>
      <c r="K90" s="750">
        <f>'Monthly Peaks'!I1053</f>
        <v>0</v>
      </c>
      <c r="L90" s="382">
        <f t="shared" si="56"/>
        <v>837.41</v>
      </c>
      <c r="M90" s="382"/>
      <c r="N90" s="750">
        <f>'Monthly Peaks'!I373</f>
        <v>25</v>
      </c>
      <c r="O90" s="592">
        <f t="shared" si="57"/>
        <v>10795.930523467754</v>
      </c>
      <c r="P90" s="322">
        <f t="shared" si="58"/>
        <v>-327</v>
      </c>
      <c r="Q90" s="592">
        <f>'Monthly Peaks'!I613*-1+'Monthly Peaks'!I1733</f>
        <v>-534</v>
      </c>
      <c r="R90" s="593">
        <f t="shared" si="59"/>
        <v>9934.930523467754</v>
      </c>
      <c r="S90" s="585"/>
      <c r="U90" s="331"/>
      <c r="W90" s="320"/>
      <c r="X90" s="444"/>
    </row>
    <row r="91" spans="1:24">
      <c r="A91" s="746">
        <f t="shared" si="53"/>
        <v>2021</v>
      </c>
      <c r="B91" s="749">
        <f>'Monthly Peaks'!I454</f>
        <v>9946</v>
      </c>
      <c r="C91" s="382">
        <f>'Monthly Peaks'!I494</f>
        <v>328</v>
      </c>
      <c r="D91" s="382">
        <f t="shared" si="54"/>
        <v>10274</v>
      </c>
      <c r="E91" s="592">
        <f>'Monthly Peaks'!I574*-1</f>
        <v>-213.24726338500761</v>
      </c>
      <c r="F91" s="382">
        <f t="shared" si="55"/>
        <v>10060.752736614992</v>
      </c>
      <c r="G91" s="382"/>
      <c r="H91" s="750">
        <f>'Monthly Peaks'!I254</f>
        <v>650</v>
      </c>
      <c r="I91" s="750">
        <f>'Monthly Peaks'!I334</f>
        <v>22.4</v>
      </c>
      <c r="J91" s="750">
        <f>'Monthly Peaks'!I294</f>
        <v>65.05</v>
      </c>
      <c r="K91" s="750">
        <f>'Monthly Peaks'!I1054</f>
        <v>0</v>
      </c>
      <c r="L91" s="382">
        <f t="shared" si="56"/>
        <v>737.44999999999993</v>
      </c>
      <c r="M91" s="382"/>
      <c r="N91" s="750">
        <f>'Monthly Peaks'!I374</f>
        <v>25</v>
      </c>
      <c r="O91" s="592">
        <f t="shared" si="57"/>
        <v>10823.202736614992</v>
      </c>
      <c r="P91" s="322">
        <f t="shared" si="58"/>
        <v>-328</v>
      </c>
      <c r="Q91" s="592">
        <f>'Monthly Peaks'!I614*-1+'Monthly Peaks'!I1734</f>
        <v>-543</v>
      </c>
      <c r="R91" s="593">
        <f t="shared" si="59"/>
        <v>9952.2027366149923</v>
      </c>
      <c r="S91" s="585"/>
      <c r="U91" s="331"/>
      <c r="W91" s="320"/>
      <c r="X91" s="444"/>
    </row>
    <row r="92" spans="1:24">
      <c r="A92" s="746">
        <f t="shared" si="53"/>
        <v>2022</v>
      </c>
      <c r="B92" s="749">
        <f>'Monthly Peaks'!I455</f>
        <v>10089</v>
      </c>
      <c r="C92" s="382">
        <f>'Monthly Peaks'!I495</f>
        <v>328</v>
      </c>
      <c r="D92" s="382">
        <f t="shared" si="54"/>
        <v>10417</v>
      </c>
      <c r="E92" s="592">
        <f>'Monthly Peaks'!I575*-1</f>
        <v>-232.07538266340975</v>
      </c>
      <c r="F92" s="382">
        <f t="shared" si="55"/>
        <v>10184.92461733659</v>
      </c>
      <c r="G92" s="382"/>
      <c r="H92" s="750">
        <f>'Monthly Peaks'!I255</f>
        <v>650</v>
      </c>
      <c r="I92" s="750">
        <f>'Monthly Peaks'!I335</f>
        <v>22.54</v>
      </c>
      <c r="J92" s="750">
        <f>'Monthly Peaks'!I295</f>
        <v>65.05</v>
      </c>
      <c r="K92" s="750">
        <f>'Monthly Peaks'!I1055</f>
        <v>0</v>
      </c>
      <c r="L92" s="382">
        <f t="shared" si="56"/>
        <v>737.58999999999992</v>
      </c>
      <c r="M92" s="382"/>
      <c r="N92" s="750">
        <f>'Monthly Peaks'!I375</f>
        <v>25</v>
      </c>
      <c r="O92" s="592">
        <f t="shared" si="57"/>
        <v>10947.51461733659</v>
      </c>
      <c r="P92" s="322">
        <f t="shared" si="58"/>
        <v>-328</v>
      </c>
      <c r="Q92" s="592">
        <f>'Monthly Peaks'!I615*-1+'Monthly Peaks'!I1735</f>
        <v>-553</v>
      </c>
      <c r="R92" s="593">
        <f t="shared" si="59"/>
        <v>10066.51461733659</v>
      </c>
      <c r="S92" s="585"/>
      <c r="U92" s="331"/>
      <c r="W92" s="320"/>
      <c r="X92" s="444"/>
    </row>
    <row r="93" spans="1:24">
      <c r="A93" s="746">
        <f t="shared" si="53"/>
        <v>2023</v>
      </c>
      <c r="B93" s="749">
        <f>'Monthly Peaks'!I456</f>
        <v>10222</v>
      </c>
      <c r="C93" s="382">
        <f>'Monthly Peaks'!I496</f>
        <v>328</v>
      </c>
      <c r="D93" s="382">
        <f t="shared" si="54"/>
        <v>10550</v>
      </c>
      <c r="E93" s="592">
        <f>'Monthly Peaks'!I576*-1</f>
        <v>-250.28935373436445</v>
      </c>
      <c r="F93" s="382">
        <f t="shared" si="55"/>
        <v>10299.710646265636</v>
      </c>
      <c r="G93" s="382"/>
      <c r="H93" s="750">
        <f>'Monthly Peaks'!I256</f>
        <v>650</v>
      </c>
      <c r="I93" s="750">
        <f>'Monthly Peaks'!I336</f>
        <v>22.68</v>
      </c>
      <c r="J93" s="750">
        <f>'Monthly Peaks'!I296</f>
        <v>65.05</v>
      </c>
      <c r="K93" s="750">
        <f>'Monthly Peaks'!I1056</f>
        <v>0</v>
      </c>
      <c r="L93" s="382">
        <f t="shared" si="56"/>
        <v>737.7299999999999</v>
      </c>
      <c r="M93" s="382"/>
      <c r="N93" s="750">
        <f>'Monthly Peaks'!I376</f>
        <v>25</v>
      </c>
      <c r="O93" s="592">
        <f t="shared" si="57"/>
        <v>11062.440646265635</v>
      </c>
      <c r="P93" s="322">
        <f t="shared" si="58"/>
        <v>-328</v>
      </c>
      <c r="Q93" s="592">
        <f>'Monthly Peaks'!I616*-1+'Monthly Peaks'!I1736</f>
        <v>-562</v>
      </c>
      <c r="R93" s="593">
        <f t="shared" si="59"/>
        <v>10172.440646265635</v>
      </c>
      <c r="S93" s="585"/>
      <c r="U93" s="331"/>
      <c r="W93" s="320"/>
      <c r="X93" s="444"/>
    </row>
    <row r="94" spans="1:24">
      <c r="A94" s="746">
        <f t="shared" si="53"/>
        <v>2024</v>
      </c>
      <c r="B94" s="749">
        <f>'Monthly Peaks'!I457</f>
        <v>10353</v>
      </c>
      <c r="C94" s="382">
        <f>'Monthly Peaks'!I497</f>
        <v>327</v>
      </c>
      <c r="D94" s="382">
        <f t="shared" si="54"/>
        <v>10680</v>
      </c>
      <c r="E94" s="592">
        <f>'Monthly Peaks'!I577*-1</f>
        <v>-268.17320954291267</v>
      </c>
      <c r="F94" s="382">
        <f t="shared" si="55"/>
        <v>10411.826790457088</v>
      </c>
      <c r="G94" s="382"/>
      <c r="H94" s="750">
        <f>'Monthly Peaks'!I257</f>
        <v>650</v>
      </c>
      <c r="I94" s="750">
        <f>'Monthly Peaks'!I337</f>
        <v>22.81</v>
      </c>
      <c r="J94" s="750">
        <f>'Monthly Peaks'!I297</f>
        <v>65.05</v>
      </c>
      <c r="K94" s="750">
        <f>'Monthly Peaks'!I1057</f>
        <v>0</v>
      </c>
      <c r="L94" s="382">
        <f t="shared" si="56"/>
        <v>737.8599999999999</v>
      </c>
      <c r="M94" s="382"/>
      <c r="N94" s="750">
        <f>'Monthly Peaks'!I377</f>
        <v>25</v>
      </c>
      <c r="O94" s="592">
        <f t="shared" si="57"/>
        <v>11174.686790457088</v>
      </c>
      <c r="P94" s="322">
        <f t="shared" si="58"/>
        <v>-327</v>
      </c>
      <c r="Q94" s="592">
        <f>'Monthly Peaks'!I617*-1+'Monthly Peaks'!I1737</f>
        <v>-571</v>
      </c>
      <c r="R94" s="593">
        <f t="shared" si="59"/>
        <v>10276.686790457088</v>
      </c>
      <c r="S94" s="585"/>
      <c r="U94" s="331"/>
      <c r="W94" s="320"/>
      <c r="X94" s="444"/>
    </row>
    <row r="95" spans="1:24">
      <c r="A95" s="746">
        <f t="shared" si="53"/>
        <v>2025</v>
      </c>
      <c r="B95" s="749">
        <f>'Monthly Peaks'!I458</f>
        <v>10477</v>
      </c>
      <c r="C95" s="382">
        <f>'Monthly Peaks'!I498</f>
        <v>328</v>
      </c>
      <c r="D95" s="382">
        <f t="shared" ref="D95:D100" si="60">C95+B95</f>
        <v>10805</v>
      </c>
      <c r="E95" s="592">
        <f>'Monthly Peaks'!I578*-1</f>
        <v>-285.80956240458011</v>
      </c>
      <c r="F95" s="382">
        <f t="shared" ref="F95:F100" si="61">E95+D95</f>
        <v>10519.19043759542</v>
      </c>
      <c r="G95" s="382"/>
      <c r="H95" s="750">
        <f>'Monthly Peaks'!I258</f>
        <v>650</v>
      </c>
      <c r="I95" s="750">
        <f>'Monthly Peaks'!I338</f>
        <v>22.95</v>
      </c>
      <c r="J95" s="750">
        <f>'Monthly Peaks'!I298</f>
        <v>65.05</v>
      </c>
      <c r="K95" s="750">
        <f>'Monthly Peaks'!I1058</f>
        <v>0</v>
      </c>
      <c r="L95" s="382">
        <f t="shared" ref="L95:L100" si="62">SUM(H95:K95)</f>
        <v>738</v>
      </c>
      <c r="M95" s="382"/>
      <c r="N95" s="750">
        <f>'Monthly Peaks'!I378</f>
        <v>25</v>
      </c>
      <c r="O95" s="592">
        <f t="shared" ref="O95:O100" si="63">N95+L95+F95</f>
        <v>11282.19043759542</v>
      </c>
      <c r="P95" s="322">
        <f t="shared" ref="P95:P100" si="64">(C95+K95)*-1</f>
        <v>-328</v>
      </c>
      <c r="Q95" s="592">
        <f>'Monthly Peaks'!I618*-1+'Monthly Peaks'!I1738</f>
        <v>-580</v>
      </c>
      <c r="R95" s="593">
        <f t="shared" ref="R95:R100" si="65">O95+Q95+P95</f>
        <v>10374.19043759542</v>
      </c>
      <c r="S95" s="585"/>
      <c r="U95" s="331"/>
      <c r="W95" s="320"/>
      <c r="X95" s="444"/>
    </row>
    <row r="96" spans="1:24">
      <c r="A96" s="746">
        <f t="shared" si="53"/>
        <v>2026</v>
      </c>
      <c r="B96" s="749">
        <f>'Monthly Peaks'!I459</f>
        <v>10594</v>
      </c>
      <c r="C96" s="382">
        <f>'Monthly Peaks'!I499</f>
        <v>328</v>
      </c>
      <c r="D96" s="382">
        <f t="shared" si="60"/>
        <v>10922</v>
      </c>
      <c r="E96" s="592">
        <f>'Monthly Peaks'!I579*-1</f>
        <v>-302.85129386160054</v>
      </c>
      <c r="F96" s="382">
        <f t="shared" si="61"/>
        <v>10619.1487061384</v>
      </c>
      <c r="G96" s="382"/>
      <c r="H96" s="750">
        <f>'Monthly Peaks'!I259</f>
        <v>650</v>
      </c>
      <c r="I96" s="750">
        <f>'Monthly Peaks'!I339</f>
        <v>23.1</v>
      </c>
      <c r="J96" s="750">
        <f>'Monthly Peaks'!I299</f>
        <v>65.05</v>
      </c>
      <c r="K96" s="750">
        <f>'Monthly Peaks'!I1059</f>
        <v>0</v>
      </c>
      <c r="L96" s="382">
        <f t="shared" si="62"/>
        <v>738.15</v>
      </c>
      <c r="M96" s="382"/>
      <c r="N96" s="750">
        <f>'Monthly Peaks'!I379</f>
        <v>25</v>
      </c>
      <c r="O96" s="592">
        <f t="shared" si="63"/>
        <v>11382.298706138399</v>
      </c>
      <c r="P96" s="322">
        <f t="shared" si="64"/>
        <v>-328</v>
      </c>
      <c r="Q96" s="592">
        <f>'Monthly Peaks'!I619*-1+'Monthly Peaks'!I1739</f>
        <v>-590</v>
      </c>
      <c r="R96" s="593">
        <f t="shared" si="65"/>
        <v>10464.298706138399</v>
      </c>
      <c r="S96" s="585"/>
      <c r="U96" s="331"/>
      <c r="W96" s="320"/>
      <c r="X96" s="444"/>
    </row>
    <row r="97" spans="1:24">
      <c r="A97" s="746">
        <f t="shared" si="53"/>
        <v>2027</v>
      </c>
      <c r="B97" s="749">
        <f>'Monthly Peaks'!I460</f>
        <v>10710</v>
      </c>
      <c r="C97" s="382">
        <f>'Monthly Peaks'!I500</f>
        <v>328</v>
      </c>
      <c r="D97" s="382">
        <f t="shared" si="60"/>
        <v>11038</v>
      </c>
      <c r="E97" s="592">
        <f>'Monthly Peaks'!I580*-1</f>
        <v>-319.40233534738729</v>
      </c>
      <c r="F97" s="382">
        <f t="shared" si="61"/>
        <v>10718.597664652612</v>
      </c>
      <c r="G97" s="382"/>
      <c r="H97" s="750">
        <f>'Monthly Peaks'!I260</f>
        <v>650</v>
      </c>
      <c r="I97" s="750">
        <f>'Monthly Peaks'!I340</f>
        <v>23.23</v>
      </c>
      <c r="J97" s="750">
        <f>'Monthly Peaks'!I300</f>
        <v>65.05</v>
      </c>
      <c r="K97" s="750">
        <f>'Monthly Peaks'!I1060</f>
        <v>0</v>
      </c>
      <c r="L97" s="382">
        <f t="shared" si="62"/>
        <v>738.28</v>
      </c>
      <c r="M97" s="382"/>
      <c r="N97" s="750">
        <f>'Monthly Peaks'!I380</f>
        <v>25</v>
      </c>
      <c r="O97" s="592">
        <f t="shared" si="63"/>
        <v>11481.877664652613</v>
      </c>
      <c r="P97" s="322">
        <f t="shared" si="64"/>
        <v>-328</v>
      </c>
      <c r="Q97" s="592">
        <f>'Monthly Peaks'!I620*-1+'Monthly Peaks'!I1740</f>
        <v>-599</v>
      </c>
      <c r="R97" s="593">
        <f t="shared" si="65"/>
        <v>10554.877664652613</v>
      </c>
      <c r="S97" s="585"/>
      <c r="U97" s="331"/>
      <c r="W97" s="320"/>
      <c r="X97" s="444"/>
    </row>
    <row r="98" spans="1:24">
      <c r="A98" s="746">
        <f t="shared" si="53"/>
        <v>2028</v>
      </c>
      <c r="B98" s="749">
        <f>'Monthly Peaks'!I461</f>
        <v>10823</v>
      </c>
      <c r="C98" s="382">
        <f>'Monthly Peaks'!I501</f>
        <v>327</v>
      </c>
      <c r="D98" s="382">
        <f t="shared" si="60"/>
        <v>11150</v>
      </c>
      <c r="E98" s="592">
        <f>'Monthly Peaks'!I581*-1</f>
        <v>-335.54350283050314</v>
      </c>
      <c r="F98" s="382">
        <f t="shared" si="61"/>
        <v>10814.456497169496</v>
      </c>
      <c r="G98" s="382"/>
      <c r="H98" s="750">
        <f>'Monthly Peaks'!I261</f>
        <v>650</v>
      </c>
      <c r="I98" s="750">
        <f>'Monthly Peaks'!I341</f>
        <v>23.28</v>
      </c>
      <c r="J98" s="750">
        <f>'Monthly Peaks'!I301</f>
        <v>65.05</v>
      </c>
      <c r="K98" s="750">
        <f>'Monthly Peaks'!I1061</f>
        <v>0</v>
      </c>
      <c r="L98" s="382">
        <f t="shared" si="62"/>
        <v>738.32999999999993</v>
      </c>
      <c r="M98" s="382"/>
      <c r="N98" s="750">
        <f>'Monthly Peaks'!I381</f>
        <v>25</v>
      </c>
      <c r="O98" s="592">
        <f t="shared" si="63"/>
        <v>11577.786497169496</v>
      </c>
      <c r="P98" s="322">
        <f t="shared" si="64"/>
        <v>-327</v>
      </c>
      <c r="Q98" s="592">
        <f>'Monthly Peaks'!I621*-1+'Monthly Peaks'!I1741</f>
        <v>-608</v>
      </c>
      <c r="R98" s="593">
        <f t="shared" si="65"/>
        <v>10642.786497169496</v>
      </c>
      <c r="S98" s="585"/>
      <c r="U98" s="331"/>
      <c r="W98" s="320"/>
      <c r="X98" s="444"/>
    </row>
    <row r="99" spans="1:24">
      <c r="A99" s="746">
        <f t="shared" si="53"/>
        <v>2029</v>
      </c>
      <c r="B99" s="749">
        <f>'Monthly Peaks'!I462</f>
        <v>10933</v>
      </c>
      <c r="C99" s="382">
        <f>'Monthly Peaks'!I502</f>
        <v>328</v>
      </c>
      <c r="D99" s="382">
        <f t="shared" si="60"/>
        <v>11261</v>
      </c>
      <c r="E99" s="592">
        <f>'Monthly Peaks'!I582*-1</f>
        <v>-351.31156566780817</v>
      </c>
      <c r="F99" s="382">
        <f t="shared" si="61"/>
        <v>10909.688434332193</v>
      </c>
      <c r="G99" s="382"/>
      <c r="H99" s="750">
        <f>'Monthly Peaks'!I262</f>
        <v>650</v>
      </c>
      <c r="I99" s="750">
        <f>'Monthly Peaks'!I342</f>
        <v>23.42</v>
      </c>
      <c r="J99" s="750">
        <f>'Monthly Peaks'!I302</f>
        <v>65.05</v>
      </c>
      <c r="K99" s="750">
        <f>'Monthly Peaks'!I1062</f>
        <v>0</v>
      </c>
      <c r="L99" s="382">
        <f t="shared" si="62"/>
        <v>738.46999999999991</v>
      </c>
      <c r="M99" s="382"/>
      <c r="N99" s="750">
        <f>'Monthly Peaks'!I382</f>
        <v>25</v>
      </c>
      <c r="O99" s="592">
        <f t="shared" si="63"/>
        <v>11673.158434332192</v>
      </c>
      <c r="P99" s="322">
        <f t="shared" si="64"/>
        <v>-328</v>
      </c>
      <c r="Q99" s="592">
        <f>'Monthly Peaks'!I622*-1+'Monthly Peaks'!I1742</f>
        <v>-617</v>
      </c>
      <c r="R99" s="593">
        <f t="shared" si="65"/>
        <v>10728.158434332192</v>
      </c>
      <c r="S99" s="585"/>
      <c r="U99" s="331"/>
      <c r="W99" s="320"/>
      <c r="X99" s="444"/>
    </row>
    <row r="100" spans="1:24">
      <c r="A100" s="743">
        <f t="shared" si="53"/>
        <v>2030</v>
      </c>
      <c r="B100" s="751">
        <f>'Monthly Peaks'!I463</f>
        <v>11037</v>
      </c>
      <c r="C100" s="752">
        <f>'Monthly Peaks'!I503</f>
        <v>328</v>
      </c>
      <c r="D100" s="752">
        <f t="shared" si="60"/>
        <v>11365</v>
      </c>
      <c r="E100" s="598">
        <f>'Monthly Peaks'!I583*-1</f>
        <v>-366.69878577028942</v>
      </c>
      <c r="F100" s="752">
        <f t="shared" si="61"/>
        <v>10998.30121422971</v>
      </c>
      <c r="G100" s="752"/>
      <c r="H100" s="753">
        <f>'Monthly Peaks'!I263</f>
        <v>650</v>
      </c>
      <c r="I100" s="753">
        <f>'Monthly Peaks'!I343</f>
        <v>23.55</v>
      </c>
      <c r="J100" s="753">
        <f>'Monthly Peaks'!I303</f>
        <v>65.05</v>
      </c>
      <c r="K100" s="753">
        <f>'Monthly Peaks'!I1063</f>
        <v>0</v>
      </c>
      <c r="L100" s="752">
        <f t="shared" si="62"/>
        <v>738.59999999999991</v>
      </c>
      <c r="M100" s="752"/>
      <c r="N100" s="753">
        <f>'Monthly Peaks'!I383</f>
        <v>25</v>
      </c>
      <c r="O100" s="598">
        <f t="shared" si="63"/>
        <v>11761.901214229711</v>
      </c>
      <c r="P100" s="597">
        <f t="shared" si="64"/>
        <v>-328</v>
      </c>
      <c r="Q100" s="598">
        <f>'Monthly Peaks'!I623*-1+'Monthly Peaks'!I1743</f>
        <v>-626</v>
      </c>
      <c r="R100" s="599">
        <f t="shared" si="65"/>
        <v>10807.901214229711</v>
      </c>
      <c r="S100" s="585"/>
      <c r="U100" s="331"/>
      <c r="W100" s="320"/>
      <c r="X100" s="444"/>
    </row>
    <row r="101" spans="1:24">
      <c r="A101" s="726"/>
      <c r="B101" s="726"/>
      <c r="C101" s="726"/>
      <c r="D101" s="726"/>
      <c r="E101" s="726"/>
      <c r="F101" s="726"/>
      <c r="G101" s="726"/>
      <c r="H101" s="725"/>
      <c r="I101" s="725"/>
      <c r="J101" s="725"/>
      <c r="K101" s="725"/>
      <c r="L101" s="726"/>
      <c r="M101" s="726"/>
      <c r="N101" s="725"/>
      <c r="O101" s="726"/>
      <c r="P101" s="726"/>
      <c r="Q101" s="726"/>
      <c r="R101" s="726"/>
    </row>
    <row r="102" spans="1:24">
      <c r="A102" s="1629" t="str">
        <f>A27</f>
        <v>TYSP 2013</v>
      </c>
      <c r="B102" s="1624"/>
      <c r="C102" s="1624"/>
      <c r="D102" s="1624"/>
      <c r="E102" s="1624"/>
      <c r="F102" s="1624"/>
      <c r="G102" s="1624"/>
      <c r="H102" s="1624"/>
      <c r="I102" s="1624"/>
      <c r="J102" s="1624"/>
      <c r="K102" s="1624"/>
      <c r="L102" s="1624"/>
      <c r="M102" s="1624"/>
      <c r="N102" s="1624"/>
      <c r="O102" s="1624"/>
      <c r="P102" s="1624"/>
      <c r="Q102" s="1624"/>
      <c r="R102" s="1625"/>
    </row>
    <row r="103" spans="1:24">
      <c r="A103" s="736"/>
      <c r="B103" s="1364" t="s">
        <v>116</v>
      </c>
      <c r="C103" s="728"/>
      <c r="D103" s="1364"/>
      <c r="E103" s="1332"/>
      <c r="F103" s="728" t="s">
        <v>21</v>
      </c>
      <c r="G103" s="1092" t="s">
        <v>615</v>
      </c>
      <c r="H103" s="728"/>
      <c r="I103" s="728"/>
      <c r="J103" s="728"/>
      <c r="K103" s="728"/>
      <c r="L103" s="728"/>
      <c r="M103" s="728"/>
      <c r="N103" s="728"/>
      <c r="O103" s="728" t="str">
        <f>F103</f>
        <v>Total</v>
      </c>
      <c r="P103" s="728"/>
      <c r="Q103" s="728"/>
      <c r="R103" s="739"/>
    </row>
    <row r="104" spans="1:24">
      <c r="A104" s="740"/>
      <c r="B104" s="1365" t="s">
        <v>117</v>
      </c>
      <c r="C104" s="591"/>
      <c r="D104" s="1365" t="s">
        <v>120</v>
      </c>
      <c r="E104" s="1367"/>
      <c r="F104" s="591" t="s">
        <v>118</v>
      </c>
      <c r="G104" s="1354" t="s">
        <v>586</v>
      </c>
      <c r="H104" s="1618" t="s">
        <v>123</v>
      </c>
      <c r="I104" s="1619"/>
      <c r="J104" s="1619"/>
      <c r="K104" s="1619"/>
      <c r="L104" s="1620"/>
      <c r="M104" s="591"/>
      <c r="N104" s="729"/>
      <c r="O104" s="591" t="s">
        <v>125</v>
      </c>
      <c r="P104" s="591"/>
      <c r="Q104" s="591"/>
      <c r="R104" s="742" t="s">
        <v>21</v>
      </c>
    </row>
    <row r="105" spans="1:24">
      <c r="A105" s="740"/>
      <c r="B105" s="1365" t="s">
        <v>118</v>
      </c>
      <c r="C105" s="591" t="s">
        <v>118</v>
      </c>
      <c r="D105" s="1365" t="s">
        <v>21</v>
      </c>
      <c r="E105" s="1365" t="s">
        <v>121</v>
      </c>
      <c r="F105" s="591" t="s">
        <v>122</v>
      </c>
      <c r="G105" s="591" t="s">
        <v>121</v>
      </c>
      <c r="H105" s="728" t="s">
        <v>21</v>
      </c>
      <c r="I105" s="728" t="s">
        <v>288</v>
      </c>
      <c r="J105" s="728"/>
      <c r="K105" s="730" t="str">
        <f>K81</f>
        <v>Non-</v>
      </c>
      <c r="L105" s="728"/>
      <c r="M105" s="591"/>
      <c r="N105" s="591" t="s">
        <v>264</v>
      </c>
      <c r="O105" s="591" t="str">
        <f>F105</f>
        <v>before</v>
      </c>
      <c r="P105" s="591" t="s">
        <v>21</v>
      </c>
      <c r="Q105" s="729" t="s">
        <v>147</v>
      </c>
      <c r="R105" s="742" t="s">
        <v>125</v>
      </c>
    </row>
    <row r="106" spans="1:24">
      <c r="A106" s="743" t="s">
        <v>126</v>
      </c>
      <c r="B106" s="1366" t="s">
        <v>119</v>
      </c>
      <c r="C106" s="731" t="s">
        <v>66</v>
      </c>
      <c r="D106" s="1366" t="s">
        <v>118</v>
      </c>
      <c r="E106" s="1366" t="s">
        <v>59</v>
      </c>
      <c r="F106" s="731" t="s">
        <v>62</v>
      </c>
      <c r="G106" s="731" t="s">
        <v>59</v>
      </c>
      <c r="H106" s="732" t="s">
        <v>154</v>
      </c>
      <c r="I106" s="732" t="s">
        <v>286</v>
      </c>
      <c r="J106" s="731" t="s">
        <v>287</v>
      </c>
      <c r="K106" s="754" t="str">
        <f>K82</f>
        <v>Firm</v>
      </c>
      <c r="L106" s="731" t="s">
        <v>0</v>
      </c>
      <c r="M106" s="731"/>
      <c r="N106" s="731" t="s">
        <v>124</v>
      </c>
      <c r="O106" s="731" t="str">
        <f>F106</f>
        <v>DLC</v>
      </c>
      <c r="P106" s="731" t="s">
        <v>66</v>
      </c>
      <c r="Q106" s="732" t="s">
        <v>131</v>
      </c>
      <c r="R106" s="745" t="s">
        <v>117</v>
      </c>
    </row>
    <row r="107" spans="1:24" hidden="1">
      <c r="A107" s="746" t="e">
        <f>#REF!</f>
        <v>#REF!</v>
      </c>
      <c r="B107" s="1355">
        <v>8726</v>
      </c>
      <c r="C107" s="524">
        <v>242</v>
      </c>
      <c r="D107" s="1357">
        <v>8968</v>
      </c>
      <c r="E107" s="1355">
        <v>-524</v>
      </c>
      <c r="F107" s="592">
        <v>8444</v>
      </c>
      <c r="G107" s="170">
        <v>0</v>
      </c>
      <c r="H107" s="524">
        <v>531</v>
      </c>
      <c r="I107" s="524">
        <v>226.70200000000003</v>
      </c>
      <c r="J107" s="524">
        <v>391.73191622615775</v>
      </c>
      <c r="K107" s="524">
        <v>11.914</v>
      </c>
      <c r="L107" s="592">
        <v>1161.3479162261576</v>
      </c>
      <c r="M107" s="170">
        <v>0</v>
      </c>
      <c r="N107" s="524">
        <v>25</v>
      </c>
      <c r="O107" s="592">
        <v>9630.3479162261574</v>
      </c>
      <c r="P107" s="524">
        <v>-253.91399999999999</v>
      </c>
      <c r="Q107" s="524">
        <v>-401.25</v>
      </c>
      <c r="R107" s="609">
        <v>8975.1839162261567</v>
      </c>
      <c r="S107" s="172"/>
    </row>
    <row r="108" spans="1:24" hidden="1">
      <c r="A108" s="746" t="e">
        <f>#REF!</f>
        <v>#REF!</v>
      </c>
      <c r="B108" s="1355">
        <v>8834</v>
      </c>
      <c r="C108" s="524">
        <v>248</v>
      </c>
      <c r="D108" s="1357">
        <v>9082</v>
      </c>
      <c r="E108" s="1355">
        <v>-566</v>
      </c>
      <c r="F108" s="592">
        <v>8516</v>
      </c>
      <c r="G108" s="170">
        <v>0</v>
      </c>
      <c r="H108" s="524">
        <v>643</v>
      </c>
      <c r="I108" s="524">
        <v>43</v>
      </c>
      <c r="J108" s="524">
        <v>255.64810462858895</v>
      </c>
      <c r="K108" s="524">
        <v>15.326453458669663</v>
      </c>
      <c r="L108" s="592">
        <v>956.97455808725863</v>
      </c>
      <c r="M108" s="170">
        <v>0</v>
      </c>
      <c r="N108" s="524">
        <v>25</v>
      </c>
      <c r="O108" s="592">
        <v>9497.9745580872586</v>
      </c>
      <c r="P108" s="524">
        <v>-263.32645345866968</v>
      </c>
      <c r="Q108" s="524">
        <v>-418.25</v>
      </c>
      <c r="R108" s="609">
        <v>8816.398104628588</v>
      </c>
      <c r="S108" s="172"/>
    </row>
    <row r="109" spans="1:24" hidden="1">
      <c r="A109" s="746" t="e">
        <f>#REF!</f>
        <v>#REF!</v>
      </c>
      <c r="B109" s="1355">
        <v>8885</v>
      </c>
      <c r="C109" s="524">
        <v>255</v>
      </c>
      <c r="D109" s="1357">
        <v>9140</v>
      </c>
      <c r="E109" s="1355">
        <v>-629</v>
      </c>
      <c r="F109" s="592">
        <v>8511</v>
      </c>
      <c r="G109" s="170"/>
      <c r="H109" s="524">
        <v>775</v>
      </c>
      <c r="I109" s="524">
        <v>42</v>
      </c>
      <c r="J109" s="524">
        <v>260.6219798144561</v>
      </c>
      <c r="K109" s="524">
        <v>15</v>
      </c>
      <c r="L109" s="592">
        <v>1092.6219798144562</v>
      </c>
      <c r="M109" s="170"/>
      <c r="N109" s="524">
        <v>25</v>
      </c>
      <c r="O109" s="592">
        <v>9628.6219798144557</v>
      </c>
      <c r="P109" s="524">
        <v>-270</v>
      </c>
      <c r="Q109" s="524">
        <v>-437</v>
      </c>
      <c r="R109" s="609">
        <v>8921.6219798144557</v>
      </c>
      <c r="S109" s="172"/>
    </row>
    <row r="110" spans="1:24" hidden="1">
      <c r="A110" s="746">
        <v>2013</v>
      </c>
      <c r="B110" s="1355">
        <v>9125</v>
      </c>
      <c r="C110" s="524">
        <v>251</v>
      </c>
      <c r="D110" s="1357">
        <v>9376</v>
      </c>
      <c r="E110" s="1355">
        <v>-669</v>
      </c>
      <c r="F110" s="592">
        <v>8707</v>
      </c>
      <c r="G110" s="170"/>
      <c r="H110" s="524">
        <v>600</v>
      </c>
      <c r="I110" s="524">
        <v>41</v>
      </c>
      <c r="J110" s="524">
        <v>280.608</v>
      </c>
      <c r="K110" s="524">
        <v>15</v>
      </c>
      <c r="L110" s="592">
        <v>936.60799999999995</v>
      </c>
      <c r="M110" s="170"/>
      <c r="N110" s="524">
        <v>25</v>
      </c>
      <c r="O110" s="592">
        <v>9668.6080000000002</v>
      </c>
      <c r="P110" s="524">
        <v>-266</v>
      </c>
      <c r="Q110" s="524">
        <v>-438</v>
      </c>
      <c r="R110" s="609">
        <v>8964.6080000000002</v>
      </c>
      <c r="S110" s="172"/>
    </row>
    <row r="111" spans="1:24">
      <c r="A111" s="746">
        <v>2014</v>
      </c>
      <c r="B111" s="1355">
        <v>9299</v>
      </c>
      <c r="C111" s="524">
        <v>254</v>
      </c>
      <c r="D111" s="1357">
        <v>9553</v>
      </c>
      <c r="E111" s="1355">
        <v>-707</v>
      </c>
      <c r="F111" s="592">
        <v>8846</v>
      </c>
      <c r="G111" s="524">
        <f>E111-$E$110</f>
        <v>-38</v>
      </c>
      <c r="H111" s="524">
        <v>550</v>
      </c>
      <c r="I111" s="524">
        <v>41</v>
      </c>
      <c r="J111" s="524">
        <v>264.608</v>
      </c>
      <c r="K111" s="524">
        <v>15</v>
      </c>
      <c r="L111" s="592">
        <v>870.60799999999995</v>
      </c>
      <c r="M111" s="170"/>
      <c r="N111" s="524">
        <v>25</v>
      </c>
      <c r="O111" s="592">
        <v>9741.6080000000002</v>
      </c>
      <c r="P111" s="524">
        <v>-269</v>
      </c>
      <c r="Q111" s="524">
        <v>-447</v>
      </c>
      <c r="R111" s="609">
        <v>9025.6080000000002</v>
      </c>
      <c r="S111" s="172"/>
    </row>
    <row r="112" spans="1:24">
      <c r="A112" s="746">
        <v>2015</v>
      </c>
      <c r="B112" s="1355">
        <v>9495</v>
      </c>
      <c r="C112" s="524">
        <v>257</v>
      </c>
      <c r="D112" s="1357">
        <v>9752</v>
      </c>
      <c r="E112" s="1355">
        <v>-738</v>
      </c>
      <c r="F112" s="592">
        <v>9014</v>
      </c>
      <c r="G112" s="524">
        <f t="shared" ref="G112:G127" si="66">E112-$E$110</f>
        <v>-69</v>
      </c>
      <c r="H112" s="524">
        <v>550</v>
      </c>
      <c r="I112" s="524">
        <v>41</v>
      </c>
      <c r="J112" s="524">
        <v>266.608</v>
      </c>
      <c r="K112" s="524">
        <v>15</v>
      </c>
      <c r="L112" s="592">
        <v>872.60799999999995</v>
      </c>
      <c r="M112" s="170"/>
      <c r="N112" s="524">
        <v>25</v>
      </c>
      <c r="O112" s="592">
        <v>9911.6080000000002</v>
      </c>
      <c r="P112" s="524">
        <v>-272</v>
      </c>
      <c r="Q112" s="524">
        <v>-455</v>
      </c>
      <c r="R112" s="609">
        <v>9184.6080000000002</v>
      </c>
      <c r="S112" s="172"/>
    </row>
    <row r="113" spans="1:19">
      <c r="A113" s="746">
        <v>2016</v>
      </c>
      <c r="B113" s="1355">
        <v>9684</v>
      </c>
      <c r="C113" s="524">
        <v>256</v>
      </c>
      <c r="D113" s="1357">
        <v>9940</v>
      </c>
      <c r="E113" s="1355">
        <v>-766</v>
      </c>
      <c r="F113" s="592">
        <v>9174</v>
      </c>
      <c r="G113" s="524">
        <f t="shared" si="66"/>
        <v>-97</v>
      </c>
      <c r="H113" s="524">
        <v>650</v>
      </c>
      <c r="I113" s="524">
        <v>43</v>
      </c>
      <c r="J113" s="524">
        <v>268.608</v>
      </c>
      <c r="K113" s="524">
        <v>15</v>
      </c>
      <c r="L113" s="592">
        <v>976.60799999999995</v>
      </c>
      <c r="M113" s="170"/>
      <c r="N113" s="524">
        <v>25</v>
      </c>
      <c r="O113" s="592">
        <v>10175.608</v>
      </c>
      <c r="P113" s="524">
        <v>-271</v>
      </c>
      <c r="Q113" s="524">
        <v>-463</v>
      </c>
      <c r="R113" s="609">
        <v>9441.6080000000002</v>
      </c>
      <c r="S113" s="172"/>
    </row>
    <row r="114" spans="1:19">
      <c r="A114" s="746">
        <v>2017</v>
      </c>
      <c r="B114" s="1355">
        <v>9880</v>
      </c>
      <c r="C114" s="524">
        <v>266</v>
      </c>
      <c r="D114" s="1357">
        <v>10146</v>
      </c>
      <c r="E114" s="1355">
        <v>-791</v>
      </c>
      <c r="F114" s="592">
        <v>9355</v>
      </c>
      <c r="G114" s="524">
        <f t="shared" si="66"/>
        <v>-122</v>
      </c>
      <c r="H114" s="524">
        <v>750</v>
      </c>
      <c r="I114" s="524">
        <v>23</v>
      </c>
      <c r="J114" s="524">
        <v>106</v>
      </c>
      <c r="K114" s="524">
        <v>15</v>
      </c>
      <c r="L114" s="592">
        <v>894</v>
      </c>
      <c r="M114" s="170"/>
      <c r="N114" s="524">
        <v>25</v>
      </c>
      <c r="O114" s="592">
        <v>10274</v>
      </c>
      <c r="P114" s="524">
        <v>-281</v>
      </c>
      <c r="Q114" s="524">
        <v>-489</v>
      </c>
      <c r="R114" s="609">
        <v>9504</v>
      </c>
      <c r="S114" s="172"/>
    </row>
    <row r="115" spans="1:19">
      <c r="A115" s="746">
        <v>2018</v>
      </c>
      <c r="B115" s="1355">
        <v>10080</v>
      </c>
      <c r="C115" s="524">
        <v>268</v>
      </c>
      <c r="D115" s="1357">
        <v>10348</v>
      </c>
      <c r="E115" s="1355">
        <v>-813</v>
      </c>
      <c r="F115" s="592">
        <v>9535</v>
      </c>
      <c r="G115" s="524">
        <f t="shared" si="66"/>
        <v>-144</v>
      </c>
      <c r="H115" s="524">
        <v>750</v>
      </c>
      <c r="I115" s="524">
        <v>23</v>
      </c>
      <c r="J115" s="524">
        <v>106</v>
      </c>
      <c r="K115" s="524">
        <v>15</v>
      </c>
      <c r="L115" s="592">
        <v>894</v>
      </c>
      <c r="M115" s="170"/>
      <c r="N115" s="524">
        <v>25</v>
      </c>
      <c r="O115" s="592">
        <v>10454</v>
      </c>
      <c r="P115" s="524">
        <v>-283</v>
      </c>
      <c r="Q115" s="524">
        <v>-497</v>
      </c>
      <c r="R115" s="609">
        <v>9674</v>
      </c>
      <c r="S115" s="172"/>
    </row>
    <row r="116" spans="1:19">
      <c r="A116" s="746">
        <v>2019</v>
      </c>
      <c r="B116" s="1355">
        <v>10281</v>
      </c>
      <c r="C116" s="524">
        <v>283</v>
      </c>
      <c r="D116" s="1357">
        <v>10564</v>
      </c>
      <c r="E116" s="1355">
        <v>-833</v>
      </c>
      <c r="F116" s="592">
        <v>9731</v>
      </c>
      <c r="G116" s="524">
        <f t="shared" si="66"/>
        <v>-164</v>
      </c>
      <c r="H116" s="524">
        <v>750</v>
      </c>
      <c r="I116" s="524">
        <v>23</v>
      </c>
      <c r="J116" s="524">
        <v>106</v>
      </c>
      <c r="K116" s="524">
        <v>15</v>
      </c>
      <c r="L116" s="592">
        <v>894</v>
      </c>
      <c r="M116" s="170"/>
      <c r="N116" s="524">
        <v>25</v>
      </c>
      <c r="O116" s="592">
        <v>10650</v>
      </c>
      <c r="P116" s="524">
        <v>-298</v>
      </c>
      <c r="Q116" s="524">
        <v>-506</v>
      </c>
      <c r="R116" s="609">
        <v>9846</v>
      </c>
      <c r="S116" s="172"/>
    </row>
    <row r="117" spans="1:19">
      <c r="A117" s="746">
        <v>2020</v>
      </c>
      <c r="B117" s="1355">
        <v>10482</v>
      </c>
      <c r="C117" s="524">
        <v>298</v>
      </c>
      <c r="D117" s="1357">
        <v>10780</v>
      </c>
      <c r="E117" s="1355">
        <v>-855</v>
      </c>
      <c r="F117" s="592">
        <v>9925</v>
      </c>
      <c r="G117" s="524">
        <f t="shared" si="66"/>
        <v>-186</v>
      </c>
      <c r="H117" s="524">
        <v>750</v>
      </c>
      <c r="I117" s="524">
        <v>23</v>
      </c>
      <c r="J117" s="524">
        <v>106</v>
      </c>
      <c r="K117" s="524">
        <v>15</v>
      </c>
      <c r="L117" s="592">
        <v>894</v>
      </c>
      <c r="M117" s="170"/>
      <c r="N117" s="524">
        <v>25</v>
      </c>
      <c r="O117" s="592">
        <v>10844</v>
      </c>
      <c r="P117" s="524">
        <v>-313</v>
      </c>
      <c r="Q117" s="524">
        <v>-514</v>
      </c>
      <c r="R117" s="609">
        <v>10017</v>
      </c>
      <c r="S117" s="172"/>
    </row>
    <row r="118" spans="1:19">
      <c r="A118" s="746">
        <v>2021</v>
      </c>
      <c r="B118" s="1355">
        <v>10679</v>
      </c>
      <c r="C118" s="524">
        <v>306</v>
      </c>
      <c r="D118" s="1357">
        <v>10985</v>
      </c>
      <c r="E118" s="1355">
        <v>-875</v>
      </c>
      <c r="F118" s="592">
        <v>10110</v>
      </c>
      <c r="G118" s="524">
        <f t="shared" si="66"/>
        <v>-206</v>
      </c>
      <c r="H118" s="524">
        <v>650</v>
      </c>
      <c r="I118" s="524">
        <v>23</v>
      </c>
      <c r="J118" s="524">
        <v>106</v>
      </c>
      <c r="K118" s="524">
        <v>15</v>
      </c>
      <c r="L118" s="592">
        <v>794</v>
      </c>
      <c r="M118" s="170"/>
      <c r="N118" s="524">
        <v>25</v>
      </c>
      <c r="O118" s="592">
        <v>10929</v>
      </c>
      <c r="P118" s="524">
        <v>-321</v>
      </c>
      <c r="Q118" s="524">
        <v>-522</v>
      </c>
      <c r="R118" s="609">
        <v>10086</v>
      </c>
      <c r="S118" s="172"/>
    </row>
    <row r="119" spans="1:19">
      <c r="A119" s="746">
        <v>2022</v>
      </c>
      <c r="B119" s="1355">
        <v>10872</v>
      </c>
      <c r="C119" s="524">
        <v>306</v>
      </c>
      <c r="D119" s="1357">
        <v>11178</v>
      </c>
      <c r="E119" s="1355">
        <v>-893</v>
      </c>
      <c r="F119" s="592">
        <v>10285</v>
      </c>
      <c r="G119" s="524">
        <f t="shared" si="66"/>
        <v>-224</v>
      </c>
      <c r="H119" s="524">
        <v>650</v>
      </c>
      <c r="I119" s="524">
        <v>23</v>
      </c>
      <c r="J119" s="524">
        <v>106</v>
      </c>
      <c r="K119" s="524">
        <v>15</v>
      </c>
      <c r="L119" s="592">
        <v>794</v>
      </c>
      <c r="M119" s="170"/>
      <c r="N119" s="524">
        <v>25</v>
      </c>
      <c r="O119" s="592">
        <v>11104</v>
      </c>
      <c r="P119" s="524">
        <v>-321</v>
      </c>
      <c r="Q119" s="524">
        <v>-531</v>
      </c>
      <c r="R119" s="609">
        <v>10252</v>
      </c>
      <c r="S119" s="172"/>
    </row>
    <row r="120" spans="1:19">
      <c r="A120" s="746">
        <v>2023</v>
      </c>
      <c r="B120" s="1355">
        <v>11064</v>
      </c>
      <c r="C120" s="524">
        <v>306</v>
      </c>
      <c r="D120" s="1357">
        <v>11370</v>
      </c>
      <c r="E120" s="1355">
        <v>-912</v>
      </c>
      <c r="F120" s="592">
        <v>10458</v>
      </c>
      <c r="G120" s="524">
        <f t="shared" si="66"/>
        <v>-243</v>
      </c>
      <c r="H120" s="524">
        <v>650</v>
      </c>
      <c r="I120" s="524">
        <v>23</v>
      </c>
      <c r="J120" s="524">
        <v>106</v>
      </c>
      <c r="K120" s="524">
        <v>15</v>
      </c>
      <c r="L120" s="592">
        <v>794</v>
      </c>
      <c r="M120" s="170"/>
      <c r="N120" s="524">
        <v>25</v>
      </c>
      <c r="O120" s="592">
        <v>11277</v>
      </c>
      <c r="P120" s="524">
        <v>-321</v>
      </c>
      <c r="Q120" s="524">
        <v>-539</v>
      </c>
      <c r="R120" s="609">
        <v>10417</v>
      </c>
      <c r="S120" s="172"/>
    </row>
    <row r="121" spans="1:19">
      <c r="A121" s="746">
        <v>2024</v>
      </c>
      <c r="B121" s="1355">
        <v>11253</v>
      </c>
      <c r="C121" s="524">
        <v>305</v>
      </c>
      <c r="D121" s="1357">
        <v>11558</v>
      </c>
      <c r="E121" s="1355">
        <v>-930</v>
      </c>
      <c r="F121" s="592">
        <v>10628</v>
      </c>
      <c r="G121" s="524">
        <f t="shared" si="66"/>
        <v>-261</v>
      </c>
      <c r="H121" s="524">
        <v>650</v>
      </c>
      <c r="I121" s="524">
        <v>23</v>
      </c>
      <c r="J121" s="524">
        <v>106</v>
      </c>
      <c r="K121" s="524">
        <v>15</v>
      </c>
      <c r="L121" s="592">
        <v>794</v>
      </c>
      <c r="M121" s="170"/>
      <c r="N121" s="524">
        <v>25</v>
      </c>
      <c r="O121" s="592">
        <v>11447</v>
      </c>
      <c r="P121" s="524">
        <v>-320</v>
      </c>
      <c r="Q121" s="524">
        <v>-547</v>
      </c>
      <c r="R121" s="609">
        <v>10580</v>
      </c>
      <c r="S121" s="172"/>
    </row>
    <row r="122" spans="1:19">
      <c r="A122" s="746">
        <v>2025</v>
      </c>
      <c r="B122" s="1355">
        <v>11440</v>
      </c>
      <c r="C122" s="524">
        <v>291</v>
      </c>
      <c r="D122" s="1357">
        <v>11731</v>
      </c>
      <c r="E122" s="1355">
        <v>-947</v>
      </c>
      <c r="F122" s="592">
        <v>10784</v>
      </c>
      <c r="G122" s="524">
        <f t="shared" si="66"/>
        <v>-278</v>
      </c>
      <c r="H122" s="524">
        <v>650</v>
      </c>
      <c r="I122" s="524">
        <v>23</v>
      </c>
      <c r="J122" s="524">
        <v>106</v>
      </c>
      <c r="K122" s="524">
        <v>15</v>
      </c>
      <c r="L122" s="592">
        <v>794</v>
      </c>
      <c r="M122" s="170"/>
      <c r="N122" s="524">
        <v>25</v>
      </c>
      <c r="O122" s="592">
        <v>11603</v>
      </c>
      <c r="P122" s="524">
        <v>-306</v>
      </c>
      <c r="Q122" s="524">
        <v>-555</v>
      </c>
      <c r="R122" s="609">
        <v>10742</v>
      </c>
      <c r="S122" s="172"/>
    </row>
    <row r="123" spans="1:19">
      <c r="A123" s="746">
        <v>2026</v>
      </c>
      <c r="B123" s="1355">
        <v>11627</v>
      </c>
      <c r="C123" s="524">
        <v>275</v>
      </c>
      <c r="D123" s="1357">
        <v>11902</v>
      </c>
      <c r="E123" s="1355">
        <v>-964</v>
      </c>
      <c r="F123" s="592">
        <v>10938</v>
      </c>
      <c r="G123" s="524">
        <f t="shared" si="66"/>
        <v>-295</v>
      </c>
      <c r="H123" s="524">
        <v>650</v>
      </c>
      <c r="I123" s="524">
        <v>23</v>
      </c>
      <c r="J123" s="524">
        <v>106</v>
      </c>
      <c r="K123" s="524">
        <v>15</v>
      </c>
      <c r="L123" s="592">
        <v>794</v>
      </c>
      <c r="M123" s="170"/>
      <c r="N123" s="524">
        <v>25</v>
      </c>
      <c r="O123" s="592">
        <v>11757</v>
      </c>
      <c r="P123" s="524">
        <v>-290</v>
      </c>
      <c r="Q123" s="524">
        <v>-564</v>
      </c>
      <c r="R123" s="609">
        <v>10903</v>
      </c>
      <c r="S123" s="172"/>
    </row>
    <row r="124" spans="1:19">
      <c r="A124" s="746">
        <v>2027</v>
      </c>
      <c r="B124" s="1355">
        <v>11811</v>
      </c>
      <c r="C124" s="524">
        <v>275</v>
      </c>
      <c r="D124" s="1357">
        <v>12086</v>
      </c>
      <c r="E124" s="1355">
        <v>-981</v>
      </c>
      <c r="F124" s="592">
        <v>11105</v>
      </c>
      <c r="G124" s="524">
        <f t="shared" si="66"/>
        <v>-312</v>
      </c>
      <c r="H124" s="524">
        <v>650</v>
      </c>
      <c r="I124" s="524">
        <v>23</v>
      </c>
      <c r="J124" s="524">
        <v>106</v>
      </c>
      <c r="K124" s="524">
        <v>15</v>
      </c>
      <c r="L124" s="592">
        <v>794</v>
      </c>
      <c r="M124" s="170"/>
      <c r="N124" s="524">
        <v>25</v>
      </c>
      <c r="O124" s="592">
        <v>11924</v>
      </c>
      <c r="P124" s="524">
        <v>-290</v>
      </c>
      <c r="Q124" s="524">
        <v>-572</v>
      </c>
      <c r="R124" s="609">
        <v>11062</v>
      </c>
      <c r="S124" s="172"/>
    </row>
    <row r="125" spans="1:19">
      <c r="A125" s="746">
        <v>2028</v>
      </c>
      <c r="B125" s="1355">
        <v>11995</v>
      </c>
      <c r="C125" s="524">
        <v>275</v>
      </c>
      <c r="D125" s="1357">
        <v>12270</v>
      </c>
      <c r="E125" s="1355">
        <v>-997</v>
      </c>
      <c r="F125" s="592">
        <v>11273</v>
      </c>
      <c r="G125" s="524">
        <f t="shared" si="66"/>
        <v>-328</v>
      </c>
      <c r="H125" s="524">
        <v>650</v>
      </c>
      <c r="I125" s="524">
        <v>23</v>
      </c>
      <c r="J125" s="524">
        <v>106</v>
      </c>
      <c r="K125" s="524">
        <v>15</v>
      </c>
      <c r="L125" s="592">
        <v>794</v>
      </c>
      <c r="M125" s="170"/>
      <c r="N125" s="524">
        <v>25</v>
      </c>
      <c r="O125" s="592">
        <v>12092</v>
      </c>
      <c r="P125" s="524">
        <v>-290</v>
      </c>
      <c r="Q125" s="524">
        <v>-580</v>
      </c>
      <c r="R125" s="609">
        <v>11222</v>
      </c>
      <c r="S125" s="172"/>
    </row>
    <row r="126" spans="1:19">
      <c r="A126" s="746">
        <v>2029</v>
      </c>
      <c r="B126" s="1355">
        <v>12176</v>
      </c>
      <c r="C126" s="524">
        <v>275</v>
      </c>
      <c r="D126" s="1357">
        <v>12451</v>
      </c>
      <c r="E126" s="1355">
        <v>-1013</v>
      </c>
      <c r="F126" s="592">
        <v>11438</v>
      </c>
      <c r="G126" s="524">
        <f t="shared" si="66"/>
        <v>-344</v>
      </c>
      <c r="H126" s="524">
        <v>650</v>
      </c>
      <c r="I126" s="524">
        <v>23</v>
      </c>
      <c r="J126" s="524">
        <v>106</v>
      </c>
      <c r="K126" s="524">
        <v>15</v>
      </c>
      <c r="L126" s="592">
        <v>794</v>
      </c>
      <c r="M126" s="170"/>
      <c r="N126" s="524">
        <v>25</v>
      </c>
      <c r="O126" s="592">
        <v>12257</v>
      </c>
      <c r="P126" s="524">
        <v>-290</v>
      </c>
      <c r="Q126" s="524">
        <v>-588</v>
      </c>
      <c r="R126" s="609">
        <v>11379</v>
      </c>
      <c r="S126" s="172"/>
    </row>
    <row r="127" spans="1:19">
      <c r="A127" s="743">
        <v>2030</v>
      </c>
      <c r="B127" s="1356">
        <v>12356</v>
      </c>
      <c r="C127" s="525">
        <v>275</v>
      </c>
      <c r="D127" s="1358">
        <v>12631</v>
      </c>
      <c r="E127" s="1356">
        <v>-1028</v>
      </c>
      <c r="F127" s="598">
        <v>11603</v>
      </c>
      <c r="G127" s="525">
        <f t="shared" si="66"/>
        <v>-359</v>
      </c>
      <c r="H127" s="525">
        <v>650</v>
      </c>
      <c r="I127" s="525">
        <v>23</v>
      </c>
      <c r="J127" s="525">
        <v>106</v>
      </c>
      <c r="K127" s="525">
        <v>15</v>
      </c>
      <c r="L127" s="598">
        <v>794</v>
      </c>
      <c r="M127" s="519"/>
      <c r="N127" s="525">
        <v>25</v>
      </c>
      <c r="O127" s="598">
        <v>12422</v>
      </c>
      <c r="P127" s="525">
        <v>-290</v>
      </c>
      <c r="Q127" s="525">
        <v>-597</v>
      </c>
      <c r="R127" s="610">
        <v>11535</v>
      </c>
      <c r="S127" s="172"/>
    </row>
    <row r="128" spans="1:19">
      <c r="A128" s="726"/>
      <c r="B128" s="726"/>
      <c r="C128" s="726"/>
      <c r="D128" s="726"/>
      <c r="E128" s="726"/>
      <c r="F128" s="726"/>
      <c r="G128" s="726"/>
      <c r="H128" s="725"/>
      <c r="I128" s="725"/>
      <c r="J128" s="725"/>
      <c r="K128" s="725"/>
      <c r="L128" s="726"/>
      <c r="M128" s="726"/>
      <c r="N128" s="725"/>
      <c r="O128" s="726"/>
      <c r="P128" s="726"/>
      <c r="Q128" s="726"/>
      <c r="R128" s="726"/>
    </row>
    <row r="129" spans="1:18">
      <c r="A129" s="1623" t="str">
        <f>CONCATENATE(A78,"   vs   ",A102)</f>
        <v>FALL 2013   vs   TYSP 2013</v>
      </c>
      <c r="B129" s="1624"/>
      <c r="C129" s="1624"/>
      <c r="D129" s="1624"/>
      <c r="E129" s="1624"/>
      <c r="F129" s="1624"/>
      <c r="G129" s="1624"/>
      <c r="H129" s="1624"/>
      <c r="I129" s="1624"/>
      <c r="J129" s="1624"/>
      <c r="K129" s="1624"/>
      <c r="L129" s="1624"/>
      <c r="M129" s="1624"/>
      <c r="N129" s="1624"/>
      <c r="O129" s="1624"/>
      <c r="P129" s="1624"/>
      <c r="Q129" s="1624"/>
      <c r="R129" s="1625"/>
    </row>
    <row r="130" spans="1:18">
      <c r="A130" s="736"/>
      <c r="B130" s="728" t="s">
        <v>116</v>
      </c>
      <c r="C130" s="728"/>
      <c r="D130" s="728"/>
      <c r="F130" s="728" t="s">
        <v>21</v>
      </c>
      <c r="G130" s="728"/>
      <c r="H130" s="728"/>
      <c r="I130" s="728"/>
      <c r="J130" s="728"/>
      <c r="K130" s="728"/>
      <c r="L130" s="728"/>
      <c r="M130" s="728"/>
      <c r="N130" s="728"/>
      <c r="O130" s="728" t="str">
        <f>F130</f>
        <v>Total</v>
      </c>
      <c r="P130" s="728"/>
      <c r="Q130" s="728"/>
      <c r="R130" s="1359"/>
    </row>
    <row r="131" spans="1:18">
      <c r="A131" s="740"/>
      <c r="B131" s="591" t="s">
        <v>117</v>
      </c>
      <c r="C131" s="591"/>
      <c r="D131" s="591" t="s">
        <v>120</v>
      </c>
      <c r="E131" s="28"/>
      <c r="F131" s="591" t="s">
        <v>118</v>
      </c>
      <c r="G131" s="729" t="s">
        <v>622</v>
      </c>
      <c r="H131" s="1618" t="s">
        <v>123</v>
      </c>
      <c r="I131" s="1619"/>
      <c r="J131" s="1619"/>
      <c r="K131" s="1619"/>
      <c r="L131" s="1620"/>
      <c r="M131" s="591"/>
      <c r="N131" s="729"/>
      <c r="O131" s="591" t="s">
        <v>125</v>
      </c>
      <c r="P131" s="591"/>
      <c r="Q131" s="591"/>
      <c r="R131" s="1360" t="s">
        <v>21</v>
      </c>
    </row>
    <row r="132" spans="1:18">
      <c r="A132" s="740"/>
      <c r="B132" s="591" t="s">
        <v>118</v>
      </c>
      <c r="C132" s="591" t="s">
        <v>118</v>
      </c>
      <c r="D132" s="591" t="s">
        <v>21</v>
      </c>
      <c r="E132" s="591" t="s">
        <v>121</v>
      </c>
      <c r="F132" s="591" t="s">
        <v>122</v>
      </c>
      <c r="G132" s="591" t="s">
        <v>121</v>
      </c>
      <c r="H132" s="728" t="s">
        <v>21</v>
      </c>
      <c r="I132" s="728" t="s">
        <v>288</v>
      </c>
      <c r="J132" s="728"/>
      <c r="K132" s="730" t="str">
        <f>K105</f>
        <v>Non-</v>
      </c>
      <c r="L132" s="728"/>
      <c r="M132" s="591"/>
      <c r="N132" s="591" t="s">
        <v>264</v>
      </c>
      <c r="O132" s="591" t="str">
        <f>F132</f>
        <v>before</v>
      </c>
      <c r="P132" s="591" t="s">
        <v>21</v>
      </c>
      <c r="Q132" s="729" t="s">
        <v>147</v>
      </c>
      <c r="R132" s="1360" t="s">
        <v>125</v>
      </c>
    </row>
    <row r="133" spans="1:18">
      <c r="A133" s="743" t="s">
        <v>126</v>
      </c>
      <c r="B133" s="731" t="s">
        <v>119</v>
      </c>
      <c r="C133" s="731" t="s">
        <v>66</v>
      </c>
      <c r="D133" s="731" t="s">
        <v>118</v>
      </c>
      <c r="E133" s="731" t="s">
        <v>59</v>
      </c>
      <c r="F133" s="731" t="s">
        <v>62</v>
      </c>
      <c r="G133" s="731" t="s">
        <v>59</v>
      </c>
      <c r="H133" s="732" t="s">
        <v>154</v>
      </c>
      <c r="I133" s="732" t="s">
        <v>286</v>
      </c>
      <c r="J133" s="731" t="s">
        <v>287</v>
      </c>
      <c r="K133" s="754" t="str">
        <f>K106</f>
        <v>Firm</v>
      </c>
      <c r="L133" s="731" t="s">
        <v>0</v>
      </c>
      <c r="M133" s="731"/>
      <c r="N133" s="731" t="s">
        <v>124</v>
      </c>
      <c r="O133" s="731" t="str">
        <f>F133</f>
        <v>DLC</v>
      </c>
      <c r="P133" s="731" t="s">
        <v>66</v>
      </c>
      <c r="Q133" s="732" t="s">
        <v>131</v>
      </c>
      <c r="R133" s="1361" t="s">
        <v>117</v>
      </c>
    </row>
    <row r="134" spans="1:18" hidden="1">
      <c r="A134" s="746">
        <f t="shared" ref="A134:A151" si="67">A110</f>
        <v>2013</v>
      </c>
      <c r="B134" s="322">
        <f t="shared" ref="B134:F140" si="68">B83-B110</f>
        <v>-914</v>
      </c>
      <c r="C134" s="322">
        <f t="shared" si="68"/>
        <v>-17</v>
      </c>
      <c r="D134" s="322">
        <f t="shared" si="68"/>
        <v>-931</v>
      </c>
      <c r="E134" s="322">
        <f t="shared" si="68"/>
        <v>669</v>
      </c>
      <c r="F134" s="322">
        <f t="shared" si="68"/>
        <v>-262</v>
      </c>
      <c r="G134" s="591"/>
      <c r="H134" s="322">
        <f t="shared" ref="H134:L140" si="69">H83-H110</f>
        <v>0</v>
      </c>
      <c r="I134" s="322">
        <f t="shared" si="69"/>
        <v>0.75</v>
      </c>
      <c r="J134" s="322">
        <f t="shared" si="69"/>
        <v>7.4919999999999618</v>
      </c>
      <c r="K134" s="322">
        <f t="shared" si="69"/>
        <v>9.9999999999997868E-3</v>
      </c>
      <c r="L134" s="322">
        <f t="shared" si="69"/>
        <v>8.2519999999999527</v>
      </c>
      <c r="M134" s="591"/>
      <c r="N134" s="322">
        <f t="shared" ref="N134:R140" si="70">N83-N110</f>
        <v>0</v>
      </c>
      <c r="O134" s="322">
        <f t="shared" si="70"/>
        <v>-253.74799999999959</v>
      </c>
      <c r="P134" s="322">
        <f t="shared" si="70"/>
        <v>16.990000000000009</v>
      </c>
      <c r="Q134" s="322">
        <f t="shared" si="70"/>
        <v>0</v>
      </c>
      <c r="R134" s="1362">
        <f t="shared" si="70"/>
        <v>-236.75799999999981</v>
      </c>
    </row>
    <row r="135" spans="1:18">
      <c r="A135" s="746">
        <f t="shared" si="67"/>
        <v>2014</v>
      </c>
      <c r="B135" s="1355">
        <f t="shared" si="68"/>
        <v>-823</v>
      </c>
      <c r="C135" s="322">
        <f t="shared" si="68"/>
        <v>-5</v>
      </c>
      <c r="D135" s="1355">
        <f t="shared" si="68"/>
        <v>-828</v>
      </c>
      <c r="E135" s="1355">
        <f t="shared" si="68"/>
        <v>661.91074695570444</v>
      </c>
      <c r="F135" s="322">
        <f t="shared" si="68"/>
        <v>-166.08925304429613</v>
      </c>
      <c r="G135" s="322">
        <f>G111-E84</f>
        <v>7.0892530442955604</v>
      </c>
      <c r="H135" s="322">
        <f t="shared" si="69"/>
        <v>0</v>
      </c>
      <c r="I135" s="322">
        <f t="shared" si="69"/>
        <v>0.92999999999999972</v>
      </c>
      <c r="J135" s="322">
        <f t="shared" si="69"/>
        <v>-52.558000000000021</v>
      </c>
      <c r="K135" s="322">
        <f t="shared" si="69"/>
        <v>-15</v>
      </c>
      <c r="L135" s="322">
        <f t="shared" si="69"/>
        <v>-66.628000000000043</v>
      </c>
      <c r="M135" s="591"/>
      <c r="N135" s="322">
        <f t="shared" si="70"/>
        <v>0</v>
      </c>
      <c r="O135" s="322">
        <f t="shared" si="70"/>
        <v>-232.71725304429674</v>
      </c>
      <c r="P135" s="322">
        <f t="shared" si="70"/>
        <v>20</v>
      </c>
      <c r="Q135" s="322">
        <f t="shared" si="70"/>
        <v>-1</v>
      </c>
      <c r="R135" s="1362">
        <f t="shared" si="70"/>
        <v>-213.71725304429674</v>
      </c>
    </row>
    <row r="136" spans="1:18">
      <c r="A136" s="746">
        <f t="shared" si="67"/>
        <v>2015</v>
      </c>
      <c r="B136" s="1355">
        <f t="shared" si="68"/>
        <v>-751</v>
      </c>
      <c r="C136" s="322">
        <f t="shared" si="68"/>
        <v>-6</v>
      </c>
      <c r="D136" s="1355">
        <f t="shared" si="68"/>
        <v>-757</v>
      </c>
      <c r="E136" s="1355">
        <f t="shared" si="68"/>
        <v>661.74198861427374</v>
      </c>
      <c r="F136" s="322">
        <f t="shared" si="68"/>
        <v>-95.258011385725695</v>
      </c>
      <c r="G136" s="322">
        <f t="shared" ref="G136:G151" si="71">G112-E85</f>
        <v>7.2580113857262631</v>
      </c>
      <c r="H136" s="322">
        <f t="shared" si="69"/>
        <v>0</v>
      </c>
      <c r="I136" s="322">
        <f t="shared" si="69"/>
        <v>1.0100000000000051</v>
      </c>
      <c r="J136" s="322">
        <f t="shared" si="69"/>
        <v>-52.558000000000021</v>
      </c>
      <c r="K136" s="322">
        <f t="shared" si="69"/>
        <v>-15</v>
      </c>
      <c r="L136" s="322">
        <f t="shared" si="69"/>
        <v>-66.548000000000002</v>
      </c>
      <c r="M136" s="591"/>
      <c r="N136" s="322">
        <f t="shared" si="70"/>
        <v>0</v>
      </c>
      <c r="O136" s="322">
        <f t="shared" si="70"/>
        <v>-161.80601138572638</v>
      </c>
      <c r="P136" s="322">
        <f t="shared" si="70"/>
        <v>21</v>
      </c>
      <c r="Q136" s="322">
        <f t="shared" si="70"/>
        <v>-2</v>
      </c>
      <c r="R136" s="1362">
        <f t="shared" si="70"/>
        <v>-142.80601138572638</v>
      </c>
    </row>
    <row r="137" spans="1:18">
      <c r="A137" s="746">
        <f t="shared" si="67"/>
        <v>2016</v>
      </c>
      <c r="B137" s="1355">
        <f t="shared" si="68"/>
        <v>-648</v>
      </c>
      <c r="C137" s="322">
        <f t="shared" si="68"/>
        <v>-6</v>
      </c>
      <c r="D137" s="1355">
        <f t="shared" si="68"/>
        <v>-654</v>
      </c>
      <c r="E137" s="1355">
        <f t="shared" si="68"/>
        <v>661.53565152324779</v>
      </c>
      <c r="F137" s="322">
        <f t="shared" si="68"/>
        <v>7.5356515232469974</v>
      </c>
      <c r="G137" s="322">
        <f t="shared" si="71"/>
        <v>7.4643484767522068</v>
      </c>
      <c r="H137" s="322">
        <f t="shared" si="69"/>
        <v>-250</v>
      </c>
      <c r="I137" s="322">
        <f t="shared" si="69"/>
        <v>-0.81999999999999318</v>
      </c>
      <c r="J137" s="322">
        <f t="shared" si="69"/>
        <v>-52.558000000000021</v>
      </c>
      <c r="K137" s="322">
        <f t="shared" si="69"/>
        <v>-15</v>
      </c>
      <c r="L137" s="322">
        <f t="shared" si="69"/>
        <v>-318.37799999999993</v>
      </c>
      <c r="M137" s="591"/>
      <c r="N137" s="322">
        <f t="shared" si="70"/>
        <v>0</v>
      </c>
      <c r="O137" s="322">
        <f t="shared" si="70"/>
        <v>-310.84234847675361</v>
      </c>
      <c r="P137" s="322">
        <f t="shared" si="70"/>
        <v>21</v>
      </c>
      <c r="Q137" s="322">
        <f t="shared" si="70"/>
        <v>-3</v>
      </c>
      <c r="R137" s="1362">
        <f t="shared" si="70"/>
        <v>-292.84234847675361</v>
      </c>
    </row>
    <row r="138" spans="1:18">
      <c r="A138" s="746">
        <f t="shared" si="67"/>
        <v>2017</v>
      </c>
      <c r="B138" s="1355">
        <f t="shared" si="68"/>
        <v>-550</v>
      </c>
      <c r="C138" s="322">
        <f t="shared" si="68"/>
        <v>-15</v>
      </c>
      <c r="D138" s="1355">
        <f t="shared" si="68"/>
        <v>-565</v>
      </c>
      <c r="E138" s="1355">
        <f t="shared" si="68"/>
        <v>661.81938709893132</v>
      </c>
      <c r="F138" s="322">
        <f t="shared" si="68"/>
        <v>96.819387098930747</v>
      </c>
      <c r="G138" s="322">
        <f t="shared" si="71"/>
        <v>7.1806129010686846</v>
      </c>
      <c r="H138" s="322">
        <f t="shared" si="69"/>
        <v>-250</v>
      </c>
      <c r="I138" s="322">
        <f t="shared" si="69"/>
        <v>-0.87000000000000099</v>
      </c>
      <c r="J138" s="322">
        <f t="shared" si="69"/>
        <v>-40.950000000000003</v>
      </c>
      <c r="K138" s="322">
        <f t="shared" si="69"/>
        <v>-15</v>
      </c>
      <c r="L138" s="322">
        <f t="shared" si="69"/>
        <v>-306.82000000000005</v>
      </c>
      <c r="M138" s="591"/>
      <c r="N138" s="322">
        <f t="shared" si="70"/>
        <v>0</v>
      </c>
      <c r="O138" s="322">
        <f t="shared" si="70"/>
        <v>-210.00061290106896</v>
      </c>
      <c r="P138" s="322">
        <f t="shared" si="70"/>
        <v>30</v>
      </c>
      <c r="Q138" s="322">
        <f t="shared" si="70"/>
        <v>-17</v>
      </c>
      <c r="R138" s="1362">
        <f t="shared" si="70"/>
        <v>-197.00061290106896</v>
      </c>
    </row>
    <row r="139" spans="1:18">
      <c r="A139" s="746">
        <f t="shared" si="67"/>
        <v>2018</v>
      </c>
      <c r="B139" s="1355">
        <f t="shared" si="68"/>
        <v>-586</v>
      </c>
      <c r="C139" s="322">
        <f t="shared" si="68"/>
        <v>-10</v>
      </c>
      <c r="D139" s="1355">
        <f t="shared" si="68"/>
        <v>-596</v>
      </c>
      <c r="E139" s="1355">
        <f t="shared" si="68"/>
        <v>661.89441266641973</v>
      </c>
      <c r="F139" s="322">
        <f t="shared" si="68"/>
        <v>65.894412666419157</v>
      </c>
      <c r="G139" s="322">
        <f t="shared" si="71"/>
        <v>7.1055873335802744</v>
      </c>
      <c r="H139" s="322">
        <f t="shared" si="69"/>
        <v>-250</v>
      </c>
      <c r="I139" s="322">
        <f t="shared" si="69"/>
        <v>-0.82999999999999829</v>
      </c>
      <c r="J139" s="322">
        <f t="shared" si="69"/>
        <v>-40.950000000000003</v>
      </c>
      <c r="K139" s="322">
        <f t="shared" si="69"/>
        <v>-15</v>
      </c>
      <c r="L139" s="322">
        <f t="shared" si="69"/>
        <v>-306.78000000000009</v>
      </c>
      <c r="M139" s="591"/>
      <c r="N139" s="322">
        <f t="shared" si="70"/>
        <v>0</v>
      </c>
      <c r="O139" s="322">
        <f t="shared" si="70"/>
        <v>-240.8855873335815</v>
      </c>
      <c r="P139" s="322">
        <f t="shared" si="70"/>
        <v>25</v>
      </c>
      <c r="Q139" s="322">
        <f t="shared" si="70"/>
        <v>-19</v>
      </c>
      <c r="R139" s="1362">
        <f t="shared" si="70"/>
        <v>-234.8855873335815</v>
      </c>
    </row>
    <row r="140" spans="1:18">
      <c r="A140" s="746">
        <f t="shared" si="67"/>
        <v>2019</v>
      </c>
      <c r="B140" s="1355">
        <f t="shared" si="68"/>
        <v>-633</v>
      </c>
      <c r="C140" s="322">
        <f t="shared" si="68"/>
        <v>22</v>
      </c>
      <c r="D140" s="1355">
        <f t="shared" si="68"/>
        <v>-611</v>
      </c>
      <c r="E140" s="1355">
        <f t="shared" si="68"/>
        <v>661.06352028886693</v>
      </c>
      <c r="F140" s="322">
        <f t="shared" si="68"/>
        <v>50.06352028886613</v>
      </c>
      <c r="G140" s="322">
        <f t="shared" si="71"/>
        <v>7.9364797111330745</v>
      </c>
      <c r="H140" s="322">
        <f t="shared" si="69"/>
        <v>0</v>
      </c>
      <c r="I140" s="322">
        <f t="shared" si="69"/>
        <v>-0.77999999999999758</v>
      </c>
      <c r="J140" s="322">
        <f t="shared" si="69"/>
        <v>-40.950000000000003</v>
      </c>
      <c r="K140" s="322">
        <f t="shared" si="69"/>
        <v>-15</v>
      </c>
      <c r="L140" s="322">
        <f t="shared" si="69"/>
        <v>-56.730000000000018</v>
      </c>
      <c r="M140" s="591"/>
      <c r="N140" s="322">
        <f t="shared" si="70"/>
        <v>0</v>
      </c>
      <c r="O140" s="322">
        <f t="shared" si="70"/>
        <v>-6.6664797111334337</v>
      </c>
      <c r="P140" s="322">
        <f t="shared" si="70"/>
        <v>-7</v>
      </c>
      <c r="Q140" s="322">
        <f t="shared" si="70"/>
        <v>-19</v>
      </c>
      <c r="R140" s="1362">
        <f t="shared" si="70"/>
        <v>-32.666479711133434</v>
      </c>
    </row>
    <row r="141" spans="1:18">
      <c r="A141" s="746">
        <f t="shared" si="67"/>
        <v>2020</v>
      </c>
      <c r="B141" s="1355">
        <f t="shared" ref="B141:F150" si="72">B90-B117</f>
        <v>-682</v>
      </c>
      <c r="C141" s="322">
        <f t="shared" si="72"/>
        <v>29</v>
      </c>
      <c r="D141" s="1355">
        <f t="shared" si="72"/>
        <v>-653</v>
      </c>
      <c r="E141" s="1355">
        <f t="shared" si="72"/>
        <v>661.52052346775497</v>
      </c>
      <c r="F141" s="322">
        <f t="shared" si="72"/>
        <v>8.5205234677541739</v>
      </c>
      <c r="G141" s="322">
        <f t="shared" si="71"/>
        <v>7.4794765322450303</v>
      </c>
      <c r="H141" s="322">
        <f t="shared" ref="H141:L150" si="73">H90-H117</f>
        <v>0</v>
      </c>
      <c r="I141" s="322">
        <f t="shared" si="73"/>
        <v>-0.64000000000000057</v>
      </c>
      <c r="J141" s="322">
        <f t="shared" si="73"/>
        <v>-40.950000000000003</v>
      </c>
      <c r="K141" s="322">
        <f t="shared" si="73"/>
        <v>-15</v>
      </c>
      <c r="L141" s="322">
        <f t="shared" si="73"/>
        <v>-56.590000000000032</v>
      </c>
      <c r="M141" s="591"/>
      <c r="N141" s="322">
        <f t="shared" ref="N141:R150" si="74">N90-N117</f>
        <v>0</v>
      </c>
      <c r="O141" s="322">
        <f t="shared" si="74"/>
        <v>-48.069476532245972</v>
      </c>
      <c r="P141" s="322">
        <f t="shared" si="74"/>
        <v>-14</v>
      </c>
      <c r="Q141" s="322">
        <f t="shared" si="74"/>
        <v>-20</v>
      </c>
      <c r="R141" s="1362">
        <f t="shared" si="74"/>
        <v>-82.069476532245972</v>
      </c>
    </row>
    <row r="142" spans="1:18">
      <c r="A142" s="746">
        <f t="shared" si="67"/>
        <v>2021</v>
      </c>
      <c r="B142" s="1355">
        <f t="shared" si="72"/>
        <v>-733</v>
      </c>
      <c r="C142" s="322">
        <f t="shared" si="72"/>
        <v>22</v>
      </c>
      <c r="D142" s="1355">
        <f t="shared" si="72"/>
        <v>-711</v>
      </c>
      <c r="E142" s="1355">
        <f t="shared" si="72"/>
        <v>661.75273661499239</v>
      </c>
      <c r="F142" s="322">
        <f t="shared" si="72"/>
        <v>-49.247263385008409</v>
      </c>
      <c r="G142" s="322">
        <f t="shared" si="71"/>
        <v>7.2472633850076136</v>
      </c>
      <c r="H142" s="322">
        <f t="shared" si="73"/>
        <v>0</v>
      </c>
      <c r="I142" s="322">
        <f t="shared" si="73"/>
        <v>-0.60000000000000142</v>
      </c>
      <c r="J142" s="322">
        <f t="shared" si="73"/>
        <v>-40.950000000000003</v>
      </c>
      <c r="K142" s="322">
        <f t="shared" si="73"/>
        <v>-15</v>
      </c>
      <c r="L142" s="322">
        <f t="shared" si="73"/>
        <v>-56.550000000000068</v>
      </c>
      <c r="M142" s="591"/>
      <c r="N142" s="322">
        <f t="shared" si="74"/>
        <v>0</v>
      </c>
      <c r="O142" s="322">
        <f t="shared" si="74"/>
        <v>-105.79726338500768</v>
      </c>
      <c r="P142" s="322">
        <f t="shared" si="74"/>
        <v>-7</v>
      </c>
      <c r="Q142" s="322">
        <f t="shared" si="74"/>
        <v>-21</v>
      </c>
      <c r="R142" s="1362">
        <f t="shared" si="74"/>
        <v>-133.79726338500768</v>
      </c>
    </row>
    <row r="143" spans="1:18">
      <c r="A143" s="746">
        <f t="shared" si="67"/>
        <v>2022</v>
      </c>
      <c r="B143" s="1355">
        <f t="shared" si="72"/>
        <v>-783</v>
      </c>
      <c r="C143" s="322">
        <f t="shared" si="72"/>
        <v>22</v>
      </c>
      <c r="D143" s="1355">
        <f t="shared" si="72"/>
        <v>-761</v>
      </c>
      <c r="E143" s="1355">
        <f t="shared" si="72"/>
        <v>660.92461733659025</v>
      </c>
      <c r="F143" s="322">
        <f t="shared" si="72"/>
        <v>-100.07538266340998</v>
      </c>
      <c r="G143" s="322">
        <f t="shared" si="71"/>
        <v>8.075382663409755</v>
      </c>
      <c r="H143" s="322">
        <f t="shared" si="73"/>
        <v>0</v>
      </c>
      <c r="I143" s="322">
        <f t="shared" si="73"/>
        <v>-0.46000000000000085</v>
      </c>
      <c r="J143" s="322">
        <f t="shared" si="73"/>
        <v>-40.950000000000003</v>
      </c>
      <c r="K143" s="322">
        <f t="shared" si="73"/>
        <v>-15</v>
      </c>
      <c r="L143" s="322">
        <f t="shared" si="73"/>
        <v>-56.410000000000082</v>
      </c>
      <c r="M143" s="591"/>
      <c r="N143" s="322">
        <f t="shared" si="74"/>
        <v>0</v>
      </c>
      <c r="O143" s="322">
        <f t="shared" si="74"/>
        <v>-156.48538266340984</v>
      </c>
      <c r="P143" s="322">
        <f t="shared" si="74"/>
        <v>-7</v>
      </c>
      <c r="Q143" s="322">
        <f t="shared" si="74"/>
        <v>-22</v>
      </c>
      <c r="R143" s="1362">
        <f t="shared" si="74"/>
        <v>-185.48538266340984</v>
      </c>
    </row>
    <row r="144" spans="1:18">
      <c r="A144" s="746">
        <f t="shared" si="67"/>
        <v>2023</v>
      </c>
      <c r="B144" s="1355">
        <f t="shared" si="72"/>
        <v>-842</v>
      </c>
      <c r="C144" s="322">
        <f t="shared" si="72"/>
        <v>22</v>
      </c>
      <c r="D144" s="1355">
        <f t="shared" si="72"/>
        <v>-820</v>
      </c>
      <c r="E144" s="1355">
        <f t="shared" si="72"/>
        <v>661.71064626563555</v>
      </c>
      <c r="F144" s="322">
        <f t="shared" si="72"/>
        <v>-158.28935373436434</v>
      </c>
      <c r="G144" s="322">
        <f t="shared" si="71"/>
        <v>7.2893537343644539</v>
      </c>
      <c r="H144" s="322">
        <f t="shared" si="73"/>
        <v>0</v>
      </c>
      <c r="I144" s="322">
        <f t="shared" si="73"/>
        <v>-0.32000000000000028</v>
      </c>
      <c r="J144" s="322">
        <f t="shared" si="73"/>
        <v>-40.950000000000003</v>
      </c>
      <c r="K144" s="322">
        <f t="shared" si="73"/>
        <v>-15</v>
      </c>
      <c r="L144" s="322">
        <f t="shared" si="73"/>
        <v>-56.270000000000095</v>
      </c>
      <c r="M144" s="591"/>
      <c r="N144" s="322">
        <f t="shared" si="74"/>
        <v>0</v>
      </c>
      <c r="O144" s="322">
        <f t="shared" si="74"/>
        <v>-214.55935373436478</v>
      </c>
      <c r="P144" s="322">
        <f t="shared" si="74"/>
        <v>-7</v>
      </c>
      <c r="Q144" s="322">
        <f t="shared" si="74"/>
        <v>-23</v>
      </c>
      <c r="R144" s="1362">
        <f t="shared" si="74"/>
        <v>-244.55935373436478</v>
      </c>
    </row>
    <row r="145" spans="1:18">
      <c r="A145" s="746">
        <f t="shared" si="67"/>
        <v>2024</v>
      </c>
      <c r="B145" s="1355">
        <f t="shared" si="72"/>
        <v>-900</v>
      </c>
      <c r="C145" s="322">
        <f t="shared" si="72"/>
        <v>22</v>
      </c>
      <c r="D145" s="1355">
        <f t="shared" si="72"/>
        <v>-878</v>
      </c>
      <c r="E145" s="1355">
        <f t="shared" si="72"/>
        <v>661.82679045708733</v>
      </c>
      <c r="F145" s="322">
        <f t="shared" si="72"/>
        <v>-216.17320954291245</v>
      </c>
      <c r="G145" s="322">
        <f t="shared" si="71"/>
        <v>7.173209542912673</v>
      </c>
      <c r="H145" s="322">
        <f t="shared" si="73"/>
        <v>0</v>
      </c>
      <c r="I145" s="322">
        <f t="shared" si="73"/>
        <v>-0.19000000000000128</v>
      </c>
      <c r="J145" s="322">
        <f t="shared" si="73"/>
        <v>-40.950000000000003</v>
      </c>
      <c r="K145" s="322">
        <f t="shared" si="73"/>
        <v>-15</v>
      </c>
      <c r="L145" s="322">
        <f t="shared" si="73"/>
        <v>-56.1400000000001</v>
      </c>
      <c r="M145" s="591"/>
      <c r="N145" s="322">
        <f t="shared" si="74"/>
        <v>0</v>
      </c>
      <c r="O145" s="322">
        <f t="shared" si="74"/>
        <v>-272.31320954291186</v>
      </c>
      <c r="P145" s="322">
        <f t="shared" si="74"/>
        <v>-7</v>
      </c>
      <c r="Q145" s="322">
        <f t="shared" si="74"/>
        <v>-24</v>
      </c>
      <c r="R145" s="1362">
        <f t="shared" si="74"/>
        <v>-303.31320954291186</v>
      </c>
    </row>
    <row r="146" spans="1:18">
      <c r="A146" s="746">
        <f t="shared" si="67"/>
        <v>2025</v>
      </c>
      <c r="B146" s="1355">
        <f t="shared" si="72"/>
        <v>-963</v>
      </c>
      <c r="C146" s="322">
        <f t="shared" si="72"/>
        <v>37</v>
      </c>
      <c r="D146" s="1355">
        <f t="shared" si="72"/>
        <v>-926</v>
      </c>
      <c r="E146" s="1355">
        <f t="shared" si="72"/>
        <v>661.19043759541989</v>
      </c>
      <c r="F146" s="322">
        <f t="shared" si="72"/>
        <v>-264.80956240457999</v>
      </c>
      <c r="G146" s="322">
        <f t="shared" si="71"/>
        <v>7.809562404580106</v>
      </c>
      <c r="H146" s="322">
        <f t="shared" si="73"/>
        <v>0</v>
      </c>
      <c r="I146" s="322">
        <f t="shared" si="73"/>
        <v>-5.0000000000000711E-2</v>
      </c>
      <c r="J146" s="322">
        <f t="shared" si="73"/>
        <v>-40.950000000000003</v>
      </c>
      <c r="K146" s="322">
        <f t="shared" si="73"/>
        <v>-15</v>
      </c>
      <c r="L146" s="322">
        <f t="shared" si="73"/>
        <v>-56</v>
      </c>
      <c r="M146" s="591"/>
      <c r="N146" s="322">
        <f t="shared" si="74"/>
        <v>0</v>
      </c>
      <c r="O146" s="322">
        <f t="shared" si="74"/>
        <v>-320.80956240457999</v>
      </c>
      <c r="P146" s="322">
        <f t="shared" si="74"/>
        <v>-22</v>
      </c>
      <c r="Q146" s="322">
        <f t="shared" si="74"/>
        <v>-25</v>
      </c>
      <c r="R146" s="1362">
        <f t="shared" si="74"/>
        <v>-367.80956240457999</v>
      </c>
    </row>
    <row r="147" spans="1:18">
      <c r="A147" s="746">
        <f t="shared" si="67"/>
        <v>2026</v>
      </c>
      <c r="B147" s="1355">
        <f t="shared" si="72"/>
        <v>-1033</v>
      </c>
      <c r="C147" s="322">
        <f t="shared" si="72"/>
        <v>53</v>
      </c>
      <c r="D147" s="1355">
        <f t="shared" si="72"/>
        <v>-980</v>
      </c>
      <c r="E147" s="1355">
        <f t="shared" si="72"/>
        <v>661.14870613839946</v>
      </c>
      <c r="F147" s="322">
        <f t="shared" si="72"/>
        <v>-318.85129386160042</v>
      </c>
      <c r="G147" s="322">
        <f t="shared" si="71"/>
        <v>7.8512938616005385</v>
      </c>
      <c r="H147" s="322">
        <f t="shared" si="73"/>
        <v>0</v>
      </c>
      <c r="I147" s="322">
        <f t="shared" si="73"/>
        <v>0.10000000000000142</v>
      </c>
      <c r="J147" s="322">
        <f t="shared" si="73"/>
        <v>-40.950000000000003</v>
      </c>
      <c r="K147" s="322">
        <f t="shared" si="73"/>
        <v>-15</v>
      </c>
      <c r="L147" s="322">
        <f t="shared" si="73"/>
        <v>-55.850000000000023</v>
      </c>
      <c r="M147" s="591"/>
      <c r="N147" s="322">
        <f t="shared" si="74"/>
        <v>0</v>
      </c>
      <c r="O147" s="322">
        <f t="shared" si="74"/>
        <v>-374.70129386160079</v>
      </c>
      <c r="P147" s="322">
        <f t="shared" si="74"/>
        <v>-38</v>
      </c>
      <c r="Q147" s="322">
        <f t="shared" si="74"/>
        <v>-26</v>
      </c>
      <c r="R147" s="1362">
        <f t="shared" si="74"/>
        <v>-438.70129386160079</v>
      </c>
    </row>
    <row r="148" spans="1:18">
      <c r="A148" s="746">
        <f t="shared" si="67"/>
        <v>2027</v>
      </c>
      <c r="B148" s="1355">
        <f t="shared" si="72"/>
        <v>-1101</v>
      </c>
      <c r="C148" s="322">
        <f t="shared" si="72"/>
        <v>53</v>
      </c>
      <c r="D148" s="1355">
        <f t="shared" si="72"/>
        <v>-1048</v>
      </c>
      <c r="E148" s="1355">
        <f t="shared" si="72"/>
        <v>661.59766465261271</v>
      </c>
      <c r="F148" s="322">
        <f t="shared" si="72"/>
        <v>-386.40233534738763</v>
      </c>
      <c r="G148" s="322">
        <f t="shared" si="71"/>
        <v>7.402335347387293</v>
      </c>
      <c r="H148" s="322">
        <f t="shared" si="73"/>
        <v>0</v>
      </c>
      <c r="I148" s="322">
        <f t="shared" si="73"/>
        <v>0.23000000000000043</v>
      </c>
      <c r="J148" s="322">
        <f t="shared" si="73"/>
        <v>-40.950000000000003</v>
      </c>
      <c r="K148" s="322">
        <f t="shared" si="73"/>
        <v>-15</v>
      </c>
      <c r="L148" s="322">
        <f t="shared" si="73"/>
        <v>-55.720000000000027</v>
      </c>
      <c r="M148" s="591"/>
      <c r="N148" s="322">
        <f t="shared" si="74"/>
        <v>0</v>
      </c>
      <c r="O148" s="322">
        <f t="shared" si="74"/>
        <v>-442.12233534738698</v>
      </c>
      <c r="P148" s="322">
        <f t="shared" si="74"/>
        <v>-38</v>
      </c>
      <c r="Q148" s="322">
        <f t="shared" si="74"/>
        <v>-27</v>
      </c>
      <c r="R148" s="1362">
        <f t="shared" si="74"/>
        <v>-507.12233534738698</v>
      </c>
    </row>
    <row r="149" spans="1:18">
      <c r="A149" s="746">
        <f t="shared" si="67"/>
        <v>2028</v>
      </c>
      <c r="B149" s="1355">
        <f t="shared" si="72"/>
        <v>-1172</v>
      </c>
      <c r="C149" s="322">
        <f t="shared" si="72"/>
        <v>52</v>
      </c>
      <c r="D149" s="1355">
        <f t="shared" si="72"/>
        <v>-1120</v>
      </c>
      <c r="E149" s="1355">
        <f t="shared" si="72"/>
        <v>661.45649716949686</v>
      </c>
      <c r="F149" s="322">
        <f t="shared" si="72"/>
        <v>-458.54350283050371</v>
      </c>
      <c r="G149" s="322">
        <f t="shared" si="71"/>
        <v>7.5435028305031437</v>
      </c>
      <c r="H149" s="322">
        <f t="shared" si="73"/>
        <v>0</v>
      </c>
      <c r="I149" s="322">
        <f t="shared" si="73"/>
        <v>0.28000000000000114</v>
      </c>
      <c r="J149" s="322">
        <f t="shared" si="73"/>
        <v>-40.950000000000003</v>
      </c>
      <c r="K149" s="322">
        <f t="shared" si="73"/>
        <v>-15</v>
      </c>
      <c r="L149" s="322">
        <f t="shared" si="73"/>
        <v>-55.670000000000073</v>
      </c>
      <c r="M149" s="591"/>
      <c r="N149" s="322">
        <f t="shared" si="74"/>
        <v>0</v>
      </c>
      <c r="O149" s="322">
        <f t="shared" si="74"/>
        <v>-514.21350283050378</v>
      </c>
      <c r="P149" s="322">
        <f t="shared" si="74"/>
        <v>-37</v>
      </c>
      <c r="Q149" s="322">
        <f t="shared" si="74"/>
        <v>-28</v>
      </c>
      <c r="R149" s="1362">
        <f t="shared" si="74"/>
        <v>-579.21350283050378</v>
      </c>
    </row>
    <row r="150" spans="1:18">
      <c r="A150" s="746">
        <f t="shared" si="67"/>
        <v>2029</v>
      </c>
      <c r="B150" s="1355">
        <f t="shared" si="72"/>
        <v>-1243</v>
      </c>
      <c r="C150" s="322">
        <f t="shared" si="72"/>
        <v>53</v>
      </c>
      <c r="D150" s="1355">
        <f t="shared" si="72"/>
        <v>-1190</v>
      </c>
      <c r="E150" s="1355">
        <f t="shared" si="72"/>
        <v>661.68843433219183</v>
      </c>
      <c r="F150" s="322">
        <f t="shared" si="72"/>
        <v>-528.31156566780737</v>
      </c>
      <c r="G150" s="322">
        <f t="shared" si="71"/>
        <v>7.3115656678081677</v>
      </c>
      <c r="H150" s="322">
        <f t="shared" si="73"/>
        <v>0</v>
      </c>
      <c r="I150" s="322">
        <f t="shared" si="73"/>
        <v>0.42000000000000171</v>
      </c>
      <c r="J150" s="322">
        <f t="shared" si="73"/>
        <v>-40.950000000000003</v>
      </c>
      <c r="K150" s="322">
        <f t="shared" si="73"/>
        <v>-15</v>
      </c>
      <c r="L150" s="322">
        <f t="shared" si="73"/>
        <v>-55.530000000000086</v>
      </c>
      <c r="M150" s="591"/>
      <c r="N150" s="322">
        <f t="shared" si="74"/>
        <v>0</v>
      </c>
      <c r="O150" s="322">
        <f t="shared" si="74"/>
        <v>-583.84156566780803</v>
      </c>
      <c r="P150" s="322">
        <f t="shared" si="74"/>
        <v>-38</v>
      </c>
      <c r="Q150" s="322">
        <f t="shared" si="74"/>
        <v>-29</v>
      </c>
      <c r="R150" s="1362">
        <f t="shared" si="74"/>
        <v>-650.84156566780803</v>
      </c>
    </row>
    <row r="151" spans="1:18">
      <c r="A151" s="743">
        <f t="shared" si="67"/>
        <v>2030</v>
      </c>
      <c r="B151" s="1356">
        <f t="shared" ref="B151:F151" si="75">B100-B127</f>
        <v>-1319</v>
      </c>
      <c r="C151" s="597">
        <f t="shared" si="75"/>
        <v>53</v>
      </c>
      <c r="D151" s="1356">
        <f t="shared" si="75"/>
        <v>-1266</v>
      </c>
      <c r="E151" s="1356">
        <f t="shared" si="75"/>
        <v>661.30121422971058</v>
      </c>
      <c r="F151" s="597">
        <f t="shared" si="75"/>
        <v>-604.69878577028976</v>
      </c>
      <c r="G151" s="597">
        <f t="shared" si="71"/>
        <v>7.6987857702894189</v>
      </c>
      <c r="H151" s="597">
        <f t="shared" ref="H151:L151" si="76">H100-H127</f>
        <v>0</v>
      </c>
      <c r="I151" s="597">
        <f t="shared" si="76"/>
        <v>0.55000000000000071</v>
      </c>
      <c r="J151" s="597">
        <f t="shared" si="76"/>
        <v>-40.950000000000003</v>
      </c>
      <c r="K151" s="597">
        <f t="shared" si="76"/>
        <v>-15</v>
      </c>
      <c r="L151" s="597">
        <f t="shared" si="76"/>
        <v>-55.400000000000091</v>
      </c>
      <c r="M151" s="731"/>
      <c r="N151" s="597">
        <f t="shared" ref="N151:R151" si="77">N100-N127</f>
        <v>0</v>
      </c>
      <c r="O151" s="597">
        <f t="shared" si="77"/>
        <v>-660.0987857702894</v>
      </c>
      <c r="P151" s="597">
        <f t="shared" si="77"/>
        <v>-38</v>
      </c>
      <c r="Q151" s="597">
        <f t="shared" si="77"/>
        <v>-29</v>
      </c>
      <c r="R151" s="1363">
        <f t="shared" si="77"/>
        <v>-727.0987857702894</v>
      </c>
    </row>
    <row r="152" spans="1:18">
      <c r="A152" s="726"/>
      <c r="B152" s="726"/>
      <c r="C152" s="726"/>
      <c r="D152" s="726"/>
      <c r="E152" s="726"/>
      <c r="F152" s="726"/>
      <c r="G152" s="726"/>
      <c r="H152" s="725"/>
      <c r="I152" s="725"/>
      <c r="J152" s="725"/>
      <c r="K152" s="725"/>
      <c r="L152" s="726"/>
      <c r="M152" s="726"/>
      <c r="N152" s="725"/>
      <c r="O152" s="726"/>
      <c r="P152" s="726"/>
      <c r="Q152" s="726"/>
      <c r="R152" s="726"/>
    </row>
  </sheetData>
  <mergeCells count="23">
    <mergeCell ref="Z53:AB53"/>
    <mergeCell ref="A51:R51"/>
    <mergeCell ref="H29:L29"/>
    <mergeCell ref="A1:R1"/>
    <mergeCell ref="A27:R27"/>
    <mergeCell ref="A3:R3"/>
    <mergeCell ref="H5:L5"/>
    <mergeCell ref="T28:X28"/>
    <mergeCell ref="H53:L53"/>
    <mergeCell ref="Y2:AN2"/>
    <mergeCell ref="AL4:AN4"/>
    <mergeCell ref="Z4:AB4"/>
    <mergeCell ref="AD4:AF4"/>
    <mergeCell ref="T4:X4"/>
    <mergeCell ref="T3:X3"/>
    <mergeCell ref="AH4:AJ4"/>
    <mergeCell ref="H131:L131"/>
    <mergeCell ref="A76:R76"/>
    <mergeCell ref="A129:R129"/>
    <mergeCell ref="A78:R78"/>
    <mergeCell ref="A102:R102"/>
    <mergeCell ref="H80:L80"/>
    <mergeCell ref="H104:L104"/>
  </mergeCells>
  <phoneticPr fontId="52" type="noConversion"/>
  <hyperlinks>
    <hyperlink ref="V29" r:id="rId1" display="^@20%"/>
    <hyperlink ref="V5" r:id="rId2" display="^@20%"/>
  </hyperlinks>
  <printOptions horizontalCentered="1"/>
  <pageMargins left="0.25" right="0.25" top="0.5" bottom="0.75" header="0" footer="0.25"/>
  <pageSetup scale="93" orientation="landscape" verticalDpi="300" r:id="rId3"/>
  <headerFooter alignWithMargins="0">
    <oddFooter>&amp;LLoad Forecasting : &amp;D&amp;R14LGBRA-NRGPOD1-6-DOC 38
14BGBRA-STAFFROG1-19A-DOC 38</oddFooter>
  </headerFooter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A178"/>
  <sheetViews>
    <sheetView showGridLines="0" zoomScale="70" zoomScaleNormal="70" workbookViewId="0">
      <selection activeCell="T1" sqref="T1"/>
    </sheetView>
  </sheetViews>
  <sheetFormatPr defaultRowHeight="12.75"/>
  <cols>
    <col min="1" max="1" width="6.42578125" bestFit="1" customWidth="1"/>
    <col min="2" max="2" width="11.28515625" bestFit="1" customWidth="1"/>
    <col min="3" max="3" width="7.28515625" bestFit="1" customWidth="1"/>
    <col min="4" max="4" width="9.140625" bestFit="1" customWidth="1"/>
    <col min="5" max="5" width="10.42578125" bestFit="1" customWidth="1"/>
    <col min="6" max="6" width="7.42578125" bestFit="1" customWidth="1"/>
    <col min="7" max="7" width="1.7109375" customWidth="1"/>
    <col min="8" max="8" width="7.28515625" bestFit="1" customWidth="1"/>
    <col min="9" max="9" width="7.28515625" customWidth="1"/>
    <col min="10" max="10" width="7.42578125" bestFit="1" customWidth="1"/>
    <col min="11" max="11" width="7.140625" customWidth="1"/>
    <col min="12" max="12" width="7.85546875" customWidth="1"/>
    <col min="13" max="13" width="1.140625" customWidth="1"/>
    <col min="14" max="14" width="6.85546875" style="964" customWidth="1"/>
    <col min="15" max="15" width="7.85546875" bestFit="1" customWidth="1"/>
    <col min="16" max="16" width="7.42578125" bestFit="1" customWidth="1"/>
    <col min="17" max="17" width="7.7109375" bestFit="1" customWidth="1"/>
    <col min="18" max="18" width="7.85546875" bestFit="1" customWidth="1"/>
    <col min="19" max="19" width="9.28515625" bestFit="1" customWidth="1"/>
    <col min="20" max="20" width="12.42578125" bestFit="1" customWidth="1"/>
    <col min="21" max="21" width="9.28515625" bestFit="1" customWidth="1"/>
    <col min="22" max="22" width="8.7109375" bestFit="1" customWidth="1"/>
    <col min="23" max="23" width="11.5703125" bestFit="1" customWidth="1"/>
    <col min="24" max="24" width="9.28515625" bestFit="1" customWidth="1"/>
    <col min="26" max="26" width="10.28515625" bestFit="1" customWidth="1"/>
  </cols>
  <sheetData>
    <row r="1" spans="1:27" ht="13.5" thickBot="1">
      <c r="A1" s="1621" t="s">
        <v>365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T1" s="1091" t="str">
        <f>'FALL13 vs TYSP13'!T1</f>
        <v>10/23/2013</v>
      </c>
    </row>
    <row r="3" spans="1:27" ht="13.5" thickBot="1">
      <c r="A3" s="1626" t="str">
        <f>'FALL13 vs TYSP13'!A3:R3</f>
        <v>FALL 2013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  <c r="Q3" s="1627"/>
      <c r="R3" s="1628"/>
    </row>
    <row r="4" spans="1:27" ht="13.5" thickBot="1">
      <c r="A4" s="166"/>
      <c r="B4" s="520" t="s">
        <v>116</v>
      </c>
      <c r="C4" s="520"/>
      <c r="D4" s="520"/>
      <c r="F4" s="520" t="s">
        <v>21</v>
      </c>
      <c r="G4" s="520"/>
      <c r="H4" s="520"/>
      <c r="I4" s="520"/>
      <c r="J4" s="520"/>
      <c r="K4" s="520"/>
      <c r="L4" s="520"/>
      <c r="M4" s="520"/>
      <c r="N4" s="520"/>
      <c r="O4" s="520" t="str">
        <f>F4</f>
        <v>Total</v>
      </c>
      <c r="P4" s="520"/>
      <c r="Q4" s="728"/>
      <c r="R4" s="612"/>
      <c r="S4" s="28"/>
      <c r="T4" s="1650" t="s">
        <v>261</v>
      </c>
      <c r="U4" s="1651"/>
      <c r="V4" s="1651"/>
      <c r="W4" s="1651"/>
      <c r="X4" s="1652"/>
    </row>
    <row r="5" spans="1:27">
      <c r="A5" s="167"/>
      <c r="B5" s="170" t="s">
        <v>117</v>
      </c>
      <c r="C5" s="170"/>
      <c r="D5" s="170" t="s">
        <v>120</v>
      </c>
      <c r="E5" s="28"/>
      <c r="F5" s="170" t="s">
        <v>118</v>
      </c>
      <c r="G5" s="170"/>
      <c r="H5" s="1632" t="s">
        <v>123</v>
      </c>
      <c r="I5" s="1633"/>
      <c r="J5" s="1633"/>
      <c r="K5" s="1633"/>
      <c r="L5" s="1634"/>
      <c r="M5" s="170"/>
      <c r="N5" s="521"/>
      <c r="O5" s="170" t="s">
        <v>125</v>
      </c>
      <c r="P5" s="170"/>
      <c r="Q5" s="591"/>
      <c r="R5" s="613" t="s">
        <v>21</v>
      </c>
      <c r="S5" s="28"/>
      <c r="T5" s="885" t="str">
        <f>'FALL13 vs TYSP13'!T5</f>
        <v>TYSP13</v>
      </c>
    </row>
    <row r="6" spans="1:27">
      <c r="A6" s="167"/>
      <c r="B6" s="170" t="s">
        <v>118</v>
      </c>
      <c r="C6" s="170" t="s">
        <v>118</v>
      </c>
      <c r="D6" s="170" t="s">
        <v>21</v>
      </c>
      <c r="E6" s="591" t="s">
        <v>121</v>
      </c>
      <c r="F6" s="170" t="s">
        <v>122</v>
      </c>
      <c r="G6" s="170"/>
      <c r="H6" s="520" t="s">
        <v>21</v>
      </c>
      <c r="I6" s="520" t="s">
        <v>288</v>
      </c>
      <c r="J6" s="520"/>
      <c r="K6" s="706" t="s">
        <v>349</v>
      </c>
      <c r="L6" s="520"/>
      <c r="M6" s="170"/>
      <c r="N6" s="170" t="s">
        <v>264</v>
      </c>
      <c r="O6" s="170" t="str">
        <f>F6</f>
        <v>before</v>
      </c>
      <c r="P6" s="170" t="s">
        <v>21</v>
      </c>
      <c r="Q6" s="729" t="s">
        <v>147</v>
      </c>
      <c r="R6" s="613" t="s">
        <v>125</v>
      </c>
      <c r="S6" s="28"/>
      <c r="T6" s="964" t="s">
        <v>222</v>
      </c>
      <c r="V6" s="964"/>
      <c r="X6" s="964" t="s">
        <v>353</v>
      </c>
    </row>
    <row r="7" spans="1:27">
      <c r="A7" s="168" t="s">
        <v>126</v>
      </c>
      <c r="B7" s="519" t="s">
        <v>119</v>
      </c>
      <c r="C7" s="519" t="s">
        <v>66</v>
      </c>
      <c r="D7" s="519" t="s">
        <v>118</v>
      </c>
      <c r="E7" s="731" t="s">
        <v>59</v>
      </c>
      <c r="F7" s="519" t="s">
        <v>62</v>
      </c>
      <c r="G7" s="519"/>
      <c r="H7" s="586" t="s">
        <v>154</v>
      </c>
      <c r="I7" s="586" t="s">
        <v>286</v>
      </c>
      <c r="J7" s="519" t="s">
        <v>287</v>
      </c>
      <c r="K7" s="705" t="s">
        <v>117</v>
      </c>
      <c r="L7" s="519" t="s">
        <v>0</v>
      </c>
      <c r="M7" s="519"/>
      <c r="N7" s="519" t="s">
        <v>124</v>
      </c>
      <c r="O7" s="519" t="str">
        <f>F7</f>
        <v>DLC</v>
      </c>
      <c r="P7" s="519" t="s">
        <v>66</v>
      </c>
      <c r="Q7" s="731" t="s">
        <v>131</v>
      </c>
      <c r="R7" s="614" t="s">
        <v>117</v>
      </c>
      <c r="S7" s="448" t="s">
        <v>126</v>
      </c>
      <c r="T7" s="445" t="s">
        <v>221</v>
      </c>
      <c r="U7" s="446" t="s">
        <v>223</v>
      </c>
      <c r="V7" s="445"/>
      <c r="W7" s="447" t="s">
        <v>219</v>
      </c>
      <c r="X7" s="446" t="s">
        <v>220</v>
      </c>
    </row>
    <row r="8" spans="1:27" hidden="1">
      <c r="A8" s="169">
        <v>2009</v>
      </c>
      <c r="B8" s="522" t="e">
        <f>'FALL13 vs TYSP13'!#REF!</f>
        <v>#REF!</v>
      </c>
      <c r="C8" s="522" t="e">
        <f>'FALL13 vs TYSP13'!#REF!</f>
        <v>#REF!</v>
      </c>
      <c r="D8" s="522" t="e">
        <f>'FALL13 vs TYSP13'!#REF!</f>
        <v>#REF!</v>
      </c>
      <c r="E8" s="592" t="e">
        <f>'FALL13 vs TYSP13'!#REF!</f>
        <v>#REF!</v>
      </c>
      <c r="F8" s="522" t="e">
        <f>'FALL13 vs TYSP13'!#REF!</f>
        <v>#REF!</v>
      </c>
      <c r="G8" s="522" t="e">
        <f>'FALL13 vs TYSP13'!#REF!</f>
        <v>#REF!</v>
      </c>
      <c r="H8" s="605" t="e">
        <f>'FALL13 vs TYSP13'!#REF!</f>
        <v>#REF!</v>
      </c>
      <c r="I8" s="605" t="e">
        <f>'FALL13 vs TYSP13'!#REF!</f>
        <v>#REF!</v>
      </c>
      <c r="J8" s="605" t="e">
        <f>'FALL13 vs TYSP13'!#REF!</f>
        <v>#REF!</v>
      </c>
      <c r="K8" s="603" t="e">
        <f>'FALL13 vs TYSP13'!#REF!</f>
        <v>#REF!</v>
      </c>
      <c r="L8" s="522" t="e">
        <f>'FALL13 vs TYSP13'!#REF!</f>
        <v>#REF!</v>
      </c>
      <c r="M8" s="522" t="e">
        <f>'FALL13 vs TYSP13'!#REF!</f>
        <v>#REF!</v>
      </c>
      <c r="N8" s="522" t="e">
        <f>'FALL13 vs TYSP13'!#REF!</f>
        <v>#REF!</v>
      </c>
      <c r="O8" s="522" t="e">
        <f>'FALL13 vs TYSP13'!#REF!</f>
        <v>#REF!</v>
      </c>
      <c r="P8" s="524" t="e">
        <f>'FALL13 vs TYSP13'!#REF!</f>
        <v>#REF!</v>
      </c>
      <c r="Q8" s="592" t="e">
        <f>'FALL13 vs TYSP13'!#REF!</f>
        <v>#REF!</v>
      </c>
      <c r="R8" s="609" t="e">
        <f>'FALL13 vs TYSP13'!#REF!</f>
        <v>#REF!</v>
      </c>
      <c r="S8" s="170">
        <f t="shared" ref="S8:S25" si="0">A8</f>
        <v>2009</v>
      </c>
      <c r="T8" s="381" t="e">
        <f>'FALL13 vs TYSP13'!#REF!</f>
        <v>#REF!</v>
      </c>
      <c r="U8" s="582" t="e">
        <f t="shared" ref="U8:U25" si="1">T8/R8-1</f>
        <v>#REF!</v>
      </c>
      <c r="W8" s="320" t="e">
        <f>'FALL13 vs TYSP13'!#REF!</f>
        <v>#REF!</v>
      </c>
      <c r="X8" s="219" t="e">
        <f>W8/(O8*8760)</f>
        <v>#REF!</v>
      </c>
    </row>
    <row r="9" spans="1:27" hidden="1">
      <c r="A9" s="169">
        <v>2010</v>
      </c>
      <c r="B9" s="522" t="e">
        <f>'FALL13 vs TYSP13'!#REF!</f>
        <v>#REF!</v>
      </c>
      <c r="C9" s="522" t="e">
        <f>'FALL13 vs TYSP13'!#REF!</f>
        <v>#REF!</v>
      </c>
      <c r="D9" s="522" t="e">
        <f>'FALL13 vs TYSP13'!#REF!</f>
        <v>#REF!</v>
      </c>
      <c r="E9" s="592" t="e">
        <f>'FALL13 vs TYSP13'!#REF!</f>
        <v>#REF!</v>
      </c>
      <c r="F9" s="522" t="e">
        <f>'FALL13 vs TYSP13'!#REF!</f>
        <v>#REF!</v>
      </c>
      <c r="G9" s="522" t="e">
        <f>'FALL13 vs TYSP13'!#REF!</f>
        <v>#REF!</v>
      </c>
      <c r="H9" s="605" t="e">
        <f>'FALL13 vs TYSP13'!#REF!</f>
        <v>#REF!</v>
      </c>
      <c r="I9" s="605" t="e">
        <f>'FALL13 vs TYSP13'!#REF!</f>
        <v>#REF!</v>
      </c>
      <c r="J9" s="605" t="e">
        <f>'FALL13 vs TYSP13'!#REF!</f>
        <v>#REF!</v>
      </c>
      <c r="K9" s="603" t="e">
        <f>'FALL13 vs TYSP13'!#REF!</f>
        <v>#REF!</v>
      </c>
      <c r="L9" s="522" t="e">
        <f>'FALL13 vs TYSP13'!#REF!</f>
        <v>#REF!</v>
      </c>
      <c r="M9" s="522" t="e">
        <f>'FALL13 vs TYSP13'!#REF!</f>
        <v>#REF!</v>
      </c>
      <c r="N9" s="522" t="e">
        <f>'FALL13 vs TYSP13'!#REF!</f>
        <v>#REF!</v>
      </c>
      <c r="O9" s="522" t="e">
        <f>'FALL13 vs TYSP13'!#REF!</f>
        <v>#REF!</v>
      </c>
      <c r="P9" s="524" t="e">
        <f>'FALL13 vs TYSP13'!#REF!</f>
        <v>#REF!</v>
      </c>
      <c r="Q9" s="592" t="e">
        <f>'FALL13 vs TYSP13'!#REF!</f>
        <v>#REF!</v>
      </c>
      <c r="R9" s="609" t="e">
        <f>'FALL13 vs TYSP13'!#REF!</f>
        <v>#REF!</v>
      </c>
      <c r="S9" s="170">
        <f t="shared" si="0"/>
        <v>2010</v>
      </c>
      <c r="T9" s="381" t="e">
        <f>'FALL13 vs TYSP13'!#REF!</f>
        <v>#REF!</v>
      </c>
      <c r="U9" s="582" t="e">
        <f t="shared" si="1"/>
        <v>#REF!</v>
      </c>
      <c r="W9" s="320" t="e">
        <f>'FALL13 vs TYSP13'!#REF!</f>
        <v>#REF!</v>
      </c>
      <c r="X9" s="219" t="e">
        <f>W9/(O9*8760)</f>
        <v>#REF!</v>
      </c>
    </row>
    <row r="10" spans="1:27" hidden="1">
      <c r="A10" s="169">
        <v>2011</v>
      </c>
      <c r="B10" s="522" t="e">
        <f>'FALL13 vs TYSP13'!#REF!</f>
        <v>#REF!</v>
      </c>
      <c r="C10" s="522" t="e">
        <f>'FALL13 vs TYSP13'!#REF!</f>
        <v>#REF!</v>
      </c>
      <c r="D10" s="522" t="e">
        <f>'FALL13 vs TYSP13'!#REF!</f>
        <v>#REF!</v>
      </c>
      <c r="E10" s="592" t="e">
        <f>'FALL13 vs TYSP13'!#REF!</f>
        <v>#REF!</v>
      </c>
      <c r="F10" s="522" t="e">
        <f>'FALL13 vs TYSP13'!#REF!</f>
        <v>#REF!</v>
      </c>
      <c r="G10" s="522" t="e">
        <f>'FALL13 vs TYSP13'!#REF!</f>
        <v>#REF!</v>
      </c>
      <c r="H10" s="605" t="e">
        <f>'FALL13 vs TYSP13'!#REF!</f>
        <v>#REF!</v>
      </c>
      <c r="I10" s="605" t="e">
        <f>'FALL13 vs TYSP13'!#REF!</f>
        <v>#REF!</v>
      </c>
      <c r="J10" s="605" t="e">
        <f>'FALL13 vs TYSP13'!#REF!</f>
        <v>#REF!</v>
      </c>
      <c r="K10" s="603" t="e">
        <f>'FALL13 vs TYSP13'!#REF!</f>
        <v>#REF!</v>
      </c>
      <c r="L10" s="522" t="e">
        <f>'FALL13 vs TYSP13'!#REF!</f>
        <v>#REF!</v>
      </c>
      <c r="M10" s="522" t="e">
        <f>'FALL13 vs TYSP13'!#REF!</f>
        <v>#REF!</v>
      </c>
      <c r="N10" s="522" t="e">
        <f>'FALL13 vs TYSP13'!#REF!</f>
        <v>#REF!</v>
      </c>
      <c r="O10" s="522" t="e">
        <f>'FALL13 vs TYSP13'!#REF!</f>
        <v>#REF!</v>
      </c>
      <c r="P10" s="524" t="e">
        <f>'FALL13 vs TYSP13'!#REF!</f>
        <v>#REF!</v>
      </c>
      <c r="Q10" s="592" t="e">
        <f>'FALL13 vs TYSP13'!#REF!</f>
        <v>#REF!</v>
      </c>
      <c r="R10" s="609" t="e">
        <f>'FALL13 vs TYSP13'!#REF!</f>
        <v>#REF!</v>
      </c>
      <c r="S10" s="170">
        <f t="shared" si="0"/>
        <v>2011</v>
      </c>
      <c r="T10" s="381" t="e">
        <f>'FALL13 vs TYSP13'!#REF!</f>
        <v>#REF!</v>
      </c>
      <c r="U10" s="582" t="e">
        <f t="shared" si="1"/>
        <v>#REF!</v>
      </c>
      <c r="W10" s="320" t="e">
        <f>'FALL13 vs TYSP13'!#REF!</f>
        <v>#REF!</v>
      </c>
      <c r="X10" s="219" t="e">
        <f>W10/(O10*8760)</f>
        <v>#REF!</v>
      </c>
    </row>
    <row r="11" spans="1:27" s="28" customFormat="1">
      <c r="A11" s="169">
        <v>2012</v>
      </c>
      <c r="B11" s="522" t="e">
        <f>'FALL13 vs TYSP13'!#REF!</f>
        <v>#REF!</v>
      </c>
      <c r="C11" s="522" t="e">
        <f>'FALL13 vs TYSP13'!#REF!</f>
        <v>#REF!</v>
      </c>
      <c r="D11" s="522" t="e">
        <f>'FALL13 vs TYSP13'!#REF!</f>
        <v>#REF!</v>
      </c>
      <c r="E11" s="592" t="e">
        <f>'FALL13 vs TYSP13'!#REF!</f>
        <v>#REF!</v>
      </c>
      <c r="F11" s="522" t="e">
        <f>'FALL13 vs TYSP13'!#REF!</f>
        <v>#REF!</v>
      </c>
      <c r="G11" s="522" t="e">
        <f>'FALL13 vs TYSP13'!#REF!</f>
        <v>#REF!</v>
      </c>
      <c r="H11" s="605" t="e">
        <f>'FALL13 vs TYSP13'!#REF!</f>
        <v>#REF!</v>
      </c>
      <c r="I11" s="605" t="e">
        <f>'FALL13 vs TYSP13'!#REF!</f>
        <v>#REF!</v>
      </c>
      <c r="J11" s="605" t="e">
        <f>'FALL13 vs TYSP13'!#REF!</f>
        <v>#REF!</v>
      </c>
      <c r="K11" s="603" t="e">
        <f>'FALL13 vs TYSP13'!#REF!</f>
        <v>#REF!</v>
      </c>
      <c r="L11" s="522" t="e">
        <f>'FALL13 vs TYSP13'!#REF!</f>
        <v>#REF!</v>
      </c>
      <c r="M11" s="522" t="e">
        <f>'FALL13 vs TYSP13'!#REF!</f>
        <v>#REF!</v>
      </c>
      <c r="N11" s="522" t="e">
        <f>'FALL13 vs TYSP13'!#REF!</f>
        <v>#REF!</v>
      </c>
      <c r="O11" s="522" t="e">
        <f>'FALL13 vs TYSP13'!#REF!</f>
        <v>#REF!</v>
      </c>
      <c r="P11" s="524" t="e">
        <f>'FALL13 vs TYSP13'!#REF!</f>
        <v>#REF!</v>
      </c>
      <c r="Q11" s="592" t="e">
        <f>'FALL13 vs TYSP13'!#REF!</f>
        <v>#REF!</v>
      </c>
      <c r="R11" s="609" t="e">
        <f>'FALL13 vs TYSP13'!#REF!</f>
        <v>#REF!</v>
      </c>
      <c r="S11" s="170">
        <f t="shared" si="0"/>
        <v>2012</v>
      </c>
      <c r="T11" s="381" t="e">
        <f>'FALL13 vs TYSP13'!#REF!</f>
        <v>#REF!</v>
      </c>
      <c r="U11" s="582" t="e">
        <f t="shared" si="1"/>
        <v>#REF!</v>
      </c>
      <c r="W11" s="320" t="e">
        <f>'FALL13 vs TYSP13'!#REF!</f>
        <v>#REF!</v>
      </c>
      <c r="X11" s="219" t="e">
        <f>W11/(O11*8784)</f>
        <v>#REF!</v>
      </c>
      <c r="Z11"/>
      <c r="AA11"/>
    </row>
    <row r="12" spans="1:27" s="28" customFormat="1">
      <c r="A12" s="169">
        <v>2013</v>
      </c>
      <c r="B12" s="522">
        <f>'FALL13 vs TYSP13'!B8</f>
        <v>5248</v>
      </c>
      <c r="C12" s="522">
        <f>'FALL13 vs TYSP13'!C8</f>
        <v>232</v>
      </c>
      <c r="D12" s="522">
        <f>'FALL13 vs TYSP13'!D8</f>
        <v>5480</v>
      </c>
      <c r="E12" s="592">
        <f>'FALL13 vs TYSP13'!E8</f>
        <v>0</v>
      </c>
      <c r="F12" s="522">
        <f>'FALL13 vs TYSP13'!F8</f>
        <v>5480</v>
      </c>
      <c r="G12" s="522">
        <f>'FALL13 vs TYSP13'!G8</f>
        <v>0</v>
      </c>
      <c r="H12" s="605">
        <f>'FALL13 vs TYSP13'!H8</f>
        <v>600</v>
      </c>
      <c r="I12" s="605">
        <f>'FALL13 vs TYSP13'!I8</f>
        <v>45.629999999999995</v>
      </c>
      <c r="J12" s="605">
        <f>'FALL13 vs TYSP13'!J8</f>
        <v>236.08999999999997</v>
      </c>
      <c r="K12" s="603">
        <f>'FALL13 vs TYSP13'!K8</f>
        <v>15.01</v>
      </c>
      <c r="L12" s="522">
        <f>'FALL13 vs TYSP13'!L8</f>
        <v>896.73</v>
      </c>
      <c r="M12" s="522">
        <f>'FALL13 vs TYSP13'!M8</f>
        <v>0</v>
      </c>
      <c r="N12" s="522">
        <f>'FALL13 vs TYSP13'!N8</f>
        <v>0</v>
      </c>
      <c r="O12" s="522">
        <f>'FALL13 vs TYSP13'!O8</f>
        <v>6376.73</v>
      </c>
      <c r="P12" s="524">
        <f>'FALL13 vs TYSP13'!P8</f>
        <v>-247.01</v>
      </c>
      <c r="Q12" s="592">
        <f>'FALL13 vs TYSP13'!Q8</f>
        <v>-823</v>
      </c>
      <c r="R12" s="609">
        <f>'FALL13 vs TYSP13'!R8</f>
        <v>5306.7199999999993</v>
      </c>
      <c r="S12" s="170">
        <f t="shared" si="0"/>
        <v>2013</v>
      </c>
      <c r="T12" s="381">
        <f>'FALL13 vs TYSP13'!T8</f>
        <v>13281</v>
      </c>
      <c r="U12" s="582">
        <f t="shared" si="1"/>
        <v>1.5026758525039954</v>
      </c>
      <c r="W12" s="320">
        <f>'FALL13 vs TYSP13'!W8</f>
        <v>40270133</v>
      </c>
      <c r="X12" s="584">
        <f>W12/(O12*8760)</f>
        <v>0.72090979955537116</v>
      </c>
      <c r="Z12"/>
      <c r="AA12"/>
    </row>
    <row r="13" spans="1:27" s="28" customFormat="1">
      <c r="A13" s="169">
        <v>2014</v>
      </c>
      <c r="B13" s="522">
        <f>'FALL13 vs TYSP13'!B9</f>
        <v>8887</v>
      </c>
      <c r="C13" s="522">
        <f>'FALL13 vs TYSP13'!C9</f>
        <v>232</v>
      </c>
      <c r="D13" s="522">
        <f>'FALL13 vs TYSP13'!D9</f>
        <v>9119</v>
      </c>
      <c r="E13" s="592">
        <f>'FALL13 vs TYSP13'!E9</f>
        <v>-65.575586025000007</v>
      </c>
      <c r="F13" s="522">
        <f>'FALL13 vs TYSP13'!F9</f>
        <v>9053.4244139750008</v>
      </c>
      <c r="G13" s="522">
        <f>'FALL13 vs TYSP13'!G9</f>
        <v>0</v>
      </c>
      <c r="H13" s="605">
        <f>'FALL13 vs TYSP13'!H9</f>
        <v>650</v>
      </c>
      <c r="I13" s="605">
        <f>'FALL13 vs TYSP13'!I9</f>
        <v>45.86</v>
      </c>
      <c r="J13" s="605">
        <f>'FALL13 vs TYSP13'!J9</f>
        <v>199.07</v>
      </c>
      <c r="K13" s="603">
        <f>'FALL13 vs TYSP13'!K9</f>
        <v>0</v>
      </c>
      <c r="L13" s="522">
        <f>'FALL13 vs TYSP13'!L9</f>
        <v>894.93000000000006</v>
      </c>
      <c r="M13" s="522">
        <f>'FALL13 vs TYSP13'!M9</f>
        <v>0</v>
      </c>
      <c r="N13" s="522">
        <f>'FALL13 vs TYSP13'!N9</f>
        <v>25</v>
      </c>
      <c r="O13" s="522">
        <f>'FALL13 vs TYSP13'!O9</f>
        <v>9973.3544139750011</v>
      </c>
      <c r="P13" s="524">
        <f>'FALL13 vs TYSP13'!P9</f>
        <v>-232</v>
      </c>
      <c r="Q13" s="592">
        <f>'FALL13 vs TYSP13'!Q9</f>
        <v>-871</v>
      </c>
      <c r="R13" s="609">
        <f>'FALL13 vs TYSP13'!R9</f>
        <v>8870.3544139750011</v>
      </c>
      <c r="S13" s="170">
        <f t="shared" si="0"/>
        <v>2014</v>
      </c>
      <c r="T13" s="381">
        <f>'FALL13 vs TYSP13'!T9</f>
        <v>12297</v>
      </c>
      <c r="U13" s="582">
        <f t="shared" si="1"/>
        <v>0.3863031200451712</v>
      </c>
      <c r="V13" s="170"/>
      <c r="W13" s="320">
        <f>'FALL13 vs TYSP13'!W9</f>
        <v>39801314</v>
      </c>
      <c r="X13" s="584">
        <f>W13/(O13*8760)</f>
        <v>0.45556678393653027</v>
      </c>
      <c r="Z13"/>
      <c r="AA13"/>
    </row>
    <row r="14" spans="1:27" s="28" customFormat="1">
      <c r="A14" s="169">
        <v>2015</v>
      </c>
      <c r="B14" s="522">
        <f>'FALL13 vs TYSP13'!B10</f>
        <v>8754</v>
      </c>
      <c r="C14" s="522">
        <f>'FALL13 vs TYSP13'!C10</f>
        <v>233</v>
      </c>
      <c r="D14" s="522">
        <f>'FALL13 vs TYSP13'!D10</f>
        <v>8987</v>
      </c>
      <c r="E14" s="592">
        <f>'FALL13 vs TYSP13'!E10</f>
        <v>-131.10226198554994</v>
      </c>
      <c r="F14" s="522">
        <f>'FALL13 vs TYSP13'!F10</f>
        <v>8855.8977380144497</v>
      </c>
      <c r="G14" s="522">
        <f>'FALL13 vs TYSP13'!G10</f>
        <v>0</v>
      </c>
      <c r="H14" s="605">
        <f>'FALL13 vs TYSP13'!H10</f>
        <v>1150</v>
      </c>
      <c r="I14" s="605">
        <f>'FALL13 vs TYSP13'!I10</f>
        <v>46</v>
      </c>
      <c r="J14" s="605">
        <f>'FALL13 vs TYSP13'!J10</f>
        <v>180.04999999999998</v>
      </c>
      <c r="K14" s="603">
        <f>'FALL13 vs TYSP13'!K10</f>
        <v>0</v>
      </c>
      <c r="L14" s="522">
        <f>'FALL13 vs TYSP13'!L10</f>
        <v>1376.05</v>
      </c>
      <c r="M14" s="522">
        <f>'FALL13 vs TYSP13'!M10</f>
        <v>0</v>
      </c>
      <c r="N14" s="522">
        <f>'FALL13 vs TYSP13'!N10</f>
        <v>25</v>
      </c>
      <c r="O14" s="522">
        <f>'FALL13 vs TYSP13'!O10</f>
        <v>10256.947738014449</v>
      </c>
      <c r="P14" s="524">
        <f>'FALL13 vs TYSP13'!P10</f>
        <v>-233</v>
      </c>
      <c r="Q14" s="592">
        <f>'FALL13 vs TYSP13'!Q10</f>
        <v>-891</v>
      </c>
      <c r="R14" s="609">
        <f>'FALL13 vs TYSP13'!R10</f>
        <v>9132.947738014449</v>
      </c>
      <c r="S14" s="170">
        <f t="shared" si="0"/>
        <v>2015</v>
      </c>
      <c r="T14" s="381">
        <f>'FALL13 vs TYSP13'!T10</f>
        <v>12284</v>
      </c>
      <c r="U14" s="582">
        <f t="shared" si="1"/>
        <v>0.3450202883423712</v>
      </c>
      <c r="V14" s="170"/>
      <c r="W14" s="320">
        <f>'FALL13 vs TYSP13'!W10</f>
        <v>40489597</v>
      </c>
      <c r="X14" s="584">
        <f>W14/(O14*8760)</f>
        <v>0.45063114604988735</v>
      </c>
      <c r="Z14"/>
      <c r="AA14"/>
    </row>
    <row r="15" spans="1:27" s="28" customFormat="1">
      <c r="A15" s="169">
        <v>2016</v>
      </c>
      <c r="B15" s="522">
        <f>'FALL13 vs TYSP13'!B11</f>
        <v>9055</v>
      </c>
      <c r="C15" s="522">
        <f>'FALL13 vs TYSP13'!C11</f>
        <v>233</v>
      </c>
      <c r="D15" s="522">
        <f>'FALL13 vs TYSP13'!D11</f>
        <v>9288</v>
      </c>
      <c r="E15" s="592">
        <f>'FALL13 vs TYSP13'!E11</f>
        <v>-180.45095414807236</v>
      </c>
      <c r="F15" s="522">
        <f>'FALL13 vs TYSP13'!F11</f>
        <v>9107.5490458519271</v>
      </c>
      <c r="G15" s="522">
        <f>'FALL13 vs TYSP13'!G11</f>
        <v>0</v>
      </c>
      <c r="H15" s="605">
        <f>'FALL13 vs TYSP13'!H11</f>
        <v>1150</v>
      </c>
      <c r="I15" s="605">
        <f>'FALL13 vs TYSP13'!I11</f>
        <v>46.22</v>
      </c>
      <c r="J15" s="605">
        <f>'FALL13 vs TYSP13'!J11</f>
        <v>182.04999999999998</v>
      </c>
      <c r="K15" s="603">
        <f>'FALL13 vs TYSP13'!K11</f>
        <v>0</v>
      </c>
      <c r="L15" s="522">
        <f>'FALL13 vs TYSP13'!L11</f>
        <v>1378.27</v>
      </c>
      <c r="M15" s="522">
        <f>'FALL13 vs TYSP13'!M11</f>
        <v>0</v>
      </c>
      <c r="N15" s="522">
        <f>'FALL13 vs TYSP13'!N11</f>
        <v>25</v>
      </c>
      <c r="O15" s="522">
        <f>'FALL13 vs TYSP13'!O11</f>
        <v>10510.819045851928</v>
      </c>
      <c r="P15" s="524">
        <f>'FALL13 vs TYSP13'!P11</f>
        <v>-233</v>
      </c>
      <c r="Q15" s="592">
        <f>'FALL13 vs TYSP13'!Q11</f>
        <v>-908</v>
      </c>
      <c r="R15" s="609">
        <f>'FALL13 vs TYSP13'!R11</f>
        <v>9369.8190458519275</v>
      </c>
      <c r="S15" s="170">
        <f t="shared" si="0"/>
        <v>2016</v>
      </c>
      <c r="T15" s="381">
        <f>'FALL13 vs TYSP13'!T11</f>
        <v>12314</v>
      </c>
      <c r="U15" s="582">
        <f t="shared" si="1"/>
        <v>0.31421961723492187</v>
      </c>
      <c r="V15" s="170"/>
      <c r="W15" s="320">
        <f>'FALL13 vs TYSP13'!W11</f>
        <v>41098360</v>
      </c>
      <c r="X15" s="219">
        <f>W15/(O15*8784)</f>
        <v>0.44513895873640874</v>
      </c>
      <c r="Z15"/>
      <c r="AA15"/>
    </row>
    <row r="16" spans="1:27" s="28" customFormat="1">
      <c r="A16" s="169">
        <v>2017</v>
      </c>
      <c r="B16" s="522">
        <f>'FALL13 vs TYSP13'!B12</f>
        <v>9355</v>
      </c>
      <c r="C16" s="522">
        <f>'FALL13 vs TYSP13'!C12</f>
        <v>233</v>
      </c>
      <c r="D16" s="522">
        <f>'FALL13 vs TYSP13'!D12</f>
        <v>9588</v>
      </c>
      <c r="E16" s="592">
        <f>'FALL13 vs TYSP13'!E12</f>
        <v>-227.51221170246879</v>
      </c>
      <c r="F16" s="522">
        <f>'FALL13 vs TYSP13'!F12</f>
        <v>9360.4877882975306</v>
      </c>
      <c r="G16" s="522">
        <f>'FALL13 vs TYSP13'!G12</f>
        <v>0</v>
      </c>
      <c r="H16" s="605">
        <f>'FALL13 vs TYSP13'!H12</f>
        <v>1000</v>
      </c>
      <c r="I16" s="605">
        <f>'FALL13 vs TYSP13'!I12</f>
        <v>22.61</v>
      </c>
      <c r="J16" s="605">
        <f>'FALL13 vs TYSP13'!J12</f>
        <v>65.05</v>
      </c>
      <c r="K16" s="603">
        <f>'FALL13 vs TYSP13'!K12</f>
        <v>0</v>
      </c>
      <c r="L16" s="522">
        <f>'FALL13 vs TYSP13'!L12</f>
        <v>1087.6600000000001</v>
      </c>
      <c r="M16" s="522">
        <f>'FALL13 vs TYSP13'!M12</f>
        <v>0</v>
      </c>
      <c r="N16" s="522">
        <f>'FALL13 vs TYSP13'!N12</f>
        <v>25</v>
      </c>
      <c r="O16" s="522">
        <f>'FALL13 vs TYSP13'!O12</f>
        <v>10473.14778829753</v>
      </c>
      <c r="P16" s="524">
        <f>'FALL13 vs TYSP13'!P12</f>
        <v>-233</v>
      </c>
      <c r="Q16" s="592">
        <f>'FALL13 vs TYSP13'!Q12</f>
        <v>-942</v>
      </c>
      <c r="R16" s="609">
        <f>'FALL13 vs TYSP13'!R12</f>
        <v>9298.1477882975305</v>
      </c>
      <c r="S16" s="170">
        <f t="shared" si="0"/>
        <v>2017</v>
      </c>
      <c r="T16" s="381">
        <f>'FALL13 vs TYSP13'!T12</f>
        <v>12961</v>
      </c>
      <c r="U16" s="582">
        <f t="shared" si="1"/>
        <v>0.39393353333364578</v>
      </c>
      <c r="V16" s="170"/>
      <c r="W16" s="320">
        <f>'FALL13 vs TYSP13'!W12</f>
        <v>41375353</v>
      </c>
      <c r="X16" s="584">
        <f>W16/(O16*8760)</f>
        <v>0.4509832104215129</v>
      </c>
      <c r="Z16"/>
      <c r="AA16"/>
    </row>
    <row r="17" spans="1:27" s="28" customFormat="1">
      <c r="A17" s="169">
        <v>2018</v>
      </c>
      <c r="B17" s="522">
        <f>'FALL13 vs TYSP13'!B13</f>
        <v>9653</v>
      </c>
      <c r="C17" s="522">
        <f>'FALL13 vs TYSP13'!C13</f>
        <v>240</v>
      </c>
      <c r="D17" s="522">
        <f>'FALL13 vs TYSP13'!D13</f>
        <v>9893</v>
      </c>
      <c r="E17" s="592">
        <f>'FALL13 vs TYSP13'!E13</f>
        <v>-263.71101675815396</v>
      </c>
      <c r="F17" s="522">
        <f>'FALL13 vs TYSP13'!F13</f>
        <v>9629.2889832418459</v>
      </c>
      <c r="G17" s="522">
        <f>'FALL13 vs TYSP13'!G13</f>
        <v>0</v>
      </c>
      <c r="H17" s="605">
        <f>'FALL13 vs TYSP13'!H13</f>
        <v>1000</v>
      </c>
      <c r="I17" s="605">
        <f>'FALL13 vs TYSP13'!I13</f>
        <v>22.8</v>
      </c>
      <c r="J17" s="605">
        <f>'FALL13 vs TYSP13'!J13</f>
        <v>65.05</v>
      </c>
      <c r="K17" s="603">
        <f>'FALL13 vs TYSP13'!K13</f>
        <v>0</v>
      </c>
      <c r="L17" s="522">
        <f>'FALL13 vs TYSP13'!L13</f>
        <v>1087.8499999999999</v>
      </c>
      <c r="M17" s="522">
        <f>'FALL13 vs TYSP13'!M13</f>
        <v>0</v>
      </c>
      <c r="N17" s="522">
        <f>'FALL13 vs TYSP13'!N13</f>
        <v>25</v>
      </c>
      <c r="O17" s="522">
        <f>'FALL13 vs TYSP13'!O13</f>
        <v>10742.138983241846</v>
      </c>
      <c r="P17" s="524">
        <f>'FALL13 vs TYSP13'!P13</f>
        <v>-240</v>
      </c>
      <c r="Q17" s="592">
        <f>'FALL13 vs TYSP13'!Q13</f>
        <v>-958</v>
      </c>
      <c r="R17" s="609">
        <f>'FALL13 vs TYSP13'!R13</f>
        <v>9544.1389832418463</v>
      </c>
      <c r="S17" s="170">
        <f t="shared" si="0"/>
        <v>2018</v>
      </c>
      <c r="T17" s="381">
        <f>'FALL13 vs TYSP13'!T13</f>
        <v>12961</v>
      </c>
      <c r="U17" s="582">
        <f t="shared" si="1"/>
        <v>0.35800620912558756</v>
      </c>
      <c r="W17" s="320">
        <f>'FALL13 vs TYSP13'!W13</f>
        <v>41994588</v>
      </c>
      <c r="X17" s="584">
        <f>W17/(O17*8760)</f>
        <v>0.44627077970269252</v>
      </c>
      <c r="Z17"/>
      <c r="AA17"/>
    </row>
    <row r="18" spans="1:27" s="28" customFormat="1">
      <c r="A18" s="169">
        <v>2019</v>
      </c>
      <c r="B18" s="522">
        <f>'FALL13 vs TYSP13'!B14</f>
        <v>9797</v>
      </c>
      <c r="C18" s="522">
        <f>'FALL13 vs TYSP13'!C14</f>
        <v>283</v>
      </c>
      <c r="D18" s="522">
        <f>'FALL13 vs TYSP13'!D14</f>
        <v>10080</v>
      </c>
      <c r="E18" s="592">
        <f>'FALL13 vs TYSP13'!E14</f>
        <v>-298.13963156105513</v>
      </c>
      <c r="F18" s="522">
        <f>'FALL13 vs TYSP13'!F14</f>
        <v>9781.8603684389454</v>
      </c>
      <c r="G18" s="522">
        <f>'FALL13 vs TYSP13'!G14</f>
        <v>0</v>
      </c>
      <c r="H18" s="605">
        <f>'FALL13 vs TYSP13'!H14</f>
        <v>1000</v>
      </c>
      <c r="I18" s="605">
        <f>'FALL13 vs TYSP13'!I14</f>
        <v>23</v>
      </c>
      <c r="J18" s="605">
        <f>'FALL13 vs TYSP13'!J14</f>
        <v>65.05</v>
      </c>
      <c r="K18" s="603">
        <f>'FALL13 vs TYSP13'!K14</f>
        <v>0</v>
      </c>
      <c r="L18" s="522">
        <f>'FALL13 vs TYSP13'!L14</f>
        <v>1088.05</v>
      </c>
      <c r="M18" s="522">
        <f>'FALL13 vs TYSP13'!M14</f>
        <v>0</v>
      </c>
      <c r="N18" s="522">
        <f>'FALL13 vs TYSP13'!N14</f>
        <v>25</v>
      </c>
      <c r="O18" s="522">
        <f>'FALL13 vs TYSP13'!O14</f>
        <v>10894.910368438945</v>
      </c>
      <c r="P18" s="524">
        <f>'FALL13 vs TYSP13'!P14</f>
        <v>-283</v>
      </c>
      <c r="Q18" s="592">
        <f>'FALL13 vs TYSP13'!Q14</f>
        <v>-973</v>
      </c>
      <c r="R18" s="609">
        <f>'FALL13 vs TYSP13'!R14</f>
        <v>9638.9103684389447</v>
      </c>
      <c r="S18" s="170">
        <f t="shared" si="0"/>
        <v>2019</v>
      </c>
      <c r="T18" s="381">
        <f>'FALL13 vs TYSP13'!T14</f>
        <v>13366</v>
      </c>
      <c r="U18" s="582">
        <f t="shared" si="1"/>
        <v>0.38667126149080167</v>
      </c>
      <c r="W18" s="320">
        <f>'FALL13 vs TYSP13'!W14</f>
        <v>43012927</v>
      </c>
      <c r="X18" s="584">
        <f t="shared" ref="X18:X25" si="2">W18/(O18*8760)</f>
        <v>0.45068305456117358</v>
      </c>
      <c r="Z18"/>
      <c r="AA18"/>
    </row>
    <row r="19" spans="1:27" s="28" customFormat="1">
      <c r="A19" s="169">
        <v>2020</v>
      </c>
      <c r="B19" s="522">
        <f>'FALL13 vs TYSP13'!B15</f>
        <v>9935</v>
      </c>
      <c r="C19" s="522">
        <f>'FALL13 vs TYSP13'!C15</f>
        <v>304</v>
      </c>
      <c r="D19" s="522">
        <f>'FALL13 vs TYSP13'!D15</f>
        <v>10239</v>
      </c>
      <c r="E19" s="592">
        <f>'FALL13 vs TYSP13'!E15</f>
        <v>-338.04279316705367</v>
      </c>
      <c r="F19" s="522">
        <f>'FALL13 vs TYSP13'!F15</f>
        <v>9900.9572068329471</v>
      </c>
      <c r="G19" s="522">
        <f>'FALL13 vs TYSP13'!G15</f>
        <v>0</v>
      </c>
      <c r="H19" s="605">
        <f>'FALL13 vs TYSP13'!H15</f>
        <v>1250</v>
      </c>
      <c r="I19" s="605">
        <f>'FALL13 vs TYSP13'!I15</f>
        <v>23.19</v>
      </c>
      <c r="J19" s="605">
        <f>'FALL13 vs TYSP13'!J15</f>
        <v>65.05</v>
      </c>
      <c r="K19" s="603">
        <f>'FALL13 vs TYSP13'!K15</f>
        <v>0</v>
      </c>
      <c r="L19" s="522">
        <f>'FALL13 vs TYSP13'!L15</f>
        <v>1338.24</v>
      </c>
      <c r="M19" s="522">
        <f>'FALL13 vs TYSP13'!M15</f>
        <v>0</v>
      </c>
      <c r="N19" s="522">
        <f>'FALL13 vs TYSP13'!N15</f>
        <v>25</v>
      </c>
      <c r="O19" s="522">
        <f>'FALL13 vs TYSP13'!O15</f>
        <v>11264.197206832947</v>
      </c>
      <c r="P19" s="524">
        <f>'FALL13 vs TYSP13'!P15</f>
        <v>-304</v>
      </c>
      <c r="Q19" s="592">
        <f>'FALL13 vs TYSP13'!Q15</f>
        <v>-989</v>
      </c>
      <c r="R19" s="609">
        <f>'FALL13 vs TYSP13'!R15</f>
        <v>9971.1972068329469</v>
      </c>
      <c r="S19" s="170">
        <f t="shared" si="0"/>
        <v>2020</v>
      </c>
      <c r="T19" s="381">
        <f>'FALL13 vs TYSP13'!T15</f>
        <v>13366</v>
      </c>
      <c r="U19" s="582">
        <f t="shared" si="1"/>
        <v>0.34046090181033639</v>
      </c>
      <c r="W19" s="320">
        <f>'FALL13 vs TYSP13'!W15</f>
        <v>43997632</v>
      </c>
      <c r="X19" s="584">
        <f t="shared" si="2"/>
        <v>0.44588714476224584</v>
      </c>
      <c r="Z19"/>
      <c r="AA19"/>
    </row>
    <row r="20" spans="1:27" s="28" customFormat="1">
      <c r="A20" s="169">
        <v>2021</v>
      </c>
      <c r="B20" s="522">
        <f>'FALL13 vs TYSP13'!B16</f>
        <v>10071</v>
      </c>
      <c r="C20" s="522">
        <f>'FALL13 vs TYSP13'!C16</f>
        <v>305</v>
      </c>
      <c r="D20" s="522">
        <f>'FALL13 vs TYSP13'!D16</f>
        <v>10376</v>
      </c>
      <c r="E20" s="592">
        <f>'FALL13 vs TYSP13'!E16</f>
        <v>-372.35090633280845</v>
      </c>
      <c r="F20" s="522">
        <f>'FALL13 vs TYSP13'!F16</f>
        <v>10003.649093667191</v>
      </c>
      <c r="G20" s="522">
        <f>'FALL13 vs TYSP13'!G16</f>
        <v>0</v>
      </c>
      <c r="H20" s="605">
        <f>'FALL13 vs TYSP13'!H16</f>
        <v>1250</v>
      </c>
      <c r="I20" s="605">
        <f>'FALL13 vs TYSP13'!I16</f>
        <v>23.290000000000003</v>
      </c>
      <c r="J20" s="605">
        <f>'FALL13 vs TYSP13'!J16</f>
        <v>65.05</v>
      </c>
      <c r="K20" s="603">
        <f>'FALL13 vs TYSP13'!K16</f>
        <v>0</v>
      </c>
      <c r="L20" s="522">
        <f>'FALL13 vs TYSP13'!L16</f>
        <v>1338.34</v>
      </c>
      <c r="M20" s="522">
        <f>'FALL13 vs TYSP13'!M16</f>
        <v>0</v>
      </c>
      <c r="N20" s="522">
        <f>'FALL13 vs TYSP13'!N16</f>
        <v>25</v>
      </c>
      <c r="O20" s="522">
        <f>'FALL13 vs TYSP13'!O16</f>
        <v>11366.989093667191</v>
      </c>
      <c r="P20" s="524">
        <f>'FALL13 vs TYSP13'!P16</f>
        <v>-305</v>
      </c>
      <c r="Q20" s="592">
        <f>'FALL13 vs TYSP13'!Q16</f>
        <v>-1003</v>
      </c>
      <c r="R20" s="609">
        <f>'FALL13 vs TYSP13'!R16</f>
        <v>10058.989093667191</v>
      </c>
      <c r="S20" s="170">
        <f t="shared" si="0"/>
        <v>2021</v>
      </c>
      <c r="T20" s="381">
        <f>'FALL13 vs TYSP13'!T16</f>
        <v>13693</v>
      </c>
      <c r="U20" s="1073">
        <f t="shared" si="1"/>
        <v>0.36126999169535456</v>
      </c>
      <c r="W20" s="320">
        <f>'FALL13 vs TYSP13'!W16</f>
        <v>44418922</v>
      </c>
      <c r="X20" s="584">
        <f t="shared" si="2"/>
        <v>0.4460858679957746</v>
      </c>
      <c r="Z20" s="585"/>
      <c r="AA20" s="331"/>
    </row>
    <row r="21" spans="1:27" s="28" customFormat="1">
      <c r="A21" s="169">
        <v>2022</v>
      </c>
      <c r="B21" s="522">
        <f>'FALL13 vs TYSP13'!B17</f>
        <v>10202</v>
      </c>
      <c r="C21" s="522">
        <f>'FALL13 vs TYSP13'!C17</f>
        <v>305</v>
      </c>
      <c r="D21" s="522">
        <f>'FALL13 vs TYSP13'!D17</f>
        <v>10507</v>
      </c>
      <c r="E21" s="592">
        <f>'FALL13 vs TYSP13'!E17</f>
        <v>-404.77052514781542</v>
      </c>
      <c r="F21" s="522">
        <f>'FALL13 vs TYSP13'!F17</f>
        <v>10102.229474852185</v>
      </c>
      <c r="G21" s="522">
        <f>'FALL13 vs TYSP13'!G17</f>
        <v>0</v>
      </c>
      <c r="H21" s="605">
        <f>'FALL13 vs TYSP13'!H17</f>
        <v>1250</v>
      </c>
      <c r="I21" s="605">
        <f>'FALL13 vs TYSP13'!I17</f>
        <v>23.48</v>
      </c>
      <c r="J21" s="605">
        <f>'FALL13 vs TYSP13'!J17</f>
        <v>65.05</v>
      </c>
      <c r="K21" s="603">
        <f>'FALL13 vs TYSP13'!K17</f>
        <v>0</v>
      </c>
      <c r="L21" s="522">
        <f>'FALL13 vs TYSP13'!L17</f>
        <v>1338.53</v>
      </c>
      <c r="M21" s="522">
        <f>'FALL13 vs TYSP13'!M17</f>
        <v>0</v>
      </c>
      <c r="N21" s="522">
        <f>'FALL13 vs TYSP13'!N17</f>
        <v>25</v>
      </c>
      <c r="O21" s="522">
        <f>'FALL13 vs TYSP13'!O17</f>
        <v>11465.759474852186</v>
      </c>
      <c r="P21" s="524">
        <f>'FALL13 vs TYSP13'!P17</f>
        <v>-305</v>
      </c>
      <c r="Q21" s="592">
        <f>'FALL13 vs TYSP13'!Q17</f>
        <v>-1017</v>
      </c>
      <c r="R21" s="609">
        <f>'FALL13 vs TYSP13'!R17</f>
        <v>10143.759474852186</v>
      </c>
      <c r="S21" s="170">
        <f t="shared" si="0"/>
        <v>2022</v>
      </c>
      <c r="T21" s="381">
        <f>'FALL13 vs TYSP13'!T17</f>
        <v>13693</v>
      </c>
      <c r="U21" s="1073">
        <f t="shared" si="1"/>
        <v>0.34989399481985783</v>
      </c>
      <c r="W21" s="320">
        <f>'FALL13 vs TYSP13'!W17</f>
        <v>44869748</v>
      </c>
      <c r="X21" s="584">
        <f t="shared" si="2"/>
        <v>0.44673162408757111</v>
      </c>
      <c r="Z21" s="585"/>
      <c r="AA21" s="331"/>
    </row>
    <row r="22" spans="1:27" s="28" customFormat="1">
      <c r="A22" s="169">
        <v>2023</v>
      </c>
      <c r="B22" s="522">
        <f>'FALL13 vs TYSP13'!B18</f>
        <v>10327</v>
      </c>
      <c r="C22" s="522">
        <f>'FALL13 vs TYSP13'!C18</f>
        <v>305</v>
      </c>
      <c r="D22" s="522">
        <f>'FALL13 vs TYSP13'!D18</f>
        <v>10632</v>
      </c>
      <c r="E22" s="592">
        <f>'FALL13 vs TYSP13'!E18</f>
        <v>-435.30401203496888</v>
      </c>
      <c r="F22" s="522">
        <f>'FALL13 vs TYSP13'!F18</f>
        <v>10196.695987965031</v>
      </c>
      <c r="G22" s="522">
        <f>'FALL13 vs TYSP13'!G18</f>
        <v>0</v>
      </c>
      <c r="H22" s="605">
        <f>'FALL13 vs TYSP13'!H18</f>
        <v>1250</v>
      </c>
      <c r="I22" s="605">
        <f>'FALL13 vs TYSP13'!I18</f>
        <v>23.67</v>
      </c>
      <c r="J22" s="605">
        <f>'FALL13 vs TYSP13'!J18</f>
        <v>65.05</v>
      </c>
      <c r="K22" s="603">
        <f>'FALL13 vs TYSP13'!K18</f>
        <v>0</v>
      </c>
      <c r="L22" s="522">
        <f>'FALL13 vs TYSP13'!L18</f>
        <v>1338.72</v>
      </c>
      <c r="M22" s="522">
        <f>'FALL13 vs TYSP13'!M18</f>
        <v>0</v>
      </c>
      <c r="N22" s="522">
        <f>'FALL13 vs TYSP13'!N18</f>
        <v>25</v>
      </c>
      <c r="O22" s="522">
        <f>'FALL13 vs TYSP13'!O18</f>
        <v>11560.415987965031</v>
      </c>
      <c r="P22" s="524">
        <f>'FALL13 vs TYSP13'!P18</f>
        <v>-305</v>
      </c>
      <c r="Q22" s="592">
        <f>'FALL13 vs TYSP13'!Q18</f>
        <v>-1031</v>
      </c>
      <c r="R22" s="609">
        <f>'FALL13 vs TYSP13'!R18</f>
        <v>10224.415987965031</v>
      </c>
      <c r="S22" s="170">
        <f t="shared" si="0"/>
        <v>2023</v>
      </c>
      <c r="T22" s="381">
        <f>'FALL13 vs TYSP13'!T18</f>
        <v>13693</v>
      </c>
      <c r="U22" s="1073">
        <f t="shared" si="1"/>
        <v>0.33924519660758867</v>
      </c>
      <c r="W22" s="320">
        <f>'FALL13 vs TYSP13'!W18</f>
        <v>45458815</v>
      </c>
      <c r="X22" s="584">
        <f t="shared" si="2"/>
        <v>0.44889063233751791</v>
      </c>
      <c r="Z22" s="585"/>
      <c r="AA22" s="331"/>
    </row>
    <row r="23" spans="1:27" s="28" customFormat="1">
      <c r="A23" s="169">
        <v>2024</v>
      </c>
      <c r="B23" s="522">
        <f>'FALL13 vs TYSP13'!B19</f>
        <v>10447</v>
      </c>
      <c r="C23" s="522">
        <f>'FALL13 vs TYSP13'!C19</f>
        <v>304</v>
      </c>
      <c r="D23" s="522">
        <f>'FALL13 vs TYSP13'!D19</f>
        <v>10751</v>
      </c>
      <c r="E23" s="592">
        <f>'FALL13 vs TYSP13'!E19</f>
        <v>-465.4395962377672</v>
      </c>
      <c r="F23" s="522">
        <f>'FALL13 vs TYSP13'!F19</f>
        <v>10285.560403762232</v>
      </c>
      <c r="G23" s="522">
        <f>'FALL13 vs TYSP13'!G19</f>
        <v>0</v>
      </c>
      <c r="H23" s="605">
        <f>'FALL13 vs TYSP13'!H19</f>
        <v>1250</v>
      </c>
      <c r="I23" s="605">
        <f>'FALL13 vs TYSP13'!I19</f>
        <v>23.77</v>
      </c>
      <c r="J23" s="605">
        <f>'FALL13 vs TYSP13'!J19</f>
        <v>65.05</v>
      </c>
      <c r="K23" s="603">
        <f>'FALL13 vs TYSP13'!K19</f>
        <v>0</v>
      </c>
      <c r="L23" s="522">
        <f>'FALL13 vs TYSP13'!L19</f>
        <v>1338.82</v>
      </c>
      <c r="M23" s="522">
        <f>'FALL13 vs TYSP13'!M19</f>
        <v>0</v>
      </c>
      <c r="N23" s="522">
        <f>'FALL13 vs TYSP13'!N19</f>
        <v>25</v>
      </c>
      <c r="O23" s="522">
        <f>'FALL13 vs TYSP13'!O19</f>
        <v>11649.380403762232</v>
      </c>
      <c r="P23" s="524">
        <f>'FALL13 vs TYSP13'!P19</f>
        <v>-304</v>
      </c>
      <c r="Q23" s="592">
        <f>'FALL13 vs TYSP13'!Q19</f>
        <v>-1047</v>
      </c>
      <c r="R23" s="609">
        <f>'FALL13 vs TYSP13'!R19</f>
        <v>10298.380403762232</v>
      </c>
      <c r="S23" s="170">
        <f t="shared" si="0"/>
        <v>2024</v>
      </c>
      <c r="T23" s="381">
        <f>'FALL13 vs TYSP13'!T19</f>
        <v>13693</v>
      </c>
      <c r="U23" s="1073">
        <f t="shared" si="1"/>
        <v>0.32962654933562519</v>
      </c>
      <c r="W23" s="320">
        <f>'FALL13 vs TYSP13'!W19</f>
        <v>46001731</v>
      </c>
      <c r="X23" s="584">
        <f t="shared" si="2"/>
        <v>0.45078270030182827</v>
      </c>
      <c r="Z23" s="585"/>
      <c r="AA23" s="331"/>
    </row>
    <row r="24" spans="1:27" s="28" customFormat="1">
      <c r="A24" s="169">
        <v>2025</v>
      </c>
      <c r="B24" s="522">
        <f>'FALL13 vs TYSP13'!B20</f>
        <v>10562</v>
      </c>
      <c r="C24" s="522">
        <f>'FALL13 vs TYSP13'!C20</f>
        <v>305</v>
      </c>
      <c r="D24" s="522">
        <f>'FALL13 vs TYSP13'!D20</f>
        <v>10867</v>
      </c>
      <c r="E24" s="592">
        <f>'FALL13 vs TYSP13'!E20</f>
        <v>-495.36469045922797</v>
      </c>
      <c r="F24" s="522">
        <f>'FALL13 vs TYSP13'!F20</f>
        <v>10371.635309540772</v>
      </c>
      <c r="G24" s="522">
        <f>'FALL13 vs TYSP13'!G20</f>
        <v>0</v>
      </c>
      <c r="H24" s="605">
        <f>'FALL13 vs TYSP13'!H20</f>
        <v>1250</v>
      </c>
      <c r="I24" s="605">
        <f>'FALL13 vs TYSP13'!I20</f>
        <v>23.950000000000003</v>
      </c>
      <c r="J24" s="605">
        <f>'FALL13 vs TYSP13'!J20</f>
        <v>65.05</v>
      </c>
      <c r="K24" s="603">
        <f>'FALL13 vs TYSP13'!K20</f>
        <v>0</v>
      </c>
      <c r="L24" s="522">
        <f>'FALL13 vs TYSP13'!L20</f>
        <v>1339</v>
      </c>
      <c r="M24" s="522">
        <f>'FALL13 vs TYSP13'!M20</f>
        <v>0</v>
      </c>
      <c r="N24" s="522">
        <f>'FALL13 vs TYSP13'!N20</f>
        <v>25</v>
      </c>
      <c r="O24" s="522">
        <f>'FALL13 vs TYSP13'!O20</f>
        <v>11735.635309540772</v>
      </c>
      <c r="P24" s="524">
        <f>'FALL13 vs TYSP13'!P20</f>
        <v>-305</v>
      </c>
      <c r="Q24" s="592">
        <f>'FALL13 vs TYSP13'!Q20</f>
        <v>-1061</v>
      </c>
      <c r="R24" s="609">
        <f>'FALL13 vs TYSP13'!R20</f>
        <v>10369.635309540772</v>
      </c>
      <c r="S24" s="170">
        <f t="shared" si="0"/>
        <v>2025</v>
      </c>
      <c r="T24" s="381">
        <f>'FALL13 vs TYSP13'!T20</f>
        <v>13693</v>
      </c>
      <c r="U24" s="1073">
        <f t="shared" si="1"/>
        <v>0.32049002604763799</v>
      </c>
      <c r="W24" s="320">
        <f>'FALL13 vs TYSP13'!W20</f>
        <v>46377403</v>
      </c>
      <c r="X24" s="584">
        <f t="shared" si="2"/>
        <v>0.45112377362765538</v>
      </c>
      <c r="Z24" s="585"/>
      <c r="AA24" s="331"/>
    </row>
    <row r="25" spans="1:27" s="28" customFormat="1">
      <c r="A25" s="169">
        <v>2026</v>
      </c>
      <c r="B25" s="522">
        <f>'FALL13 vs TYSP13'!B21</f>
        <v>10672</v>
      </c>
      <c r="C25" s="522">
        <f>'FALL13 vs TYSP13'!C21</f>
        <v>305</v>
      </c>
      <c r="D25" s="522">
        <f>'FALL13 vs TYSP13'!D21</f>
        <v>10977</v>
      </c>
      <c r="E25" s="592">
        <f>'FALL13 vs TYSP13'!E21</f>
        <v>-523.99936897181931</v>
      </c>
      <c r="F25" s="522">
        <f>'FALL13 vs TYSP13'!F21</f>
        <v>10453.000631028181</v>
      </c>
      <c r="G25" s="522">
        <f>'FALL13 vs TYSP13'!G21</f>
        <v>0</v>
      </c>
      <c r="H25" s="605">
        <f>'FALL13 vs TYSP13'!H21</f>
        <v>1250</v>
      </c>
      <c r="I25" s="605">
        <f>'FALL13 vs TYSP13'!I21</f>
        <v>24.14</v>
      </c>
      <c r="J25" s="605">
        <f>'FALL13 vs TYSP13'!J21</f>
        <v>65.05</v>
      </c>
      <c r="K25" s="603">
        <f>'FALL13 vs TYSP13'!K21</f>
        <v>0</v>
      </c>
      <c r="L25" s="522">
        <f>'FALL13 vs TYSP13'!L21</f>
        <v>1339.19</v>
      </c>
      <c r="M25" s="522">
        <f>'FALL13 vs TYSP13'!M21</f>
        <v>0</v>
      </c>
      <c r="N25" s="522">
        <f>'FALL13 vs TYSP13'!N21</f>
        <v>25</v>
      </c>
      <c r="O25" s="522">
        <f>'FALL13 vs TYSP13'!O21</f>
        <v>11817.190631028181</v>
      </c>
      <c r="P25" s="524">
        <f>'FALL13 vs TYSP13'!P21</f>
        <v>-305</v>
      </c>
      <c r="Q25" s="592">
        <f>'FALL13 vs TYSP13'!Q21</f>
        <v>-1075</v>
      </c>
      <c r="R25" s="609">
        <f>'FALL13 vs TYSP13'!R21</f>
        <v>10437.190631028181</v>
      </c>
      <c r="S25" s="170">
        <f t="shared" si="0"/>
        <v>2026</v>
      </c>
      <c r="T25" s="381">
        <f>'FALL13 vs TYSP13'!T21</f>
        <v>13693</v>
      </c>
      <c r="U25" s="1073">
        <f t="shared" si="1"/>
        <v>0.31194307779459285</v>
      </c>
      <c r="W25" s="320">
        <f>'FALL13 vs TYSP13'!W21</f>
        <v>46949423</v>
      </c>
      <c r="X25" s="584">
        <f t="shared" si="2"/>
        <v>0.45353615261512154</v>
      </c>
      <c r="Z25" s="585"/>
      <c r="AA25" s="331"/>
    </row>
    <row r="26" spans="1:27" s="28" customFormat="1">
      <c r="A26" s="169">
        <v>2027</v>
      </c>
      <c r="B26" s="522">
        <f>'FALL13 vs TYSP13'!B22</f>
        <v>10777</v>
      </c>
      <c r="C26" s="522">
        <f>'FALL13 vs TYSP13'!C22</f>
        <v>305</v>
      </c>
      <c r="D26" s="522">
        <f>'FALL13 vs TYSP13'!D22</f>
        <v>11082</v>
      </c>
      <c r="E26" s="592">
        <f>'FALL13 vs TYSP13'!E22</f>
        <v>-551.61282924684144</v>
      </c>
      <c r="F26" s="522">
        <f>'FALL13 vs TYSP13'!F22</f>
        <v>10530.387170753158</v>
      </c>
      <c r="G26" s="522">
        <f>'FALL13 vs TYSP13'!G22</f>
        <v>0</v>
      </c>
      <c r="H26" s="605">
        <f>'FALL13 vs TYSP13'!H22</f>
        <v>1250</v>
      </c>
      <c r="I26" s="605">
        <f>'FALL13 vs TYSP13'!I22</f>
        <v>24.330000000000002</v>
      </c>
      <c r="J26" s="605">
        <f>'FALL13 vs TYSP13'!J22</f>
        <v>65.05</v>
      </c>
      <c r="K26" s="603">
        <f>'FALL13 vs TYSP13'!K22</f>
        <v>0</v>
      </c>
      <c r="L26" s="522">
        <f>'FALL13 vs TYSP13'!L22</f>
        <v>1339.3799999999999</v>
      </c>
      <c r="M26" s="522">
        <f>'FALL13 vs TYSP13'!M22</f>
        <v>0</v>
      </c>
      <c r="N26" s="522">
        <f>'FALL13 vs TYSP13'!N22</f>
        <v>25</v>
      </c>
      <c r="O26" s="522">
        <f>'FALL13 vs TYSP13'!O22</f>
        <v>11894.767170753157</v>
      </c>
      <c r="P26" s="524">
        <f>'FALL13 vs TYSP13'!P22</f>
        <v>-305</v>
      </c>
      <c r="Q26" s="592">
        <f>'FALL13 vs TYSP13'!Q22</f>
        <v>-1089</v>
      </c>
      <c r="R26" s="609">
        <f>'FALL13 vs TYSP13'!R22</f>
        <v>10500.767170753157</v>
      </c>
      <c r="S26" s="170"/>
      <c r="T26" s="524"/>
      <c r="U26" s="583"/>
      <c r="W26" s="320"/>
      <c r="X26" s="584"/>
    </row>
    <row r="27" spans="1:27" s="28" customFormat="1">
      <c r="A27" s="169">
        <v>2028</v>
      </c>
      <c r="B27" s="522">
        <f>'FALL13 vs TYSP13'!B23</f>
        <v>10881</v>
      </c>
      <c r="C27" s="522">
        <f>'FALL13 vs TYSP13'!C23</f>
        <v>304</v>
      </c>
      <c r="D27" s="522">
        <f>'FALL13 vs TYSP13'!D23</f>
        <v>11185</v>
      </c>
      <c r="E27" s="592">
        <f>'FALL13 vs TYSP13'!E23</f>
        <v>-578.36118098466602</v>
      </c>
      <c r="F27" s="522">
        <f>'FALL13 vs TYSP13'!F23</f>
        <v>10606.638819015334</v>
      </c>
      <c r="G27" s="522">
        <f>'FALL13 vs TYSP13'!G23</f>
        <v>0</v>
      </c>
      <c r="H27" s="605">
        <f>'FALL13 vs TYSP13'!H23</f>
        <v>1250</v>
      </c>
      <c r="I27" s="605">
        <f>'FALL13 vs TYSP13'!I23</f>
        <v>24.52</v>
      </c>
      <c r="J27" s="605">
        <f>'FALL13 vs TYSP13'!J23</f>
        <v>65.05</v>
      </c>
      <c r="K27" s="603">
        <f>'FALL13 vs TYSP13'!K23</f>
        <v>0</v>
      </c>
      <c r="L27" s="522">
        <f>'FALL13 vs TYSP13'!L23</f>
        <v>1339.57</v>
      </c>
      <c r="M27" s="522">
        <f>'FALL13 vs TYSP13'!M23</f>
        <v>0</v>
      </c>
      <c r="N27" s="522">
        <f>'FALL13 vs TYSP13'!N23</f>
        <v>25</v>
      </c>
      <c r="O27" s="522">
        <f>'FALL13 vs TYSP13'!O23</f>
        <v>11971.208819015334</v>
      </c>
      <c r="P27" s="524">
        <f>'FALL13 vs TYSP13'!P23</f>
        <v>-304</v>
      </c>
      <c r="Q27" s="592">
        <f>'FALL13 vs TYSP13'!Q23</f>
        <v>-1104</v>
      </c>
      <c r="R27" s="609">
        <f>'FALL13 vs TYSP13'!R23</f>
        <v>10563.208819015334</v>
      </c>
      <c r="S27" s="170"/>
      <c r="T27" s="524"/>
      <c r="U27" s="583"/>
      <c r="W27" s="320"/>
      <c r="X27" s="584"/>
    </row>
    <row r="28" spans="1:27" s="28" customFormat="1">
      <c r="A28" s="169">
        <v>2029</v>
      </c>
      <c r="B28" s="522">
        <f>'FALL13 vs TYSP13'!B24</f>
        <v>10982</v>
      </c>
      <c r="C28" s="522">
        <f>'FALL13 vs TYSP13'!C24</f>
        <v>305</v>
      </c>
      <c r="D28" s="522">
        <f>'FALL13 vs TYSP13'!D24</f>
        <v>11287</v>
      </c>
      <c r="E28" s="592">
        <f>'FALL13 vs TYSP13'!E24</f>
        <v>-604.4282083956117</v>
      </c>
      <c r="F28" s="522">
        <f>'FALL13 vs TYSP13'!F24</f>
        <v>10682.571791604389</v>
      </c>
      <c r="G28" s="522">
        <f>'FALL13 vs TYSP13'!G24</f>
        <v>0</v>
      </c>
      <c r="H28" s="605">
        <f>'FALL13 vs TYSP13'!H24</f>
        <v>1250</v>
      </c>
      <c r="I28" s="605">
        <f>'FALL13 vs TYSP13'!I24</f>
        <v>24.71</v>
      </c>
      <c r="J28" s="605">
        <f>'FALL13 vs TYSP13'!J24</f>
        <v>65.05</v>
      </c>
      <c r="K28" s="603">
        <f>'FALL13 vs TYSP13'!K24</f>
        <v>0</v>
      </c>
      <c r="L28" s="522">
        <f>'FALL13 vs TYSP13'!L24</f>
        <v>1339.76</v>
      </c>
      <c r="M28" s="522">
        <f>'FALL13 vs TYSP13'!M24</f>
        <v>0</v>
      </c>
      <c r="N28" s="522">
        <f>'FALL13 vs TYSP13'!N24</f>
        <v>25</v>
      </c>
      <c r="O28" s="522">
        <f>'FALL13 vs TYSP13'!O24</f>
        <v>12047.331791604389</v>
      </c>
      <c r="P28" s="524">
        <f>'FALL13 vs TYSP13'!P24</f>
        <v>-305</v>
      </c>
      <c r="Q28" s="592">
        <f>'FALL13 vs TYSP13'!Q24</f>
        <v>-1118</v>
      </c>
      <c r="R28" s="609">
        <f>'FALL13 vs TYSP13'!R24</f>
        <v>10624.331791604389</v>
      </c>
      <c r="S28" s="170"/>
      <c r="T28" s="524"/>
      <c r="U28" s="583"/>
      <c r="W28" s="320"/>
      <c r="X28" s="584"/>
    </row>
    <row r="29" spans="1:27" s="28" customFormat="1">
      <c r="A29" s="168">
        <v>2030</v>
      </c>
      <c r="B29" s="523">
        <f>'FALL13 vs TYSP13'!B25</f>
        <v>11079</v>
      </c>
      <c r="C29" s="523">
        <f>'FALL13 vs TYSP13'!C25</f>
        <v>305</v>
      </c>
      <c r="D29" s="523">
        <f>'FALL13 vs TYSP13'!D25</f>
        <v>11384</v>
      </c>
      <c r="E29" s="598">
        <f>'FALL13 vs TYSP13'!E25</f>
        <v>-629.76289558402357</v>
      </c>
      <c r="F29" s="523">
        <f>'FALL13 vs TYSP13'!F25</f>
        <v>10754.237104415977</v>
      </c>
      <c r="G29" s="523">
        <f>'FALL13 vs TYSP13'!G25</f>
        <v>0</v>
      </c>
      <c r="H29" s="606">
        <f>'FALL13 vs TYSP13'!H25</f>
        <v>1250</v>
      </c>
      <c r="I29" s="606">
        <f>'FALL13 vs TYSP13'!I25</f>
        <v>24.810000000000002</v>
      </c>
      <c r="J29" s="606">
        <f>'FALL13 vs TYSP13'!J25</f>
        <v>65.05</v>
      </c>
      <c r="K29" s="604">
        <f>'FALL13 vs TYSP13'!K25</f>
        <v>0</v>
      </c>
      <c r="L29" s="523">
        <f>'FALL13 vs TYSP13'!L25</f>
        <v>1339.86</v>
      </c>
      <c r="M29" s="523">
        <f>'FALL13 vs TYSP13'!M25</f>
        <v>0</v>
      </c>
      <c r="N29" s="523">
        <f>'FALL13 vs TYSP13'!N25</f>
        <v>25</v>
      </c>
      <c r="O29" s="523">
        <f>'FALL13 vs TYSP13'!O25</f>
        <v>12119.097104415978</v>
      </c>
      <c r="P29" s="525">
        <f>'FALL13 vs TYSP13'!P25</f>
        <v>-305</v>
      </c>
      <c r="Q29" s="598">
        <f>'FALL13 vs TYSP13'!Q25</f>
        <v>-1131</v>
      </c>
      <c r="R29" s="610">
        <f>'FALL13 vs TYSP13'!R25</f>
        <v>10683.097104415978</v>
      </c>
      <c r="S29" s="170"/>
      <c r="T29" s="524"/>
      <c r="U29" s="583"/>
      <c r="W29" s="320"/>
      <c r="X29" s="584"/>
    </row>
    <row r="30" spans="1:27" s="28" customFormat="1">
      <c r="A30" s="170"/>
      <c r="B30" s="190"/>
      <c r="C30" s="190"/>
      <c r="D30" s="190"/>
      <c r="E30" s="190"/>
      <c r="F30" s="190"/>
      <c r="G30" s="190"/>
      <c r="H30" s="529"/>
      <c r="I30" s="529"/>
      <c r="J30" s="529"/>
      <c r="K30" s="439"/>
      <c r="L30" s="190"/>
      <c r="M30" s="190"/>
      <c r="N30" s="522"/>
      <c r="O30" s="190"/>
      <c r="P30" s="171"/>
      <c r="Q30" s="190"/>
      <c r="R30" s="190"/>
      <c r="S30" s="170"/>
      <c r="T30" s="524"/>
      <c r="U30" s="583"/>
      <c r="W30" s="320"/>
      <c r="X30" s="584"/>
    </row>
    <row r="31" spans="1:27" ht="13.5" thickBot="1">
      <c r="A31" s="1653" t="s">
        <v>559</v>
      </c>
      <c r="B31" s="1654"/>
      <c r="C31" s="1654"/>
      <c r="D31" s="1654"/>
      <c r="E31" s="1654"/>
      <c r="F31" s="1654"/>
      <c r="G31" s="1654"/>
      <c r="H31" s="1654"/>
      <c r="I31" s="1654"/>
      <c r="J31" s="1654"/>
      <c r="K31" s="1654"/>
      <c r="L31" s="1654"/>
      <c r="M31" s="1654"/>
      <c r="N31" s="1654"/>
      <c r="O31" s="1654"/>
      <c r="P31" s="1654"/>
      <c r="Q31" s="1654"/>
      <c r="R31" s="1655"/>
      <c r="S31" s="28"/>
    </row>
    <row r="32" spans="1:27" ht="13.5" thickBot="1">
      <c r="A32" s="166"/>
      <c r="B32" s="520" t="s">
        <v>116</v>
      </c>
      <c r="C32" s="520"/>
      <c r="D32" s="520"/>
      <c r="F32" s="520" t="s">
        <v>21</v>
      </c>
      <c r="G32" s="520"/>
      <c r="H32" s="520"/>
      <c r="I32" s="520"/>
      <c r="J32" s="520"/>
      <c r="K32" s="520"/>
      <c r="L32" s="520"/>
      <c r="M32" s="520"/>
      <c r="N32" s="520"/>
      <c r="O32" s="520" t="str">
        <f>F32</f>
        <v>Total</v>
      </c>
      <c r="P32" s="520"/>
      <c r="Q32" s="520"/>
      <c r="R32" s="612"/>
      <c r="S32" s="28"/>
      <c r="T32" s="1647" t="s">
        <v>262</v>
      </c>
      <c r="U32" s="1648"/>
      <c r="V32" s="1648"/>
      <c r="W32" s="1648"/>
      <c r="X32" s="1649"/>
    </row>
    <row r="33" spans="1:27">
      <c r="A33" s="167"/>
      <c r="B33" s="170" t="s">
        <v>117</v>
      </c>
      <c r="C33" s="170"/>
      <c r="D33" s="170" t="s">
        <v>120</v>
      </c>
      <c r="E33" s="28"/>
      <c r="F33" s="170" t="s">
        <v>118</v>
      </c>
      <c r="G33" s="170"/>
      <c r="H33" s="1632" t="s">
        <v>123</v>
      </c>
      <c r="I33" s="1633"/>
      <c r="J33" s="1633"/>
      <c r="K33" s="1633"/>
      <c r="L33" s="1634"/>
      <c r="M33" s="170"/>
      <c r="N33" s="521"/>
      <c r="O33" s="170" t="s">
        <v>125</v>
      </c>
      <c r="P33" s="170"/>
      <c r="Q33" s="170"/>
      <c r="R33" s="613" t="s">
        <v>21</v>
      </c>
      <c r="S33" s="28"/>
      <c r="T33" s="890" t="str">
        <f>'FALL13 vs TYSP13'!T29</f>
        <v>TYSP13</v>
      </c>
    </row>
    <row r="34" spans="1:27">
      <c r="A34" s="167"/>
      <c r="B34" s="170" t="s">
        <v>118</v>
      </c>
      <c r="C34" s="170" t="s">
        <v>118</v>
      </c>
      <c r="D34" s="170" t="s">
        <v>21</v>
      </c>
      <c r="E34" s="591" t="s">
        <v>121</v>
      </c>
      <c r="F34" s="170" t="s">
        <v>122</v>
      </c>
      <c r="G34" s="170"/>
      <c r="H34" s="520" t="s">
        <v>21</v>
      </c>
      <c r="I34" s="520" t="s">
        <v>288</v>
      </c>
      <c r="J34" s="520"/>
      <c r="K34" s="706" t="s">
        <v>349</v>
      </c>
      <c r="L34" s="520"/>
      <c r="M34" s="170"/>
      <c r="N34" s="170" t="s">
        <v>264</v>
      </c>
      <c r="O34" s="170" t="str">
        <f>F34</f>
        <v>before</v>
      </c>
      <c r="P34" s="170" t="s">
        <v>21</v>
      </c>
      <c r="Q34" s="521" t="s">
        <v>147</v>
      </c>
      <c r="R34" s="613" t="s">
        <v>125</v>
      </c>
      <c r="S34" s="28"/>
      <c r="T34" s="964" t="s">
        <v>222</v>
      </c>
      <c r="V34" s="964"/>
      <c r="X34" s="964" t="s">
        <v>352</v>
      </c>
    </row>
    <row r="35" spans="1:27">
      <c r="A35" s="168" t="s">
        <v>126</v>
      </c>
      <c r="B35" s="519" t="s">
        <v>119</v>
      </c>
      <c r="C35" s="519" t="s">
        <v>66</v>
      </c>
      <c r="D35" s="519" t="s">
        <v>118</v>
      </c>
      <c r="E35" s="731" t="s">
        <v>59</v>
      </c>
      <c r="F35" s="519" t="s">
        <v>62</v>
      </c>
      <c r="G35" s="519"/>
      <c r="H35" s="586" t="s">
        <v>154</v>
      </c>
      <c r="I35" s="586" t="s">
        <v>286</v>
      </c>
      <c r="J35" s="519" t="s">
        <v>287</v>
      </c>
      <c r="K35" s="705" t="s">
        <v>117</v>
      </c>
      <c r="L35" s="519" t="s">
        <v>0</v>
      </c>
      <c r="M35" s="519"/>
      <c r="N35" s="519" t="s">
        <v>124</v>
      </c>
      <c r="O35" s="519" t="str">
        <f>F35</f>
        <v>DLC</v>
      </c>
      <c r="P35" s="519" t="s">
        <v>66</v>
      </c>
      <c r="Q35" s="519" t="s">
        <v>131</v>
      </c>
      <c r="R35" s="614" t="s">
        <v>117</v>
      </c>
      <c r="S35" s="448" t="s">
        <v>126</v>
      </c>
      <c r="T35" s="445" t="s">
        <v>221</v>
      </c>
      <c r="U35" s="446" t="s">
        <v>223</v>
      </c>
      <c r="V35" s="445"/>
      <c r="W35" s="447" t="s">
        <v>219</v>
      </c>
      <c r="X35" s="446" t="s">
        <v>220</v>
      </c>
    </row>
    <row r="36" spans="1:27" hidden="1">
      <c r="A36" s="169">
        <f t="shared" ref="A36:A57" si="3">A8</f>
        <v>2009</v>
      </c>
      <c r="B36" s="524">
        <v>9474</v>
      </c>
      <c r="C36" s="524">
        <v>230</v>
      </c>
      <c r="D36" s="524">
        <v>9704</v>
      </c>
      <c r="E36" s="524">
        <v>-669</v>
      </c>
      <c r="F36" s="522">
        <v>9035</v>
      </c>
      <c r="G36" s="170"/>
      <c r="H36" s="524">
        <v>1471</v>
      </c>
      <c r="I36" s="524">
        <v>241.4</v>
      </c>
      <c r="J36" s="524">
        <v>511.45405847474956</v>
      </c>
      <c r="K36" s="524">
        <v>15.506031486403598</v>
      </c>
      <c r="L36" s="524">
        <v>2239.3600899611533</v>
      </c>
      <c r="M36" s="170"/>
      <c r="N36" s="524">
        <v>25</v>
      </c>
      <c r="O36" s="522">
        <v>11299.360089961154</v>
      </c>
      <c r="P36" s="524">
        <v>-245.5060314864036</v>
      </c>
      <c r="Q36" s="524">
        <v>-904.25</v>
      </c>
      <c r="R36" s="609">
        <v>10149.60405847475</v>
      </c>
      <c r="S36" s="170">
        <f t="shared" ref="S36:S52" si="4">A36</f>
        <v>2009</v>
      </c>
      <c r="T36" s="381" t="e">
        <f>'FALL13 vs TYSP13'!#REF!</f>
        <v>#REF!</v>
      </c>
      <c r="U36" s="582" t="e">
        <f t="shared" ref="U36:U52" si="5">T36/R95-1</f>
        <v>#REF!</v>
      </c>
      <c r="W36" s="320" t="e">
        <f t="shared" ref="W36:W52" si="6">W8</f>
        <v>#REF!</v>
      </c>
      <c r="X36" s="219" t="e">
        <f>W36/(O95*8760)</f>
        <v>#REF!</v>
      </c>
    </row>
    <row r="37" spans="1:27" hidden="1">
      <c r="A37" s="169">
        <f t="shared" si="3"/>
        <v>2010</v>
      </c>
      <c r="B37" s="524">
        <v>9575</v>
      </c>
      <c r="C37" s="524">
        <v>252</v>
      </c>
      <c r="D37" s="524">
        <v>9827</v>
      </c>
      <c r="E37" s="524">
        <v>-728.46830008639995</v>
      </c>
      <c r="F37" s="522">
        <v>9098.5316999135994</v>
      </c>
      <c r="G37" s="170"/>
      <c r="H37" s="524">
        <v>1587</v>
      </c>
      <c r="I37" s="524">
        <v>264.54899999999998</v>
      </c>
      <c r="J37" s="524">
        <v>323.45405847474956</v>
      </c>
      <c r="K37" s="524">
        <v>4.2999999999999997E-2</v>
      </c>
      <c r="L37" s="524">
        <v>2175.0460584747498</v>
      </c>
      <c r="M37" s="170"/>
      <c r="N37" s="524">
        <v>0</v>
      </c>
      <c r="O37" s="522">
        <v>11273.57775838835</v>
      </c>
      <c r="P37" s="524">
        <v>-252.04300000000001</v>
      </c>
      <c r="Q37" s="524">
        <v>-918.25</v>
      </c>
      <c r="R37" s="609">
        <v>10103.28475838835</v>
      </c>
      <c r="S37" s="170">
        <f t="shared" si="4"/>
        <v>2010</v>
      </c>
      <c r="T37" s="381" t="e">
        <f>'FALL13 vs TYSP13'!#REF!</f>
        <v>#REF!</v>
      </c>
      <c r="U37" s="582" t="e">
        <f t="shared" si="5"/>
        <v>#REF!</v>
      </c>
      <c r="W37" s="320" t="e">
        <f t="shared" si="6"/>
        <v>#REF!</v>
      </c>
      <c r="X37" s="219" t="e">
        <f>W37/(O96*8760)</f>
        <v>#REF!</v>
      </c>
    </row>
    <row r="38" spans="1:27" hidden="1">
      <c r="A38" s="169">
        <f t="shared" si="3"/>
        <v>2011</v>
      </c>
      <c r="B38" s="524">
        <v>9627</v>
      </c>
      <c r="C38" s="524">
        <v>248</v>
      </c>
      <c r="D38" s="524">
        <v>9875</v>
      </c>
      <c r="E38" s="524">
        <v>-811.77704558016399</v>
      </c>
      <c r="F38" s="522">
        <v>9063.2229544198362</v>
      </c>
      <c r="G38" s="170"/>
      <c r="H38" s="524">
        <v>1348</v>
      </c>
      <c r="I38" s="524">
        <v>40.200000000000003</v>
      </c>
      <c r="J38" s="524">
        <v>221.64810462858895</v>
      </c>
      <c r="K38" s="524">
        <v>15.326453458669663</v>
      </c>
      <c r="L38" s="524">
        <v>1625.1745580872587</v>
      </c>
      <c r="M38" s="170"/>
      <c r="N38" s="524">
        <v>25</v>
      </c>
      <c r="O38" s="522">
        <v>10713.397512507096</v>
      </c>
      <c r="P38" s="524">
        <v>-263.32645345866968</v>
      </c>
      <c r="Q38" s="524">
        <v>-872.25</v>
      </c>
      <c r="R38" s="609">
        <v>9577.8210590484268</v>
      </c>
      <c r="S38" s="170">
        <f t="shared" si="4"/>
        <v>2011</v>
      </c>
      <c r="T38" s="381" t="e">
        <f>'FALL13 vs TYSP13'!#REF!</f>
        <v>#REF!</v>
      </c>
      <c r="U38" s="582" t="e">
        <f t="shared" si="5"/>
        <v>#REF!</v>
      </c>
      <c r="W38" s="320" t="e">
        <f t="shared" si="6"/>
        <v>#REF!</v>
      </c>
      <c r="X38" s="219" t="e">
        <f>W38/(O97*8760)</f>
        <v>#REF!</v>
      </c>
    </row>
    <row r="39" spans="1:27" s="28" customFormat="1">
      <c r="A39" s="169">
        <f t="shared" si="3"/>
        <v>2012</v>
      </c>
      <c r="B39" s="524">
        <v>9784</v>
      </c>
      <c r="C39" s="524">
        <v>237</v>
      </c>
      <c r="D39" s="524">
        <v>10021</v>
      </c>
      <c r="E39" s="524">
        <v>-887</v>
      </c>
      <c r="F39" s="522">
        <v>9134</v>
      </c>
      <c r="G39" s="170"/>
      <c r="H39" s="524">
        <v>1113</v>
      </c>
      <c r="I39" s="524">
        <v>40</v>
      </c>
      <c r="J39" s="524">
        <v>223.6219798144561</v>
      </c>
      <c r="K39" s="524">
        <v>15</v>
      </c>
      <c r="L39" s="524">
        <v>1391.6219798144562</v>
      </c>
      <c r="M39" s="170"/>
      <c r="N39" s="524">
        <v>25</v>
      </c>
      <c r="O39" s="522">
        <v>10550.621979814456</v>
      </c>
      <c r="P39" s="524">
        <v>-252</v>
      </c>
      <c r="Q39" s="524">
        <v>-857</v>
      </c>
      <c r="R39" s="609">
        <v>9441.6219798144557</v>
      </c>
      <c r="S39" s="170">
        <f t="shared" si="4"/>
        <v>2012</v>
      </c>
      <c r="T39" s="381" t="e">
        <f>'FALL13 vs TYSP13'!#REF!</f>
        <v>#REF!</v>
      </c>
      <c r="U39" s="582" t="e">
        <f t="shared" si="5"/>
        <v>#REF!</v>
      </c>
      <c r="W39" s="171" t="e">
        <f t="shared" si="6"/>
        <v>#REF!</v>
      </c>
      <c r="X39" s="219" t="e">
        <f t="shared" ref="X39:X52" si="7">W39/(O39*8784)</f>
        <v>#REF!</v>
      </c>
      <c r="Z39"/>
      <c r="AA39"/>
    </row>
    <row r="40" spans="1:27">
      <c r="A40" s="169">
        <f t="shared" si="3"/>
        <v>2013</v>
      </c>
      <c r="B40" s="524">
        <v>9880</v>
      </c>
      <c r="C40" s="524">
        <v>221</v>
      </c>
      <c r="D40" s="524">
        <v>10101</v>
      </c>
      <c r="E40" s="524">
        <v>-956</v>
      </c>
      <c r="F40" s="522">
        <v>9145</v>
      </c>
      <c r="G40" s="170"/>
      <c r="H40" s="524">
        <v>988</v>
      </c>
      <c r="I40" s="524">
        <v>22</v>
      </c>
      <c r="J40" s="524">
        <v>167.6219798144561</v>
      </c>
      <c r="K40" s="524">
        <v>15</v>
      </c>
      <c r="L40" s="524">
        <v>1192.6219798144562</v>
      </c>
      <c r="M40" s="170"/>
      <c r="N40" s="524">
        <v>25</v>
      </c>
      <c r="O40" s="522">
        <v>10362.621979814456</v>
      </c>
      <c r="P40" s="524">
        <v>-236</v>
      </c>
      <c r="Q40" s="524">
        <v>-871</v>
      </c>
      <c r="R40" s="609">
        <v>9255.6219798144557</v>
      </c>
      <c r="S40" s="170">
        <f t="shared" si="4"/>
        <v>2013</v>
      </c>
      <c r="T40" s="381">
        <f>'FALL13 vs TYSP13'!T32</f>
        <v>11903</v>
      </c>
      <c r="U40" s="582">
        <f t="shared" si="5"/>
        <v>0.36379520729618409</v>
      </c>
      <c r="V40" s="28"/>
      <c r="W40" s="171">
        <f t="shared" si="6"/>
        <v>40270133</v>
      </c>
      <c r="X40" s="219">
        <f t="shared" si="7"/>
        <v>0.44240607415235056</v>
      </c>
    </row>
    <row r="41" spans="1:27">
      <c r="A41" s="169">
        <f t="shared" si="3"/>
        <v>2014</v>
      </c>
      <c r="B41" s="524">
        <v>10046</v>
      </c>
      <c r="C41" s="524">
        <v>206</v>
      </c>
      <c r="D41" s="524">
        <v>10252</v>
      </c>
      <c r="E41" s="524">
        <v>-1021</v>
      </c>
      <c r="F41" s="522">
        <v>9231</v>
      </c>
      <c r="G41" s="170"/>
      <c r="H41" s="524">
        <v>650</v>
      </c>
      <c r="I41" s="524">
        <v>22</v>
      </c>
      <c r="J41" s="524">
        <v>117.62197981445611</v>
      </c>
      <c r="K41" s="524">
        <v>15</v>
      </c>
      <c r="L41" s="524">
        <v>804.62197981445615</v>
      </c>
      <c r="M41" s="170"/>
      <c r="N41" s="524">
        <v>25</v>
      </c>
      <c r="O41" s="522">
        <v>10060.621979814456</v>
      </c>
      <c r="P41" s="524">
        <v>-221</v>
      </c>
      <c r="Q41" s="524">
        <v>-886</v>
      </c>
      <c r="R41" s="609">
        <v>8953.6219798144557</v>
      </c>
      <c r="S41" s="170">
        <f t="shared" si="4"/>
        <v>2014</v>
      </c>
      <c r="T41" s="381">
        <f>'FALL13 vs TYSP13'!T33</f>
        <v>10960</v>
      </c>
      <c r="U41" s="582">
        <f t="shared" si="5"/>
        <v>0.24377393169410522</v>
      </c>
      <c r="V41" s="170"/>
      <c r="W41" s="171">
        <f t="shared" si="6"/>
        <v>39801314</v>
      </c>
      <c r="X41" s="219">
        <f t="shared" si="7"/>
        <v>0.45038119818797023</v>
      </c>
    </row>
    <row r="42" spans="1:27">
      <c r="A42" s="169">
        <f t="shared" si="3"/>
        <v>2015</v>
      </c>
      <c r="B42" s="524">
        <v>10271</v>
      </c>
      <c r="C42" s="524">
        <v>217</v>
      </c>
      <c r="D42" s="524">
        <v>10488</v>
      </c>
      <c r="E42" s="524">
        <v>-1079</v>
      </c>
      <c r="F42" s="522">
        <v>9409</v>
      </c>
      <c r="G42" s="170"/>
      <c r="H42" s="524">
        <v>1150</v>
      </c>
      <c r="I42" s="524">
        <v>22</v>
      </c>
      <c r="J42" s="524">
        <v>117.62197981445611</v>
      </c>
      <c r="K42" s="524">
        <v>15</v>
      </c>
      <c r="L42" s="524">
        <v>1304.6219798144562</v>
      </c>
      <c r="M42" s="170"/>
      <c r="N42" s="524">
        <v>25</v>
      </c>
      <c r="O42" s="522">
        <v>10738.621979814456</v>
      </c>
      <c r="P42" s="524">
        <v>-232</v>
      </c>
      <c r="Q42" s="524">
        <v>-903</v>
      </c>
      <c r="R42" s="609">
        <v>9603.6219798144557</v>
      </c>
      <c r="S42" s="170">
        <f t="shared" si="4"/>
        <v>2015</v>
      </c>
      <c r="T42" s="381">
        <f>'FALL13 vs TYSP13'!T34</f>
        <v>11000</v>
      </c>
      <c r="U42" s="582">
        <f t="shared" si="5"/>
        <v>0.21657165395255862</v>
      </c>
      <c r="V42" s="170"/>
      <c r="W42" s="171">
        <f t="shared" si="6"/>
        <v>40489597</v>
      </c>
      <c r="X42" s="219">
        <f t="shared" si="7"/>
        <v>0.42924235846864262</v>
      </c>
    </row>
    <row r="43" spans="1:27">
      <c r="A43" s="169">
        <f t="shared" si="3"/>
        <v>2016</v>
      </c>
      <c r="B43" s="524">
        <v>10493</v>
      </c>
      <c r="C43" s="524">
        <v>218</v>
      </c>
      <c r="D43" s="524">
        <v>10711</v>
      </c>
      <c r="E43" s="524">
        <v>-1128</v>
      </c>
      <c r="F43" s="522">
        <v>9583</v>
      </c>
      <c r="G43" s="170"/>
      <c r="H43" s="524">
        <v>1150</v>
      </c>
      <c r="I43" s="524">
        <v>23</v>
      </c>
      <c r="J43" s="524">
        <v>117.62197981445611</v>
      </c>
      <c r="K43" s="524">
        <v>15</v>
      </c>
      <c r="L43" s="524">
        <v>1305.6219798144562</v>
      </c>
      <c r="M43" s="170"/>
      <c r="N43" s="524">
        <v>25</v>
      </c>
      <c r="O43" s="522">
        <v>10913.621979814456</v>
      </c>
      <c r="P43" s="524">
        <v>-233</v>
      </c>
      <c r="Q43" s="524">
        <v>-919</v>
      </c>
      <c r="R43" s="609">
        <v>9761.6219798144557</v>
      </c>
      <c r="S43" s="170">
        <f t="shared" si="4"/>
        <v>2016</v>
      </c>
      <c r="T43" s="381">
        <f>'FALL13 vs TYSP13'!T35</f>
        <v>11415</v>
      </c>
      <c r="U43" s="582">
        <f t="shared" si="5"/>
        <v>0.2477093014290328</v>
      </c>
      <c r="V43" s="170"/>
      <c r="W43" s="171">
        <f t="shared" si="6"/>
        <v>41098360</v>
      </c>
      <c r="X43" s="219">
        <f t="shared" si="7"/>
        <v>0.42870964874824125</v>
      </c>
    </row>
    <row r="44" spans="1:27">
      <c r="A44" s="169">
        <f t="shared" si="3"/>
        <v>2017</v>
      </c>
      <c r="B44" s="524">
        <v>10695</v>
      </c>
      <c r="C44" s="524">
        <v>227</v>
      </c>
      <c r="D44" s="524">
        <v>10922</v>
      </c>
      <c r="E44" s="524">
        <v>-1175</v>
      </c>
      <c r="F44" s="522">
        <v>9747</v>
      </c>
      <c r="G44" s="170"/>
      <c r="H44" s="524">
        <v>1000</v>
      </c>
      <c r="I44" s="524">
        <v>23</v>
      </c>
      <c r="J44" s="524">
        <v>117.62197981445611</v>
      </c>
      <c r="K44" s="524">
        <v>15</v>
      </c>
      <c r="L44" s="524">
        <v>1155.6219798144562</v>
      </c>
      <c r="M44" s="170"/>
      <c r="N44" s="524">
        <v>25</v>
      </c>
      <c r="O44" s="522">
        <v>10927.621979814456</v>
      </c>
      <c r="P44" s="524">
        <v>-242</v>
      </c>
      <c r="Q44" s="524">
        <v>-1004</v>
      </c>
      <c r="R44" s="609">
        <v>9681.6219798144557</v>
      </c>
      <c r="S44" s="170">
        <f t="shared" si="4"/>
        <v>2017</v>
      </c>
      <c r="T44" s="381">
        <f>'FALL13 vs TYSP13'!T36</f>
        <v>11415</v>
      </c>
      <c r="U44" s="582">
        <f t="shared" si="5"/>
        <v>0.22649626643610965</v>
      </c>
      <c r="V44" s="170"/>
      <c r="W44" s="171">
        <f t="shared" si="6"/>
        <v>41375353</v>
      </c>
      <c r="X44" s="219">
        <f t="shared" si="7"/>
        <v>0.43104610186128789</v>
      </c>
    </row>
    <row r="45" spans="1:27">
      <c r="A45" s="169">
        <f t="shared" si="3"/>
        <v>2018</v>
      </c>
      <c r="B45" s="524">
        <v>10894</v>
      </c>
      <c r="C45" s="524">
        <v>231</v>
      </c>
      <c r="D45" s="524">
        <v>11125</v>
      </c>
      <c r="E45" s="524">
        <v>-1211</v>
      </c>
      <c r="F45" s="522">
        <v>9914</v>
      </c>
      <c r="G45" s="170"/>
      <c r="H45" s="524">
        <v>1000</v>
      </c>
      <c r="I45" s="524">
        <v>23</v>
      </c>
      <c r="J45" s="524">
        <v>117.62197981445611</v>
      </c>
      <c r="K45" s="524">
        <v>15</v>
      </c>
      <c r="L45" s="524">
        <v>1155.6219798144562</v>
      </c>
      <c r="M45" s="170"/>
      <c r="N45" s="524">
        <v>25</v>
      </c>
      <c r="O45" s="522">
        <v>11094.621979814456</v>
      </c>
      <c r="P45" s="524">
        <v>-246</v>
      </c>
      <c r="Q45" s="524">
        <v>-1020</v>
      </c>
      <c r="R45" s="609">
        <v>9828.6219798144557</v>
      </c>
      <c r="S45" s="170">
        <f t="shared" si="4"/>
        <v>2018</v>
      </c>
      <c r="T45" s="381">
        <f>'FALL13 vs TYSP13'!T37</f>
        <v>11975</v>
      </c>
      <c r="U45" s="582">
        <f t="shared" si="5"/>
        <v>0.26865715113386668</v>
      </c>
      <c r="V45" s="28"/>
      <c r="W45" s="171">
        <f t="shared" si="6"/>
        <v>41994588</v>
      </c>
      <c r="X45" s="219">
        <f t="shared" si="7"/>
        <v>0.43091190069449276</v>
      </c>
    </row>
    <row r="46" spans="1:27">
      <c r="A46" s="169">
        <f t="shared" si="3"/>
        <v>2019</v>
      </c>
      <c r="B46" s="524">
        <v>11086</v>
      </c>
      <c r="C46" s="524">
        <v>245</v>
      </c>
      <c r="D46" s="524">
        <v>11331</v>
      </c>
      <c r="E46" s="524">
        <v>-1246</v>
      </c>
      <c r="F46" s="522">
        <v>10085</v>
      </c>
      <c r="G46" s="170"/>
      <c r="H46" s="524">
        <v>1250</v>
      </c>
      <c r="I46" s="524">
        <v>23</v>
      </c>
      <c r="J46" s="524">
        <v>117.62197981445611</v>
      </c>
      <c r="K46" s="524">
        <v>15</v>
      </c>
      <c r="L46" s="524">
        <v>1405.6219798144562</v>
      </c>
      <c r="M46" s="170"/>
      <c r="N46" s="524">
        <v>25</v>
      </c>
      <c r="O46" s="522">
        <v>11515.621979814456</v>
      </c>
      <c r="P46" s="524">
        <v>-260</v>
      </c>
      <c r="Q46" s="524">
        <v>-1036</v>
      </c>
      <c r="R46" s="609">
        <v>10219.621979814456</v>
      </c>
      <c r="S46" s="170">
        <f t="shared" si="4"/>
        <v>2019</v>
      </c>
      <c r="T46" s="381">
        <f>'FALL13 vs TYSP13'!T38</f>
        <v>11975</v>
      </c>
      <c r="U46" s="582">
        <f t="shared" si="5"/>
        <v>0.22027850936095583</v>
      </c>
      <c r="V46" s="218"/>
      <c r="W46" s="171">
        <f t="shared" si="6"/>
        <v>43012927</v>
      </c>
      <c r="X46" s="219">
        <f t="shared" si="7"/>
        <v>0.42522547007573402</v>
      </c>
    </row>
    <row r="47" spans="1:27">
      <c r="A47" s="169">
        <f t="shared" si="3"/>
        <v>2020</v>
      </c>
      <c r="B47" s="524">
        <v>11278</v>
      </c>
      <c r="C47" s="524">
        <v>259</v>
      </c>
      <c r="D47" s="524">
        <v>11537</v>
      </c>
      <c r="E47" s="524">
        <v>-1286</v>
      </c>
      <c r="F47" s="522">
        <v>10251</v>
      </c>
      <c r="G47" s="170"/>
      <c r="H47" s="524">
        <v>1250</v>
      </c>
      <c r="I47" s="524">
        <v>23</v>
      </c>
      <c r="J47" s="524">
        <v>117.62197981445611</v>
      </c>
      <c r="K47" s="524">
        <v>15</v>
      </c>
      <c r="L47" s="524">
        <v>1405.6219798144562</v>
      </c>
      <c r="M47" s="170"/>
      <c r="N47" s="524">
        <v>25</v>
      </c>
      <c r="O47" s="522">
        <v>11681.621979814456</v>
      </c>
      <c r="P47" s="524">
        <v>-274</v>
      </c>
      <c r="Q47" s="524">
        <v>-1052</v>
      </c>
      <c r="R47" s="609">
        <v>10355.621979814456</v>
      </c>
      <c r="S47" s="170">
        <f t="shared" si="4"/>
        <v>2020</v>
      </c>
      <c r="T47" s="381">
        <f>'FALL13 vs TYSP13'!T39</f>
        <v>12185</v>
      </c>
      <c r="U47" s="582">
        <f t="shared" si="5"/>
        <v>0.22648064535703138</v>
      </c>
      <c r="V47" s="218"/>
      <c r="W47" s="171">
        <f t="shared" si="6"/>
        <v>43997632</v>
      </c>
      <c r="X47" s="219">
        <f t="shared" si="7"/>
        <v>0.42877931641021594</v>
      </c>
    </row>
    <row r="48" spans="1:27">
      <c r="A48" s="169">
        <f t="shared" si="3"/>
        <v>2021</v>
      </c>
      <c r="B48" s="524">
        <v>11470</v>
      </c>
      <c r="C48" s="524">
        <v>267</v>
      </c>
      <c r="D48" s="524">
        <v>11737</v>
      </c>
      <c r="E48" s="524">
        <v>-1320</v>
      </c>
      <c r="F48" s="522">
        <v>10417</v>
      </c>
      <c r="G48" s="170"/>
      <c r="H48" s="524">
        <v>1250</v>
      </c>
      <c r="I48" s="524">
        <v>23</v>
      </c>
      <c r="J48" s="524">
        <v>117.62197981445611</v>
      </c>
      <c r="K48" s="524">
        <v>15</v>
      </c>
      <c r="L48" s="524">
        <v>1405.6219798144562</v>
      </c>
      <c r="M48" s="170"/>
      <c r="N48" s="524">
        <v>25</v>
      </c>
      <c r="O48" s="522">
        <v>11847.621979814456</v>
      </c>
      <c r="P48" s="524">
        <v>-282</v>
      </c>
      <c r="Q48" s="524">
        <v>-1068</v>
      </c>
      <c r="R48" s="609">
        <v>10497.621979814456</v>
      </c>
      <c r="S48" s="170">
        <f t="shared" si="4"/>
        <v>2021</v>
      </c>
      <c r="T48" s="381">
        <f>'FALL13 vs TYSP13'!T40</f>
        <v>12185</v>
      </c>
      <c r="U48" s="582">
        <f t="shared" si="5"/>
        <v>0.22435206782618677</v>
      </c>
      <c r="V48" s="218"/>
      <c r="W48" s="171">
        <f t="shared" si="6"/>
        <v>44418922</v>
      </c>
      <c r="X48" s="219">
        <f t="shared" si="7"/>
        <v>0.42681974165421166</v>
      </c>
    </row>
    <row r="49" spans="1:24">
      <c r="A49" s="169">
        <f t="shared" si="3"/>
        <v>2022</v>
      </c>
      <c r="B49" s="524">
        <v>11663</v>
      </c>
      <c r="C49" s="524">
        <v>267</v>
      </c>
      <c r="D49" s="524">
        <v>11930</v>
      </c>
      <c r="E49" s="524">
        <v>-1352</v>
      </c>
      <c r="F49" s="522">
        <v>10578</v>
      </c>
      <c r="G49" s="170"/>
      <c r="H49" s="524">
        <v>1100</v>
      </c>
      <c r="I49" s="524">
        <v>23</v>
      </c>
      <c r="J49" s="524">
        <v>117.62197981445611</v>
      </c>
      <c r="K49" s="524">
        <v>15</v>
      </c>
      <c r="L49" s="524">
        <v>1255.6219798144562</v>
      </c>
      <c r="M49" s="170"/>
      <c r="N49" s="524">
        <v>25</v>
      </c>
      <c r="O49" s="522">
        <v>11858.621979814456</v>
      </c>
      <c r="P49" s="524">
        <v>-282</v>
      </c>
      <c r="Q49" s="524">
        <v>-1085</v>
      </c>
      <c r="R49" s="609">
        <v>10491.621979814456</v>
      </c>
      <c r="S49" s="170">
        <f t="shared" si="4"/>
        <v>2022</v>
      </c>
      <c r="T49" s="381">
        <f>'FALL13 vs TYSP13'!T41</f>
        <v>12371</v>
      </c>
      <c r="U49" s="582">
        <f t="shared" si="5"/>
        <v>0.22892584675679273</v>
      </c>
      <c r="V49" s="218"/>
      <c r="W49" s="171">
        <f t="shared" si="6"/>
        <v>44869748</v>
      </c>
      <c r="X49" s="219">
        <f t="shared" si="7"/>
        <v>0.43075177741066584</v>
      </c>
    </row>
    <row r="50" spans="1:24">
      <c r="A50" s="169">
        <f t="shared" si="3"/>
        <v>2023</v>
      </c>
      <c r="B50" s="524">
        <v>11855</v>
      </c>
      <c r="C50" s="524">
        <v>262</v>
      </c>
      <c r="D50" s="524">
        <v>12117</v>
      </c>
      <c r="E50" s="524">
        <v>-1383</v>
      </c>
      <c r="F50" s="522">
        <v>10734</v>
      </c>
      <c r="G50" s="170"/>
      <c r="H50" s="524">
        <v>950</v>
      </c>
      <c r="I50" s="524">
        <v>23</v>
      </c>
      <c r="J50" s="524">
        <v>117.62197981445611</v>
      </c>
      <c r="K50" s="524">
        <v>15</v>
      </c>
      <c r="L50" s="524">
        <v>1105.6219798144562</v>
      </c>
      <c r="M50" s="170"/>
      <c r="N50" s="524">
        <v>25</v>
      </c>
      <c r="O50" s="522">
        <v>11864.621979814456</v>
      </c>
      <c r="P50" s="524">
        <v>-277</v>
      </c>
      <c r="Q50" s="524">
        <v>-1101</v>
      </c>
      <c r="R50" s="609">
        <v>10486.621979814456</v>
      </c>
      <c r="S50" s="170">
        <f t="shared" si="4"/>
        <v>2023</v>
      </c>
      <c r="T50" s="381">
        <f>'FALL13 vs TYSP13'!T42</f>
        <v>12371</v>
      </c>
      <c r="U50" s="582">
        <f t="shared" si="5"/>
        <v>0.21612899304961486</v>
      </c>
      <c r="V50" s="218"/>
      <c r="W50" s="171">
        <f t="shared" si="6"/>
        <v>45458815</v>
      </c>
      <c r="X50" s="219">
        <f t="shared" si="7"/>
        <v>0.43618615627344937</v>
      </c>
    </row>
    <row r="51" spans="1:24">
      <c r="A51" s="169">
        <f t="shared" si="3"/>
        <v>2024</v>
      </c>
      <c r="B51" s="524">
        <v>12048</v>
      </c>
      <c r="C51" s="524">
        <v>262</v>
      </c>
      <c r="D51" s="524">
        <v>12310</v>
      </c>
      <c r="E51" s="524">
        <v>-1413</v>
      </c>
      <c r="F51" s="522">
        <v>10897</v>
      </c>
      <c r="G51" s="170"/>
      <c r="H51" s="524">
        <v>950</v>
      </c>
      <c r="I51" s="524">
        <v>23</v>
      </c>
      <c r="J51" s="524">
        <v>117.62197981445611</v>
      </c>
      <c r="K51" s="524">
        <v>15</v>
      </c>
      <c r="L51" s="524">
        <v>1105.6219798144562</v>
      </c>
      <c r="M51" s="170"/>
      <c r="N51" s="524">
        <v>25</v>
      </c>
      <c r="O51" s="522">
        <v>12027.621979814456</v>
      </c>
      <c r="P51" s="524">
        <v>-277</v>
      </c>
      <c r="Q51" s="524">
        <v>-1117</v>
      </c>
      <c r="R51" s="609">
        <v>10633.621979814456</v>
      </c>
      <c r="S51" s="170">
        <f t="shared" si="4"/>
        <v>2024</v>
      </c>
      <c r="T51" s="381">
        <f>'FALL13 vs TYSP13'!T43</f>
        <v>12371</v>
      </c>
      <c r="U51" s="1073">
        <f t="shared" si="5"/>
        <v>0.20379264759608007</v>
      </c>
      <c r="V51" s="218"/>
      <c r="W51" s="171">
        <f t="shared" si="6"/>
        <v>46001731</v>
      </c>
      <c r="X51" s="219">
        <f t="shared" si="7"/>
        <v>0.43541368716534268</v>
      </c>
    </row>
    <row r="52" spans="1:24">
      <c r="A52" s="169">
        <f t="shared" si="3"/>
        <v>2025</v>
      </c>
      <c r="B52" s="524">
        <v>12238</v>
      </c>
      <c r="C52" s="524">
        <v>248</v>
      </c>
      <c r="D52" s="524">
        <v>12486</v>
      </c>
      <c r="E52" s="524">
        <v>-1443</v>
      </c>
      <c r="F52" s="522">
        <v>11043</v>
      </c>
      <c r="G52" s="170"/>
      <c r="H52" s="524">
        <v>750</v>
      </c>
      <c r="I52" s="524">
        <v>25</v>
      </c>
      <c r="J52" s="524">
        <v>117.62197981445611</v>
      </c>
      <c r="K52" s="524">
        <v>15</v>
      </c>
      <c r="L52" s="524">
        <v>907.62197981445615</v>
      </c>
      <c r="M52" s="170"/>
      <c r="N52" s="524">
        <v>25</v>
      </c>
      <c r="O52" s="522">
        <v>11975.621979814456</v>
      </c>
      <c r="P52" s="524">
        <v>-263</v>
      </c>
      <c r="Q52" s="524">
        <v>-1133</v>
      </c>
      <c r="R52" s="609">
        <v>10579.621979814456</v>
      </c>
      <c r="S52" s="170">
        <f t="shared" si="4"/>
        <v>2025</v>
      </c>
      <c r="T52" s="381">
        <f>'FALL13 vs TYSP13'!T44</f>
        <v>12371</v>
      </c>
      <c r="U52" s="1073">
        <f t="shared" si="5"/>
        <v>0.19247859140586687</v>
      </c>
      <c r="V52" s="218"/>
      <c r="W52" s="171">
        <f t="shared" si="6"/>
        <v>46377403</v>
      </c>
      <c r="X52" s="219">
        <f t="shared" si="7"/>
        <v>0.44087555556814378</v>
      </c>
    </row>
    <row r="53" spans="1:24">
      <c r="A53" s="169">
        <f t="shared" si="3"/>
        <v>2026</v>
      </c>
      <c r="B53" s="524">
        <v>12427</v>
      </c>
      <c r="C53" s="524">
        <v>233</v>
      </c>
      <c r="D53" s="524">
        <v>12660</v>
      </c>
      <c r="E53" s="524">
        <v>-1472</v>
      </c>
      <c r="F53" s="522">
        <v>11188</v>
      </c>
      <c r="G53" s="170"/>
      <c r="H53" s="524">
        <v>750</v>
      </c>
      <c r="I53" s="524">
        <v>25</v>
      </c>
      <c r="J53" s="524">
        <v>117.62197981445611</v>
      </c>
      <c r="K53" s="524">
        <v>15</v>
      </c>
      <c r="L53" s="524">
        <v>907.62197981445615</v>
      </c>
      <c r="M53" s="170"/>
      <c r="N53" s="524">
        <v>25</v>
      </c>
      <c r="O53" s="522">
        <v>12120.621979814456</v>
      </c>
      <c r="P53" s="524">
        <v>-248</v>
      </c>
      <c r="Q53" s="524">
        <v>-1149</v>
      </c>
      <c r="R53" s="609">
        <v>10723.621979814456</v>
      </c>
      <c r="S53" s="170"/>
      <c r="T53" s="381"/>
      <c r="U53" s="582"/>
      <c r="V53" s="218"/>
      <c r="W53" s="171"/>
      <c r="X53" s="219"/>
    </row>
    <row r="54" spans="1:24">
      <c r="A54" s="169">
        <f t="shared" si="3"/>
        <v>2027</v>
      </c>
      <c r="B54" s="524">
        <v>12614</v>
      </c>
      <c r="C54" s="524">
        <v>230</v>
      </c>
      <c r="D54" s="524">
        <v>12844</v>
      </c>
      <c r="E54" s="524">
        <v>-1499</v>
      </c>
      <c r="F54" s="522">
        <v>11345</v>
      </c>
      <c r="G54" s="170"/>
      <c r="H54" s="524">
        <v>750</v>
      </c>
      <c r="I54" s="524">
        <v>25</v>
      </c>
      <c r="J54" s="524">
        <v>117.62197981445611</v>
      </c>
      <c r="K54" s="524">
        <v>15</v>
      </c>
      <c r="L54" s="524">
        <v>907.62197981445615</v>
      </c>
      <c r="M54" s="170"/>
      <c r="N54" s="524">
        <v>25</v>
      </c>
      <c r="O54" s="522">
        <v>12277.621979814456</v>
      </c>
      <c r="P54" s="524">
        <v>-245</v>
      </c>
      <c r="Q54" s="524">
        <v>-1166</v>
      </c>
      <c r="R54" s="609">
        <v>10866.621979814456</v>
      </c>
      <c r="S54" s="170"/>
      <c r="T54" s="381"/>
      <c r="U54" s="582"/>
      <c r="V54" s="218"/>
      <c r="W54" s="171"/>
      <c r="X54" s="219"/>
    </row>
    <row r="55" spans="1:24">
      <c r="A55" s="169">
        <f t="shared" si="3"/>
        <v>2028</v>
      </c>
      <c r="B55" s="524">
        <v>12799</v>
      </c>
      <c r="C55" s="524">
        <v>226</v>
      </c>
      <c r="D55" s="524">
        <v>13025</v>
      </c>
      <c r="E55" s="524">
        <v>-1526</v>
      </c>
      <c r="F55" s="522">
        <v>11499</v>
      </c>
      <c r="G55" s="170"/>
      <c r="H55" s="524">
        <v>750</v>
      </c>
      <c r="I55" s="524">
        <v>25</v>
      </c>
      <c r="J55" s="524">
        <v>117.62197981445611</v>
      </c>
      <c r="K55" s="524">
        <v>15</v>
      </c>
      <c r="L55" s="524">
        <v>907.62197981445615</v>
      </c>
      <c r="M55" s="170"/>
      <c r="N55" s="524">
        <v>25</v>
      </c>
      <c r="O55" s="522">
        <v>12431.621979814456</v>
      </c>
      <c r="P55" s="524">
        <v>-241</v>
      </c>
      <c r="Q55" s="524">
        <v>-1182</v>
      </c>
      <c r="R55" s="609">
        <v>11008.621979814456</v>
      </c>
      <c r="S55" s="170"/>
      <c r="T55" s="381"/>
      <c r="U55" s="582"/>
      <c r="V55" s="218"/>
      <c r="W55" s="171"/>
      <c r="X55" s="219"/>
    </row>
    <row r="56" spans="1:24">
      <c r="A56" s="169">
        <f t="shared" si="3"/>
        <v>2029</v>
      </c>
      <c r="B56" s="524">
        <v>12981</v>
      </c>
      <c r="C56" s="524">
        <v>226</v>
      </c>
      <c r="D56" s="524">
        <v>13207</v>
      </c>
      <c r="E56" s="524">
        <v>-1552</v>
      </c>
      <c r="F56" s="522">
        <v>11655</v>
      </c>
      <c r="G56" s="170"/>
      <c r="H56" s="524">
        <v>750</v>
      </c>
      <c r="I56" s="524">
        <v>25</v>
      </c>
      <c r="J56" s="524">
        <v>117.62197981445611</v>
      </c>
      <c r="K56" s="524">
        <v>15</v>
      </c>
      <c r="L56" s="524">
        <v>907.62197981445615</v>
      </c>
      <c r="M56" s="170"/>
      <c r="N56" s="524">
        <v>25</v>
      </c>
      <c r="O56" s="522">
        <v>12587.621979814456</v>
      </c>
      <c r="P56" s="524">
        <v>-241</v>
      </c>
      <c r="Q56" s="524">
        <v>-1198</v>
      </c>
      <c r="R56" s="609">
        <v>11148.621979814456</v>
      </c>
      <c r="S56" s="170"/>
      <c r="T56" s="381"/>
      <c r="U56" s="583"/>
      <c r="V56" s="218"/>
      <c r="W56" s="171"/>
      <c r="X56" s="219"/>
    </row>
    <row r="57" spans="1:24">
      <c r="A57" s="168">
        <f t="shared" si="3"/>
        <v>2030</v>
      </c>
      <c r="B57" s="525">
        <v>13161</v>
      </c>
      <c r="C57" s="525">
        <v>226</v>
      </c>
      <c r="D57" s="525">
        <v>13387</v>
      </c>
      <c r="E57" s="525">
        <v>-1577</v>
      </c>
      <c r="F57" s="523">
        <v>11810</v>
      </c>
      <c r="G57" s="519"/>
      <c r="H57" s="525">
        <v>750</v>
      </c>
      <c r="I57" s="525">
        <v>25</v>
      </c>
      <c r="J57" s="525">
        <v>117.62197981445611</v>
      </c>
      <c r="K57" s="525">
        <v>15</v>
      </c>
      <c r="L57" s="525">
        <v>907.62197981445615</v>
      </c>
      <c r="M57" s="519"/>
      <c r="N57" s="525">
        <v>25</v>
      </c>
      <c r="O57" s="523">
        <v>12742.621979814456</v>
      </c>
      <c r="P57" s="525">
        <v>-241</v>
      </c>
      <c r="Q57" s="525">
        <v>-1214</v>
      </c>
      <c r="R57" s="610">
        <v>11287.621979814456</v>
      </c>
      <c r="S57" s="170"/>
      <c r="T57" s="381"/>
      <c r="U57" s="583"/>
      <c r="V57" s="218"/>
      <c r="W57" s="171"/>
      <c r="X57" s="219"/>
    </row>
    <row r="58" spans="1:24">
      <c r="A58" s="170"/>
      <c r="S58" s="28"/>
    </row>
    <row r="59" spans="1:24">
      <c r="A59" s="1623" t="str">
        <f>CONCATENATE(A3,"  vs  ",A31)</f>
        <v>FALL 2013  vs  TYSP 2013</v>
      </c>
      <c r="B59" s="1624"/>
      <c r="C59" s="1624"/>
      <c r="D59" s="1624"/>
      <c r="E59" s="1624"/>
      <c r="F59" s="1624"/>
      <c r="G59" s="1624"/>
      <c r="H59" s="1624"/>
      <c r="I59" s="1624"/>
      <c r="J59" s="1624"/>
      <c r="K59" s="1624"/>
      <c r="L59" s="1624"/>
      <c r="M59" s="1624"/>
      <c r="N59" s="1624"/>
      <c r="O59" s="1624"/>
      <c r="P59" s="1624"/>
      <c r="Q59" s="1624"/>
      <c r="R59" s="1625"/>
    </row>
    <row r="60" spans="1:24">
      <c r="A60" s="166"/>
      <c r="B60" s="520" t="s">
        <v>116</v>
      </c>
      <c r="C60" s="520"/>
      <c r="D60" s="520"/>
      <c r="F60" s="520" t="s">
        <v>21</v>
      </c>
      <c r="G60" s="520"/>
      <c r="H60" s="520"/>
      <c r="I60" s="520"/>
      <c r="J60" s="520"/>
      <c r="K60" s="520"/>
      <c r="L60" s="520"/>
      <c r="M60" s="520"/>
      <c r="N60" s="520"/>
      <c r="O60" s="520" t="str">
        <f>F60</f>
        <v>Total</v>
      </c>
      <c r="P60" s="520"/>
      <c r="Q60" s="728"/>
      <c r="R60" s="612"/>
    </row>
    <row r="61" spans="1:24">
      <c r="A61" s="167"/>
      <c r="B61" s="170" t="s">
        <v>117</v>
      </c>
      <c r="C61" s="170"/>
      <c r="D61" s="170" t="s">
        <v>120</v>
      </c>
      <c r="E61" s="28"/>
      <c r="F61" s="170" t="s">
        <v>118</v>
      </c>
      <c r="G61" s="170"/>
      <c r="H61" s="1632" t="s">
        <v>123</v>
      </c>
      <c r="I61" s="1633"/>
      <c r="J61" s="1633"/>
      <c r="K61" s="1633"/>
      <c r="L61" s="1634"/>
      <c r="M61" s="170"/>
      <c r="N61" s="521"/>
      <c r="O61" s="170" t="s">
        <v>125</v>
      </c>
      <c r="P61" s="170"/>
      <c r="Q61" s="591"/>
      <c r="R61" s="613" t="s">
        <v>21</v>
      </c>
    </row>
    <row r="62" spans="1:24">
      <c r="A62" s="167"/>
      <c r="B62" s="170" t="s">
        <v>118</v>
      </c>
      <c r="C62" s="170" t="s">
        <v>118</v>
      </c>
      <c r="D62" s="170" t="s">
        <v>21</v>
      </c>
      <c r="E62" s="591" t="s">
        <v>121</v>
      </c>
      <c r="F62" s="170" t="s">
        <v>122</v>
      </c>
      <c r="G62" s="170"/>
      <c r="H62" s="520" t="s">
        <v>21</v>
      </c>
      <c r="I62" s="520" t="s">
        <v>288</v>
      </c>
      <c r="J62" s="520"/>
      <c r="K62" s="706" t="s">
        <v>349</v>
      </c>
      <c r="L62" s="520"/>
      <c r="M62" s="170"/>
      <c r="N62" s="170" t="s">
        <v>264</v>
      </c>
      <c r="O62" s="170" t="str">
        <f>F62</f>
        <v>before</v>
      </c>
      <c r="P62" s="170" t="s">
        <v>21</v>
      </c>
      <c r="Q62" s="729" t="s">
        <v>147</v>
      </c>
      <c r="R62" s="613" t="s">
        <v>125</v>
      </c>
    </row>
    <row r="63" spans="1:24" ht="14.25" customHeight="1">
      <c r="A63" s="168" t="s">
        <v>126</v>
      </c>
      <c r="B63" s="519" t="s">
        <v>119</v>
      </c>
      <c r="C63" s="519" t="s">
        <v>66</v>
      </c>
      <c r="D63" s="519" t="s">
        <v>118</v>
      </c>
      <c r="E63" s="731" t="s">
        <v>59</v>
      </c>
      <c r="F63" s="519" t="s">
        <v>62</v>
      </c>
      <c r="G63" s="519"/>
      <c r="H63" s="586" t="s">
        <v>154</v>
      </c>
      <c r="I63" s="586" t="s">
        <v>286</v>
      </c>
      <c r="J63" s="519" t="s">
        <v>287</v>
      </c>
      <c r="K63" s="705" t="s">
        <v>117</v>
      </c>
      <c r="L63" s="519" t="s">
        <v>0</v>
      </c>
      <c r="M63" s="519"/>
      <c r="N63" s="519" t="s">
        <v>124</v>
      </c>
      <c r="O63" s="519" t="str">
        <f>F63</f>
        <v>DLC</v>
      </c>
      <c r="P63" s="519" t="s">
        <v>66</v>
      </c>
      <c r="Q63" s="731" t="s">
        <v>131</v>
      </c>
      <c r="R63" s="614" t="s">
        <v>117</v>
      </c>
    </row>
    <row r="64" spans="1:24" hidden="1">
      <c r="A64" s="169">
        <f t="shared" ref="A64:A85" si="8">A36</f>
        <v>2009</v>
      </c>
      <c r="B64" s="524" t="e">
        <f t="shared" ref="B64:F79" si="9">B8-B36</f>
        <v>#REF!</v>
      </c>
      <c r="C64" s="524" t="e">
        <f t="shared" si="9"/>
        <v>#REF!</v>
      </c>
      <c r="D64" s="524" t="e">
        <f t="shared" si="9"/>
        <v>#REF!</v>
      </c>
      <c r="E64" s="322" t="e">
        <f t="shared" si="9"/>
        <v>#REF!</v>
      </c>
      <c r="F64" s="524" t="e">
        <f t="shared" si="9"/>
        <v>#REF!</v>
      </c>
      <c r="G64" s="170"/>
      <c r="H64" s="524" t="e">
        <f t="shared" ref="H64:L79" si="10">H8-H36</f>
        <v>#REF!</v>
      </c>
      <c r="I64" s="524" t="e">
        <f t="shared" si="10"/>
        <v>#REF!</v>
      </c>
      <c r="J64" s="524" t="e">
        <f t="shared" si="10"/>
        <v>#REF!</v>
      </c>
      <c r="K64" s="524" t="e">
        <f t="shared" si="10"/>
        <v>#REF!</v>
      </c>
      <c r="L64" s="524" t="e">
        <f t="shared" si="10"/>
        <v>#REF!</v>
      </c>
      <c r="M64" s="170"/>
      <c r="N64" s="524" t="e">
        <f t="shared" ref="N64:Q79" si="11">N8-N36</f>
        <v>#REF!</v>
      </c>
      <c r="O64" s="524" t="e">
        <f t="shared" si="11"/>
        <v>#REF!</v>
      </c>
      <c r="P64" s="524" t="e">
        <f t="shared" si="11"/>
        <v>#REF!</v>
      </c>
      <c r="Q64" s="322" t="e">
        <f t="shared" si="11"/>
        <v>#REF!</v>
      </c>
      <c r="R64" s="611" t="e">
        <f t="shared" ref="R64:R81" si="12">O64+P64+Q64</f>
        <v>#REF!</v>
      </c>
    </row>
    <row r="65" spans="1:19" hidden="1">
      <c r="A65" s="169">
        <f t="shared" si="8"/>
        <v>2010</v>
      </c>
      <c r="B65" s="524" t="e">
        <f t="shared" si="9"/>
        <v>#REF!</v>
      </c>
      <c r="C65" s="524" t="e">
        <f t="shared" si="9"/>
        <v>#REF!</v>
      </c>
      <c r="D65" s="524" t="e">
        <f t="shared" si="9"/>
        <v>#REF!</v>
      </c>
      <c r="E65" s="322" t="e">
        <f t="shared" si="9"/>
        <v>#REF!</v>
      </c>
      <c r="F65" s="524" t="e">
        <f t="shared" si="9"/>
        <v>#REF!</v>
      </c>
      <c r="G65" s="170"/>
      <c r="H65" s="524" t="e">
        <f t="shared" si="10"/>
        <v>#REF!</v>
      </c>
      <c r="I65" s="524" t="e">
        <f t="shared" si="10"/>
        <v>#REF!</v>
      </c>
      <c r="J65" s="524" t="e">
        <f t="shared" si="10"/>
        <v>#REF!</v>
      </c>
      <c r="K65" s="524" t="e">
        <f t="shared" si="10"/>
        <v>#REF!</v>
      </c>
      <c r="L65" s="524" t="e">
        <f t="shared" si="10"/>
        <v>#REF!</v>
      </c>
      <c r="M65" s="170"/>
      <c r="N65" s="524" t="e">
        <f t="shared" si="11"/>
        <v>#REF!</v>
      </c>
      <c r="O65" s="524" t="e">
        <f t="shared" si="11"/>
        <v>#REF!</v>
      </c>
      <c r="P65" s="524" t="e">
        <f t="shared" si="11"/>
        <v>#REF!</v>
      </c>
      <c r="Q65" s="322" t="e">
        <f t="shared" si="11"/>
        <v>#REF!</v>
      </c>
      <c r="R65" s="611" t="e">
        <f t="shared" si="12"/>
        <v>#REF!</v>
      </c>
    </row>
    <row r="66" spans="1:19" hidden="1">
      <c r="A66" s="169">
        <f t="shared" si="8"/>
        <v>2011</v>
      </c>
      <c r="B66" s="524" t="e">
        <f t="shared" si="9"/>
        <v>#REF!</v>
      </c>
      <c r="C66" s="524" t="e">
        <f t="shared" si="9"/>
        <v>#REF!</v>
      </c>
      <c r="D66" s="524" t="e">
        <f t="shared" si="9"/>
        <v>#REF!</v>
      </c>
      <c r="E66" s="322" t="e">
        <f t="shared" si="9"/>
        <v>#REF!</v>
      </c>
      <c r="F66" s="524" t="e">
        <f t="shared" si="9"/>
        <v>#REF!</v>
      </c>
      <c r="G66" s="170"/>
      <c r="H66" s="524" t="e">
        <f t="shared" si="10"/>
        <v>#REF!</v>
      </c>
      <c r="I66" s="524" t="e">
        <f t="shared" si="10"/>
        <v>#REF!</v>
      </c>
      <c r="J66" s="524" t="e">
        <f t="shared" si="10"/>
        <v>#REF!</v>
      </c>
      <c r="K66" s="524" t="e">
        <f t="shared" si="10"/>
        <v>#REF!</v>
      </c>
      <c r="L66" s="524" t="e">
        <f t="shared" si="10"/>
        <v>#REF!</v>
      </c>
      <c r="M66" s="170"/>
      <c r="N66" s="524" t="e">
        <f t="shared" si="11"/>
        <v>#REF!</v>
      </c>
      <c r="O66" s="524" t="e">
        <f t="shared" si="11"/>
        <v>#REF!</v>
      </c>
      <c r="P66" s="524" t="e">
        <f t="shared" si="11"/>
        <v>#REF!</v>
      </c>
      <c r="Q66" s="322" t="e">
        <f t="shared" si="11"/>
        <v>#REF!</v>
      </c>
      <c r="R66" s="611" t="e">
        <f t="shared" si="12"/>
        <v>#REF!</v>
      </c>
    </row>
    <row r="67" spans="1:19" s="28" customFormat="1">
      <c r="A67" s="169">
        <f t="shared" si="8"/>
        <v>2012</v>
      </c>
      <c r="B67" s="524" t="e">
        <f t="shared" si="9"/>
        <v>#REF!</v>
      </c>
      <c r="C67" s="524" t="e">
        <f t="shared" si="9"/>
        <v>#REF!</v>
      </c>
      <c r="D67" s="524" t="e">
        <f t="shared" si="9"/>
        <v>#REF!</v>
      </c>
      <c r="E67" s="322" t="e">
        <f t="shared" si="9"/>
        <v>#REF!</v>
      </c>
      <c r="F67" s="524" t="e">
        <f t="shared" si="9"/>
        <v>#REF!</v>
      </c>
      <c r="G67" s="170"/>
      <c r="H67" s="524" t="e">
        <f t="shared" si="10"/>
        <v>#REF!</v>
      </c>
      <c r="I67" s="524" t="e">
        <f t="shared" si="10"/>
        <v>#REF!</v>
      </c>
      <c r="J67" s="524" t="e">
        <f t="shared" si="10"/>
        <v>#REF!</v>
      </c>
      <c r="K67" s="524" t="e">
        <f t="shared" si="10"/>
        <v>#REF!</v>
      </c>
      <c r="L67" s="524" t="e">
        <f t="shared" si="10"/>
        <v>#REF!</v>
      </c>
      <c r="M67" s="170"/>
      <c r="N67" s="524" t="e">
        <f t="shared" si="11"/>
        <v>#REF!</v>
      </c>
      <c r="O67" s="524" t="e">
        <f t="shared" si="11"/>
        <v>#REF!</v>
      </c>
      <c r="P67" s="524" t="e">
        <f t="shared" si="11"/>
        <v>#REF!</v>
      </c>
      <c r="Q67" s="322" t="e">
        <f t="shared" si="11"/>
        <v>#REF!</v>
      </c>
      <c r="R67" s="611" t="e">
        <f t="shared" si="12"/>
        <v>#REF!</v>
      </c>
    </row>
    <row r="68" spans="1:19">
      <c r="A68" s="169">
        <f t="shared" si="8"/>
        <v>2013</v>
      </c>
      <c r="B68" s="524">
        <f t="shared" si="9"/>
        <v>-4632</v>
      </c>
      <c r="C68" s="524">
        <f t="shared" si="9"/>
        <v>11</v>
      </c>
      <c r="D68" s="524">
        <f t="shared" si="9"/>
        <v>-4621</v>
      </c>
      <c r="E68" s="322">
        <f t="shared" si="9"/>
        <v>956</v>
      </c>
      <c r="F68" s="524">
        <f t="shared" si="9"/>
        <v>-3665</v>
      </c>
      <c r="G68" s="170"/>
      <c r="H68" s="524">
        <f t="shared" si="10"/>
        <v>-388</v>
      </c>
      <c r="I68" s="524">
        <f t="shared" si="10"/>
        <v>23.629999999999995</v>
      </c>
      <c r="J68" s="524">
        <f t="shared" si="10"/>
        <v>68.468020185543878</v>
      </c>
      <c r="K68" s="524">
        <f t="shared" si="10"/>
        <v>9.9999999999997868E-3</v>
      </c>
      <c r="L68" s="524">
        <f t="shared" si="10"/>
        <v>-295.89197981445614</v>
      </c>
      <c r="M68" s="170"/>
      <c r="N68" s="524">
        <f t="shared" si="11"/>
        <v>-25</v>
      </c>
      <c r="O68" s="524">
        <f t="shared" si="11"/>
        <v>-3985.8919798144561</v>
      </c>
      <c r="P68" s="524">
        <f t="shared" si="11"/>
        <v>-11.009999999999991</v>
      </c>
      <c r="Q68" s="322">
        <f t="shared" si="11"/>
        <v>48</v>
      </c>
      <c r="R68" s="611">
        <f t="shared" si="12"/>
        <v>-3948.9019798144564</v>
      </c>
    </row>
    <row r="69" spans="1:19">
      <c r="A69" s="169">
        <f t="shared" si="8"/>
        <v>2014</v>
      </c>
      <c r="B69" s="524">
        <f t="shared" si="9"/>
        <v>-1159</v>
      </c>
      <c r="C69" s="524">
        <f t="shared" si="9"/>
        <v>26</v>
      </c>
      <c r="D69" s="524">
        <f t="shared" si="9"/>
        <v>-1133</v>
      </c>
      <c r="E69" s="322">
        <f t="shared" si="9"/>
        <v>955.42441397499999</v>
      </c>
      <c r="F69" s="524">
        <f t="shared" si="9"/>
        <v>-177.57558602499921</v>
      </c>
      <c r="G69" s="170"/>
      <c r="H69" s="524">
        <f t="shared" si="10"/>
        <v>0</v>
      </c>
      <c r="I69" s="524">
        <f t="shared" si="10"/>
        <v>23.86</v>
      </c>
      <c r="J69" s="524">
        <f t="shared" si="10"/>
        <v>81.448020185543882</v>
      </c>
      <c r="K69" s="524">
        <f t="shared" si="10"/>
        <v>-15</v>
      </c>
      <c r="L69" s="524">
        <f t="shared" si="10"/>
        <v>90.30802018554391</v>
      </c>
      <c r="M69" s="170"/>
      <c r="N69" s="524">
        <f t="shared" si="11"/>
        <v>0</v>
      </c>
      <c r="O69" s="524">
        <f t="shared" si="11"/>
        <v>-87.267565839454619</v>
      </c>
      <c r="P69" s="524">
        <f t="shared" si="11"/>
        <v>-11</v>
      </c>
      <c r="Q69" s="322">
        <f t="shared" si="11"/>
        <v>15</v>
      </c>
      <c r="R69" s="611">
        <f t="shared" si="12"/>
        <v>-83.267565839454619</v>
      </c>
    </row>
    <row r="70" spans="1:19">
      <c r="A70" s="169">
        <f t="shared" si="8"/>
        <v>2015</v>
      </c>
      <c r="B70" s="524">
        <f t="shared" si="9"/>
        <v>-1517</v>
      </c>
      <c r="C70" s="524">
        <f t="shared" si="9"/>
        <v>16</v>
      </c>
      <c r="D70" s="524">
        <f t="shared" si="9"/>
        <v>-1501</v>
      </c>
      <c r="E70" s="322">
        <f t="shared" si="9"/>
        <v>947.89773801445006</v>
      </c>
      <c r="F70" s="524">
        <f t="shared" si="9"/>
        <v>-553.10226198555029</v>
      </c>
      <c r="G70" s="170"/>
      <c r="H70" s="524">
        <f t="shared" si="10"/>
        <v>0</v>
      </c>
      <c r="I70" s="524">
        <f t="shared" si="10"/>
        <v>24</v>
      </c>
      <c r="J70" s="524">
        <f t="shared" si="10"/>
        <v>62.428020185543872</v>
      </c>
      <c r="K70" s="524">
        <f t="shared" si="10"/>
        <v>-15</v>
      </c>
      <c r="L70" s="524">
        <f t="shared" si="10"/>
        <v>71.428020185543801</v>
      </c>
      <c r="M70" s="170"/>
      <c r="N70" s="524">
        <f t="shared" si="11"/>
        <v>0</v>
      </c>
      <c r="O70" s="524">
        <f t="shared" si="11"/>
        <v>-481.67424180000671</v>
      </c>
      <c r="P70" s="524">
        <f t="shared" si="11"/>
        <v>-1</v>
      </c>
      <c r="Q70" s="322">
        <f t="shared" si="11"/>
        <v>12</v>
      </c>
      <c r="R70" s="611">
        <f t="shared" si="12"/>
        <v>-470.67424180000671</v>
      </c>
    </row>
    <row r="71" spans="1:19">
      <c r="A71" s="169">
        <f t="shared" si="8"/>
        <v>2016</v>
      </c>
      <c r="B71" s="524">
        <f t="shared" si="9"/>
        <v>-1438</v>
      </c>
      <c r="C71" s="524">
        <f t="shared" si="9"/>
        <v>15</v>
      </c>
      <c r="D71" s="524">
        <f t="shared" si="9"/>
        <v>-1423</v>
      </c>
      <c r="E71" s="322">
        <f t="shared" si="9"/>
        <v>947.54904585192764</v>
      </c>
      <c r="F71" s="524">
        <f t="shared" si="9"/>
        <v>-475.45095414807292</v>
      </c>
      <c r="G71" s="170"/>
      <c r="H71" s="524">
        <f t="shared" si="10"/>
        <v>0</v>
      </c>
      <c r="I71" s="524">
        <f t="shared" si="10"/>
        <v>23.22</v>
      </c>
      <c r="J71" s="524">
        <f t="shared" si="10"/>
        <v>64.428020185543872</v>
      </c>
      <c r="K71" s="524">
        <f t="shared" si="10"/>
        <v>-15</v>
      </c>
      <c r="L71" s="524">
        <f t="shared" si="10"/>
        <v>72.648020185543828</v>
      </c>
      <c r="M71" s="170"/>
      <c r="N71" s="524">
        <f t="shared" si="11"/>
        <v>0</v>
      </c>
      <c r="O71" s="524">
        <f t="shared" si="11"/>
        <v>-402.80293396252819</v>
      </c>
      <c r="P71" s="524">
        <f t="shared" si="11"/>
        <v>0</v>
      </c>
      <c r="Q71" s="322">
        <f t="shared" si="11"/>
        <v>11</v>
      </c>
      <c r="R71" s="611">
        <f t="shared" si="12"/>
        <v>-391.80293396252819</v>
      </c>
    </row>
    <row r="72" spans="1:19">
      <c r="A72" s="169">
        <f t="shared" si="8"/>
        <v>2017</v>
      </c>
      <c r="B72" s="524">
        <f t="shared" si="9"/>
        <v>-1340</v>
      </c>
      <c r="C72" s="524">
        <f t="shared" si="9"/>
        <v>6</v>
      </c>
      <c r="D72" s="524">
        <f t="shared" si="9"/>
        <v>-1334</v>
      </c>
      <c r="E72" s="322">
        <f t="shared" si="9"/>
        <v>947.48778829753121</v>
      </c>
      <c r="F72" s="524">
        <f t="shared" si="9"/>
        <v>-386.51221170246936</v>
      </c>
      <c r="G72" s="170"/>
      <c r="H72" s="524">
        <f t="shared" si="10"/>
        <v>0</v>
      </c>
      <c r="I72" s="524">
        <f t="shared" si="10"/>
        <v>-0.39000000000000057</v>
      </c>
      <c r="J72" s="524">
        <f t="shared" si="10"/>
        <v>-52.571979814456114</v>
      </c>
      <c r="K72" s="524">
        <f t="shared" si="10"/>
        <v>-15</v>
      </c>
      <c r="L72" s="524">
        <f t="shared" si="10"/>
        <v>-67.961979814456072</v>
      </c>
      <c r="M72" s="170"/>
      <c r="N72" s="524">
        <f t="shared" si="11"/>
        <v>0</v>
      </c>
      <c r="O72" s="524">
        <f t="shared" si="11"/>
        <v>-454.4741915169252</v>
      </c>
      <c r="P72" s="524">
        <f t="shared" si="11"/>
        <v>9</v>
      </c>
      <c r="Q72" s="322">
        <f t="shared" si="11"/>
        <v>62</v>
      </c>
      <c r="R72" s="611">
        <f t="shared" si="12"/>
        <v>-383.4741915169252</v>
      </c>
    </row>
    <row r="73" spans="1:19">
      <c r="A73" s="169">
        <f t="shared" si="8"/>
        <v>2018</v>
      </c>
      <c r="B73" s="524">
        <f t="shared" si="9"/>
        <v>-1241</v>
      </c>
      <c r="C73" s="524">
        <f t="shared" si="9"/>
        <v>9</v>
      </c>
      <c r="D73" s="524">
        <f t="shared" si="9"/>
        <v>-1232</v>
      </c>
      <c r="E73" s="322">
        <f t="shared" si="9"/>
        <v>947.28898324184604</v>
      </c>
      <c r="F73" s="524">
        <f t="shared" si="9"/>
        <v>-284.71101675815407</v>
      </c>
      <c r="G73" s="170"/>
      <c r="H73" s="524">
        <f t="shared" si="10"/>
        <v>0</v>
      </c>
      <c r="I73" s="524">
        <f t="shared" si="10"/>
        <v>-0.19999999999999929</v>
      </c>
      <c r="J73" s="524">
        <f t="shared" si="10"/>
        <v>-52.571979814456114</v>
      </c>
      <c r="K73" s="524">
        <f t="shared" si="10"/>
        <v>-15</v>
      </c>
      <c r="L73" s="524">
        <f t="shared" si="10"/>
        <v>-67.771979814456245</v>
      </c>
      <c r="M73" s="170"/>
      <c r="N73" s="524">
        <f t="shared" si="11"/>
        <v>0</v>
      </c>
      <c r="O73" s="524">
        <f t="shared" si="11"/>
        <v>-352.48299657260941</v>
      </c>
      <c r="P73" s="524">
        <f t="shared" si="11"/>
        <v>6</v>
      </c>
      <c r="Q73" s="322">
        <f t="shared" si="11"/>
        <v>62</v>
      </c>
      <c r="R73" s="611">
        <f t="shared" si="12"/>
        <v>-284.48299657260941</v>
      </c>
    </row>
    <row r="74" spans="1:19">
      <c r="A74" s="169">
        <f t="shared" si="8"/>
        <v>2019</v>
      </c>
      <c r="B74" s="524">
        <f t="shared" si="9"/>
        <v>-1289</v>
      </c>
      <c r="C74" s="524">
        <f t="shared" si="9"/>
        <v>38</v>
      </c>
      <c r="D74" s="524">
        <f t="shared" si="9"/>
        <v>-1251</v>
      </c>
      <c r="E74" s="322">
        <f t="shared" si="9"/>
        <v>947.86036843894487</v>
      </c>
      <c r="F74" s="524">
        <f t="shared" si="9"/>
        <v>-303.13963156105456</v>
      </c>
      <c r="G74" s="170"/>
      <c r="H74" s="524">
        <f t="shared" si="10"/>
        <v>-250</v>
      </c>
      <c r="I74" s="524">
        <f t="shared" si="10"/>
        <v>0</v>
      </c>
      <c r="J74" s="524">
        <f t="shared" si="10"/>
        <v>-52.571979814456114</v>
      </c>
      <c r="K74" s="524">
        <f t="shared" si="10"/>
        <v>-15</v>
      </c>
      <c r="L74" s="524">
        <f t="shared" si="10"/>
        <v>-317.5719798144562</v>
      </c>
      <c r="M74" s="170"/>
      <c r="N74" s="524">
        <f t="shared" si="11"/>
        <v>0</v>
      </c>
      <c r="O74" s="524">
        <f t="shared" si="11"/>
        <v>-620.71161137551098</v>
      </c>
      <c r="P74" s="524">
        <f t="shared" si="11"/>
        <v>-23</v>
      </c>
      <c r="Q74" s="322">
        <f t="shared" si="11"/>
        <v>63</v>
      </c>
      <c r="R74" s="611">
        <f t="shared" si="12"/>
        <v>-580.71161137551098</v>
      </c>
    </row>
    <row r="75" spans="1:19">
      <c r="A75" s="169">
        <f t="shared" si="8"/>
        <v>2020</v>
      </c>
      <c r="B75" s="524">
        <f t="shared" si="9"/>
        <v>-1343</v>
      </c>
      <c r="C75" s="524">
        <f t="shared" si="9"/>
        <v>45</v>
      </c>
      <c r="D75" s="524">
        <f t="shared" si="9"/>
        <v>-1298</v>
      </c>
      <c r="E75" s="322">
        <f t="shared" si="9"/>
        <v>947.95720683294633</v>
      </c>
      <c r="F75" s="524">
        <f t="shared" si="9"/>
        <v>-350.04279316705288</v>
      </c>
      <c r="G75" s="170"/>
      <c r="H75" s="524">
        <f t="shared" si="10"/>
        <v>0</v>
      </c>
      <c r="I75" s="524">
        <f t="shared" si="10"/>
        <v>0.19000000000000128</v>
      </c>
      <c r="J75" s="524">
        <f t="shared" si="10"/>
        <v>-52.571979814456114</v>
      </c>
      <c r="K75" s="524">
        <f t="shared" si="10"/>
        <v>-15</v>
      </c>
      <c r="L75" s="524">
        <f t="shared" si="10"/>
        <v>-67.381979814456145</v>
      </c>
      <c r="M75" s="170"/>
      <c r="N75" s="524">
        <f t="shared" si="11"/>
        <v>0</v>
      </c>
      <c r="O75" s="524">
        <f t="shared" si="11"/>
        <v>-417.4247729815088</v>
      </c>
      <c r="P75" s="524">
        <f t="shared" si="11"/>
        <v>-30</v>
      </c>
      <c r="Q75" s="322">
        <f t="shared" si="11"/>
        <v>63</v>
      </c>
      <c r="R75" s="611">
        <f t="shared" si="12"/>
        <v>-384.4247729815088</v>
      </c>
    </row>
    <row r="76" spans="1:19">
      <c r="A76" s="169">
        <f t="shared" si="8"/>
        <v>2021</v>
      </c>
      <c r="B76" s="524">
        <f t="shared" si="9"/>
        <v>-1399</v>
      </c>
      <c r="C76" s="524">
        <f t="shared" si="9"/>
        <v>38</v>
      </c>
      <c r="D76" s="524">
        <f t="shared" si="9"/>
        <v>-1361</v>
      </c>
      <c r="E76" s="322">
        <f t="shared" si="9"/>
        <v>947.64909366719155</v>
      </c>
      <c r="F76" s="524">
        <f t="shared" si="9"/>
        <v>-413.35090633280925</v>
      </c>
      <c r="G76" s="170"/>
      <c r="H76" s="524">
        <f t="shared" si="10"/>
        <v>0</v>
      </c>
      <c r="I76" s="524">
        <f t="shared" si="10"/>
        <v>0.2900000000000027</v>
      </c>
      <c r="J76" s="524">
        <f t="shared" si="10"/>
        <v>-52.571979814456114</v>
      </c>
      <c r="K76" s="524">
        <f t="shared" si="10"/>
        <v>-15</v>
      </c>
      <c r="L76" s="524">
        <f t="shared" si="10"/>
        <v>-67.281979814456236</v>
      </c>
      <c r="M76" s="170"/>
      <c r="N76" s="524">
        <f t="shared" si="11"/>
        <v>0</v>
      </c>
      <c r="O76" s="524">
        <f t="shared" si="11"/>
        <v>-480.6328861472648</v>
      </c>
      <c r="P76" s="524">
        <f t="shared" si="11"/>
        <v>-23</v>
      </c>
      <c r="Q76" s="322">
        <f t="shared" si="11"/>
        <v>65</v>
      </c>
      <c r="R76" s="611">
        <f t="shared" si="12"/>
        <v>-438.6328861472648</v>
      </c>
    </row>
    <row r="77" spans="1:19">
      <c r="A77" s="169">
        <f t="shared" si="8"/>
        <v>2022</v>
      </c>
      <c r="B77" s="524">
        <f t="shared" si="9"/>
        <v>-1461</v>
      </c>
      <c r="C77" s="524">
        <f t="shared" si="9"/>
        <v>38</v>
      </c>
      <c r="D77" s="524">
        <f t="shared" si="9"/>
        <v>-1423</v>
      </c>
      <c r="E77" s="322">
        <f t="shared" si="9"/>
        <v>947.22947485218458</v>
      </c>
      <c r="F77" s="524">
        <f t="shared" si="9"/>
        <v>-475.77052514781462</v>
      </c>
      <c r="G77" s="170"/>
      <c r="H77" s="524">
        <f t="shared" si="10"/>
        <v>150</v>
      </c>
      <c r="I77" s="524">
        <f t="shared" si="10"/>
        <v>0.48000000000000043</v>
      </c>
      <c r="J77" s="524">
        <f t="shared" si="10"/>
        <v>-52.571979814456114</v>
      </c>
      <c r="K77" s="524">
        <f t="shared" si="10"/>
        <v>-15</v>
      </c>
      <c r="L77" s="524">
        <f t="shared" si="10"/>
        <v>82.908020185543819</v>
      </c>
      <c r="M77" s="170"/>
      <c r="N77" s="524">
        <f t="shared" si="11"/>
        <v>0</v>
      </c>
      <c r="O77" s="524">
        <f t="shared" si="11"/>
        <v>-392.86250496226967</v>
      </c>
      <c r="P77" s="524">
        <f t="shared" si="11"/>
        <v>-23</v>
      </c>
      <c r="Q77" s="322">
        <f t="shared" si="11"/>
        <v>68</v>
      </c>
      <c r="R77" s="611">
        <f t="shared" si="12"/>
        <v>-347.86250496226967</v>
      </c>
    </row>
    <row r="78" spans="1:19">
      <c r="A78" s="169">
        <f t="shared" si="8"/>
        <v>2023</v>
      </c>
      <c r="B78" s="524">
        <f t="shared" si="9"/>
        <v>-1528</v>
      </c>
      <c r="C78" s="524">
        <f t="shared" si="9"/>
        <v>43</v>
      </c>
      <c r="D78" s="524">
        <f t="shared" si="9"/>
        <v>-1485</v>
      </c>
      <c r="E78" s="322">
        <f t="shared" si="9"/>
        <v>947.69598796503112</v>
      </c>
      <c r="F78" s="524">
        <f t="shared" si="9"/>
        <v>-537.30401203496876</v>
      </c>
      <c r="G78" s="170"/>
      <c r="H78" s="524">
        <f t="shared" si="10"/>
        <v>300</v>
      </c>
      <c r="I78" s="524">
        <f t="shared" si="10"/>
        <v>0.67000000000000171</v>
      </c>
      <c r="J78" s="524">
        <f t="shared" si="10"/>
        <v>-52.571979814456114</v>
      </c>
      <c r="K78" s="524">
        <f t="shared" si="10"/>
        <v>-15</v>
      </c>
      <c r="L78" s="524">
        <f t="shared" si="10"/>
        <v>233.09802018554387</v>
      </c>
      <c r="M78" s="170"/>
      <c r="N78" s="524">
        <f t="shared" si="11"/>
        <v>0</v>
      </c>
      <c r="O78" s="524">
        <f t="shared" si="11"/>
        <v>-304.20599184942512</v>
      </c>
      <c r="P78" s="524">
        <f t="shared" si="11"/>
        <v>-28</v>
      </c>
      <c r="Q78" s="322">
        <f t="shared" si="11"/>
        <v>70</v>
      </c>
      <c r="R78" s="611">
        <f t="shared" si="12"/>
        <v>-262.20599184942512</v>
      </c>
    </row>
    <row r="79" spans="1:19">
      <c r="A79" s="169">
        <f t="shared" si="8"/>
        <v>2024</v>
      </c>
      <c r="B79" s="524">
        <f t="shared" si="9"/>
        <v>-1601</v>
      </c>
      <c r="C79" s="524">
        <f t="shared" si="9"/>
        <v>42</v>
      </c>
      <c r="D79" s="524">
        <f t="shared" si="9"/>
        <v>-1559</v>
      </c>
      <c r="E79" s="322">
        <f t="shared" si="9"/>
        <v>947.5604037622328</v>
      </c>
      <c r="F79" s="524">
        <f t="shared" si="9"/>
        <v>-611.43959623776755</v>
      </c>
      <c r="G79" s="170"/>
      <c r="H79" s="524">
        <f t="shared" si="10"/>
        <v>300</v>
      </c>
      <c r="I79" s="524">
        <f t="shared" si="10"/>
        <v>0.76999999999999957</v>
      </c>
      <c r="J79" s="524">
        <f t="shared" si="10"/>
        <v>-52.571979814456114</v>
      </c>
      <c r="K79" s="524">
        <f t="shared" si="10"/>
        <v>-15</v>
      </c>
      <c r="L79" s="524">
        <f t="shared" si="10"/>
        <v>233.19802018554378</v>
      </c>
      <c r="M79" s="170"/>
      <c r="N79" s="524">
        <f t="shared" si="11"/>
        <v>0</v>
      </c>
      <c r="O79" s="524">
        <f t="shared" si="11"/>
        <v>-378.24157605222354</v>
      </c>
      <c r="P79" s="524">
        <f t="shared" si="11"/>
        <v>-27</v>
      </c>
      <c r="Q79" s="322">
        <f t="shared" si="11"/>
        <v>70</v>
      </c>
      <c r="R79" s="611">
        <f t="shared" si="12"/>
        <v>-335.24157605222354</v>
      </c>
      <c r="S79" s="28"/>
    </row>
    <row r="80" spans="1:19">
      <c r="A80" s="169">
        <f t="shared" si="8"/>
        <v>2025</v>
      </c>
      <c r="B80" s="524">
        <f t="shared" ref="B80:F81" si="13">B24-B52</f>
        <v>-1676</v>
      </c>
      <c r="C80" s="524">
        <f t="shared" si="13"/>
        <v>57</v>
      </c>
      <c r="D80" s="524">
        <f t="shared" si="13"/>
        <v>-1619</v>
      </c>
      <c r="E80" s="322">
        <f t="shared" si="13"/>
        <v>947.63530954077203</v>
      </c>
      <c r="F80" s="524">
        <f t="shared" si="13"/>
        <v>-671.36469045922786</v>
      </c>
      <c r="G80" s="170"/>
      <c r="H80" s="524">
        <f t="shared" ref="H80:L81" si="14">H24-H52</f>
        <v>500</v>
      </c>
      <c r="I80" s="524">
        <f t="shared" si="14"/>
        <v>-1.0499999999999972</v>
      </c>
      <c r="J80" s="524">
        <f t="shared" si="14"/>
        <v>-52.571979814456114</v>
      </c>
      <c r="K80" s="524">
        <f t="shared" si="14"/>
        <v>-15</v>
      </c>
      <c r="L80" s="524">
        <f t="shared" si="14"/>
        <v>431.37802018554385</v>
      </c>
      <c r="M80" s="170"/>
      <c r="N80" s="524">
        <f t="shared" ref="N80:Q81" si="15">N24-N52</f>
        <v>0</v>
      </c>
      <c r="O80" s="524">
        <f t="shared" si="15"/>
        <v>-239.98667027368356</v>
      </c>
      <c r="P80" s="524">
        <f t="shared" si="15"/>
        <v>-42</v>
      </c>
      <c r="Q80" s="322">
        <f t="shared" si="15"/>
        <v>72</v>
      </c>
      <c r="R80" s="611">
        <f t="shared" si="12"/>
        <v>-209.98667027368356</v>
      </c>
    </row>
    <row r="81" spans="1:18">
      <c r="A81" s="169">
        <f t="shared" si="8"/>
        <v>2026</v>
      </c>
      <c r="B81" s="524">
        <f t="shared" si="13"/>
        <v>-1755</v>
      </c>
      <c r="C81" s="524">
        <f t="shared" si="13"/>
        <v>72</v>
      </c>
      <c r="D81" s="524">
        <f t="shared" si="13"/>
        <v>-1683</v>
      </c>
      <c r="E81" s="322">
        <f t="shared" si="13"/>
        <v>948.00063102818069</v>
      </c>
      <c r="F81" s="524">
        <f t="shared" si="13"/>
        <v>-734.99936897181942</v>
      </c>
      <c r="G81" s="170"/>
      <c r="H81" s="524">
        <f t="shared" si="14"/>
        <v>500</v>
      </c>
      <c r="I81" s="524">
        <f t="shared" si="14"/>
        <v>-0.85999999999999943</v>
      </c>
      <c r="J81" s="524">
        <f t="shared" si="14"/>
        <v>-52.571979814456114</v>
      </c>
      <c r="K81" s="524">
        <f t="shared" si="14"/>
        <v>-15</v>
      </c>
      <c r="L81" s="524">
        <f t="shared" si="14"/>
        <v>431.5680201855439</v>
      </c>
      <c r="M81" s="170"/>
      <c r="N81" s="524">
        <f t="shared" si="15"/>
        <v>0</v>
      </c>
      <c r="O81" s="524">
        <f t="shared" si="15"/>
        <v>-303.43134878627461</v>
      </c>
      <c r="P81" s="524">
        <f t="shared" si="15"/>
        <v>-57</v>
      </c>
      <c r="Q81" s="322">
        <f t="shared" si="15"/>
        <v>74</v>
      </c>
      <c r="R81" s="611">
        <f t="shared" si="12"/>
        <v>-286.43134878627461</v>
      </c>
    </row>
    <row r="82" spans="1:18">
      <c r="A82" s="169">
        <f t="shared" si="8"/>
        <v>2027</v>
      </c>
      <c r="B82" s="524">
        <f t="shared" ref="B82:F85" si="16">B26-B54</f>
        <v>-1837</v>
      </c>
      <c r="C82" s="524">
        <f t="shared" si="16"/>
        <v>75</v>
      </c>
      <c r="D82" s="524">
        <f t="shared" si="16"/>
        <v>-1762</v>
      </c>
      <c r="E82" s="322">
        <f t="shared" si="16"/>
        <v>947.38717075315856</v>
      </c>
      <c r="F82" s="524">
        <f t="shared" si="16"/>
        <v>-814.61282924684201</v>
      </c>
      <c r="G82" s="170"/>
      <c r="H82" s="524">
        <f t="shared" ref="H82:L85" si="17">H26-H54</f>
        <v>500</v>
      </c>
      <c r="I82" s="524">
        <f t="shared" si="17"/>
        <v>-0.66999999999999815</v>
      </c>
      <c r="J82" s="524">
        <f t="shared" si="17"/>
        <v>-52.571979814456114</v>
      </c>
      <c r="K82" s="524">
        <f t="shared" si="17"/>
        <v>-15</v>
      </c>
      <c r="L82" s="524">
        <f t="shared" si="17"/>
        <v>431.75802018554373</v>
      </c>
      <c r="M82" s="170"/>
      <c r="N82" s="524">
        <f t="shared" ref="N82:Q85" si="18">N26-N54</f>
        <v>0</v>
      </c>
      <c r="O82" s="524">
        <f t="shared" si="18"/>
        <v>-382.85480906129851</v>
      </c>
      <c r="P82" s="524">
        <f t="shared" si="18"/>
        <v>-60</v>
      </c>
      <c r="Q82" s="322">
        <f t="shared" si="18"/>
        <v>77</v>
      </c>
      <c r="R82" s="611">
        <f>O82+P82+Q82</f>
        <v>-365.85480906129851</v>
      </c>
    </row>
    <row r="83" spans="1:18">
      <c r="A83" s="169">
        <f t="shared" si="8"/>
        <v>2028</v>
      </c>
      <c r="B83" s="524">
        <f t="shared" si="16"/>
        <v>-1918</v>
      </c>
      <c r="C83" s="524">
        <f t="shared" si="16"/>
        <v>78</v>
      </c>
      <c r="D83" s="524">
        <f t="shared" si="16"/>
        <v>-1840</v>
      </c>
      <c r="E83" s="322">
        <f t="shared" si="16"/>
        <v>947.63881901533398</v>
      </c>
      <c r="F83" s="524">
        <f t="shared" si="16"/>
        <v>-892.36118098466613</v>
      </c>
      <c r="G83" s="170"/>
      <c r="H83" s="524">
        <f t="shared" si="17"/>
        <v>500</v>
      </c>
      <c r="I83" s="524">
        <f t="shared" si="17"/>
        <v>-0.48000000000000043</v>
      </c>
      <c r="J83" s="524">
        <f t="shared" si="17"/>
        <v>-52.571979814456114</v>
      </c>
      <c r="K83" s="524">
        <f t="shared" si="17"/>
        <v>-15</v>
      </c>
      <c r="L83" s="524">
        <f t="shared" si="17"/>
        <v>431.94802018554378</v>
      </c>
      <c r="M83" s="170"/>
      <c r="N83" s="524">
        <f t="shared" si="18"/>
        <v>0</v>
      </c>
      <c r="O83" s="524">
        <f t="shared" si="18"/>
        <v>-460.41316079912212</v>
      </c>
      <c r="P83" s="524">
        <f t="shared" si="18"/>
        <v>-63</v>
      </c>
      <c r="Q83" s="322">
        <f t="shared" si="18"/>
        <v>78</v>
      </c>
      <c r="R83" s="611">
        <f>O83+P83+Q83</f>
        <v>-445.41316079912212</v>
      </c>
    </row>
    <row r="84" spans="1:18">
      <c r="A84" s="169">
        <f t="shared" si="8"/>
        <v>2029</v>
      </c>
      <c r="B84" s="524">
        <f t="shared" si="16"/>
        <v>-1999</v>
      </c>
      <c r="C84" s="524">
        <f t="shared" si="16"/>
        <v>79</v>
      </c>
      <c r="D84" s="524">
        <f t="shared" si="16"/>
        <v>-1920</v>
      </c>
      <c r="E84" s="322">
        <f t="shared" si="16"/>
        <v>947.5717916043883</v>
      </c>
      <c r="F84" s="524">
        <f t="shared" si="16"/>
        <v>-972.42820839561136</v>
      </c>
      <c r="G84" s="170"/>
      <c r="H84" s="524">
        <f t="shared" si="17"/>
        <v>500</v>
      </c>
      <c r="I84" s="524">
        <f t="shared" si="17"/>
        <v>-0.28999999999999915</v>
      </c>
      <c r="J84" s="524">
        <f t="shared" si="17"/>
        <v>-52.571979814456114</v>
      </c>
      <c r="K84" s="524">
        <f t="shared" si="17"/>
        <v>-15</v>
      </c>
      <c r="L84" s="524">
        <f t="shared" si="17"/>
        <v>432.13802018554384</v>
      </c>
      <c r="M84" s="170"/>
      <c r="N84" s="524">
        <f t="shared" si="18"/>
        <v>0</v>
      </c>
      <c r="O84" s="524">
        <f t="shared" si="18"/>
        <v>-540.29018821006684</v>
      </c>
      <c r="P84" s="524">
        <f t="shared" si="18"/>
        <v>-64</v>
      </c>
      <c r="Q84" s="322">
        <f t="shared" si="18"/>
        <v>80</v>
      </c>
      <c r="R84" s="611">
        <f>O84+P84+Q84</f>
        <v>-524.29018821006684</v>
      </c>
    </row>
    <row r="85" spans="1:18">
      <c r="A85" s="168">
        <f t="shared" si="8"/>
        <v>2030</v>
      </c>
      <c r="B85" s="525">
        <f t="shared" si="16"/>
        <v>-2082</v>
      </c>
      <c r="C85" s="525">
        <f t="shared" si="16"/>
        <v>79</v>
      </c>
      <c r="D85" s="525">
        <f t="shared" si="16"/>
        <v>-2003</v>
      </c>
      <c r="E85" s="597">
        <f t="shared" si="16"/>
        <v>947.23710441597643</v>
      </c>
      <c r="F85" s="525">
        <f t="shared" si="16"/>
        <v>-1055.7628955840228</v>
      </c>
      <c r="G85" s="519"/>
      <c r="H85" s="525">
        <f t="shared" si="17"/>
        <v>500</v>
      </c>
      <c r="I85" s="525">
        <f t="shared" si="17"/>
        <v>-0.18999999999999773</v>
      </c>
      <c r="J85" s="525">
        <f t="shared" si="17"/>
        <v>-52.571979814456114</v>
      </c>
      <c r="K85" s="525">
        <f t="shared" si="17"/>
        <v>-15</v>
      </c>
      <c r="L85" s="525">
        <f t="shared" si="17"/>
        <v>432.23802018554375</v>
      </c>
      <c r="M85" s="519"/>
      <c r="N85" s="525">
        <f t="shared" si="18"/>
        <v>0</v>
      </c>
      <c r="O85" s="525">
        <f t="shared" si="18"/>
        <v>-623.52487539847789</v>
      </c>
      <c r="P85" s="525">
        <f t="shared" si="18"/>
        <v>-64</v>
      </c>
      <c r="Q85" s="597">
        <f t="shared" si="18"/>
        <v>83</v>
      </c>
      <c r="R85" s="615">
        <f>O85+P85+Q85</f>
        <v>-604.52487539847789</v>
      </c>
    </row>
    <row r="86" spans="1:18">
      <c r="A86" s="170"/>
      <c r="B86" s="171"/>
      <c r="C86" s="171"/>
      <c r="D86" s="171"/>
      <c r="E86" s="588"/>
      <c r="F86" s="171"/>
      <c r="G86" s="28"/>
      <c r="H86" s="171"/>
      <c r="I86" s="171"/>
      <c r="J86" s="171"/>
      <c r="K86" s="171"/>
      <c r="L86" s="171"/>
      <c r="M86" s="28"/>
      <c r="N86" s="524"/>
      <c r="O86" s="171"/>
      <c r="P86" s="171"/>
      <c r="Q86" s="171"/>
      <c r="R86" s="171"/>
    </row>
    <row r="87" spans="1:18">
      <c r="A87" s="170"/>
      <c r="B87" s="171"/>
      <c r="C87" s="171"/>
      <c r="D87" s="171"/>
      <c r="E87" s="171"/>
      <c r="F87" s="171"/>
      <c r="G87" s="28"/>
      <c r="H87" s="171"/>
      <c r="I87" s="171"/>
      <c r="J87" s="171"/>
      <c r="K87" s="171"/>
      <c r="L87" s="171"/>
      <c r="M87" s="28"/>
      <c r="N87" s="524"/>
      <c r="O87" s="171"/>
      <c r="P87" s="171"/>
      <c r="Q87" s="171"/>
      <c r="R87" s="171"/>
    </row>
    <row r="88" spans="1:18" ht="13.5" thickBot="1">
      <c r="A88" s="1621" t="s">
        <v>366</v>
      </c>
      <c r="B88" s="1622"/>
      <c r="C88" s="1622"/>
      <c r="D88" s="1622"/>
      <c r="E88" s="1622"/>
      <c r="F88" s="1622"/>
      <c r="G88" s="1622"/>
      <c r="H88" s="1622"/>
      <c r="I88" s="1622"/>
      <c r="J88" s="1622"/>
      <c r="K88" s="1622"/>
      <c r="L88" s="1622"/>
      <c r="M88" s="1622"/>
      <c r="N88" s="1622"/>
      <c r="O88" s="1622"/>
      <c r="P88" s="1622"/>
      <c r="Q88" s="1622"/>
      <c r="R88" s="1622"/>
    </row>
    <row r="90" spans="1:18">
      <c r="A90" s="1626" t="str">
        <f>'FALL13 vs TYSP13'!A78:R78</f>
        <v>FALL 2013</v>
      </c>
      <c r="B90" s="1627"/>
      <c r="C90" s="1627"/>
      <c r="D90" s="1627"/>
      <c r="E90" s="1627"/>
      <c r="F90" s="1627"/>
      <c r="G90" s="1627"/>
      <c r="H90" s="1627"/>
      <c r="I90" s="1627"/>
      <c r="J90" s="1627"/>
      <c r="K90" s="1627"/>
      <c r="L90" s="1627"/>
      <c r="M90" s="1627"/>
      <c r="N90" s="1627"/>
      <c r="O90" s="1627"/>
      <c r="P90" s="1627"/>
      <c r="Q90" s="1627"/>
      <c r="R90" s="1628"/>
    </row>
    <row r="91" spans="1:18">
      <c r="A91" s="736"/>
      <c r="B91" s="737" t="s">
        <v>116</v>
      </c>
      <c r="C91" s="737"/>
      <c r="D91" s="737"/>
      <c r="F91" s="737" t="s">
        <v>21</v>
      </c>
      <c r="G91" s="737"/>
      <c r="H91" s="738"/>
      <c r="I91" s="738"/>
      <c r="J91" s="738"/>
      <c r="K91" s="738"/>
      <c r="L91" s="738"/>
      <c r="M91" s="738"/>
      <c r="N91" s="728"/>
      <c r="O91" s="737" t="str">
        <f>F91</f>
        <v>Total</v>
      </c>
      <c r="P91" s="738"/>
      <c r="Q91" s="738"/>
      <c r="R91" s="755"/>
    </row>
    <row r="92" spans="1:18">
      <c r="A92" s="740"/>
      <c r="B92" s="591" t="s">
        <v>117</v>
      </c>
      <c r="C92" s="741"/>
      <c r="D92" s="591" t="s">
        <v>120</v>
      </c>
      <c r="E92" s="28"/>
      <c r="F92" s="591" t="s">
        <v>118</v>
      </c>
      <c r="G92" s="741"/>
      <c r="H92" s="1618" t="s">
        <v>123</v>
      </c>
      <c r="I92" s="1619"/>
      <c r="J92" s="1619"/>
      <c r="K92" s="1619"/>
      <c r="L92" s="1620"/>
      <c r="M92" s="590"/>
      <c r="N92" s="729"/>
      <c r="O92" s="741" t="s">
        <v>125</v>
      </c>
      <c r="P92" s="590"/>
      <c r="Q92" s="590"/>
      <c r="R92" s="742" t="s">
        <v>21</v>
      </c>
    </row>
    <row r="93" spans="1:18">
      <c r="A93" s="740"/>
      <c r="B93" s="591" t="s">
        <v>118</v>
      </c>
      <c r="C93" s="741" t="s">
        <v>118</v>
      </c>
      <c r="D93" s="591" t="s">
        <v>21</v>
      </c>
      <c r="E93" s="591" t="s">
        <v>121</v>
      </c>
      <c r="F93" s="591" t="s">
        <v>122</v>
      </c>
      <c r="G93" s="741"/>
      <c r="H93" s="728" t="s">
        <v>21</v>
      </c>
      <c r="I93" s="728" t="s">
        <v>288</v>
      </c>
      <c r="J93" s="728"/>
      <c r="K93" s="730" t="s">
        <v>349</v>
      </c>
      <c r="L93" s="728"/>
      <c r="M93" s="591"/>
      <c r="N93" s="591" t="s">
        <v>264</v>
      </c>
      <c r="O93" s="741" t="str">
        <f>F93</f>
        <v>before</v>
      </c>
      <c r="P93" s="741" t="s">
        <v>21</v>
      </c>
      <c r="Q93" s="756" t="s">
        <v>147</v>
      </c>
      <c r="R93" s="742" t="s">
        <v>125</v>
      </c>
    </row>
    <row r="94" spans="1:18">
      <c r="A94" s="743" t="s">
        <v>126</v>
      </c>
      <c r="B94" s="731" t="s">
        <v>119</v>
      </c>
      <c r="C94" s="744" t="s">
        <v>66</v>
      </c>
      <c r="D94" s="731" t="s">
        <v>118</v>
      </c>
      <c r="E94" s="731" t="s">
        <v>59</v>
      </c>
      <c r="F94" s="731" t="s">
        <v>62</v>
      </c>
      <c r="G94" s="744"/>
      <c r="H94" s="732" t="s">
        <v>154</v>
      </c>
      <c r="I94" s="732" t="s">
        <v>286</v>
      </c>
      <c r="J94" s="731" t="s">
        <v>287</v>
      </c>
      <c r="K94" s="733" t="s">
        <v>117</v>
      </c>
      <c r="L94" s="731" t="s">
        <v>0</v>
      </c>
      <c r="M94" s="744"/>
      <c r="N94" s="731" t="s">
        <v>124</v>
      </c>
      <c r="O94" s="744" t="str">
        <f>F94</f>
        <v>DLC</v>
      </c>
      <c r="P94" s="744" t="s">
        <v>66</v>
      </c>
      <c r="Q94" s="744" t="s">
        <v>131</v>
      </c>
      <c r="R94" s="745" t="s">
        <v>117</v>
      </c>
    </row>
    <row r="95" spans="1:18" hidden="1">
      <c r="A95" s="746">
        <f t="shared" ref="A95:A116" si="19">A8</f>
        <v>2009</v>
      </c>
      <c r="B95" s="749" t="e">
        <f>'FALL13 vs TYSP13'!#REF!</f>
        <v>#REF!</v>
      </c>
      <c r="C95" s="757" t="e">
        <f>'FALL13 vs TYSP13'!#REF!</f>
        <v>#REF!</v>
      </c>
      <c r="D95" s="758" t="e">
        <f t="shared" ref="D95:D116" si="20">C95+B95</f>
        <v>#REF!</v>
      </c>
      <c r="E95" s="322" t="e">
        <f>'FALL13 vs TYSP13'!#REF!</f>
        <v>#REF!</v>
      </c>
      <c r="F95" s="758" t="e">
        <f t="shared" ref="F95:F116" si="21">E95+D95</f>
        <v>#REF!</v>
      </c>
      <c r="G95" s="591"/>
      <c r="H95" s="322" t="e">
        <f>'FALL13 vs TYSP13'!#REF!</f>
        <v>#REF!</v>
      </c>
      <c r="I95" s="322" t="e">
        <f>'FALL13 vs TYSP13'!#REF!</f>
        <v>#REF!</v>
      </c>
      <c r="J95" s="322" t="e">
        <f>'FALL13 vs TYSP13'!#REF!</f>
        <v>#REF!</v>
      </c>
      <c r="K95" s="322" t="e">
        <f>'FALL13 vs TYSP13'!#REF!</f>
        <v>#REF!</v>
      </c>
      <c r="L95" s="758" t="e">
        <f t="shared" ref="L95:L116" si="22">SUM(H95:K95)</f>
        <v>#REF!</v>
      </c>
      <c r="M95" s="591"/>
      <c r="N95" s="322" t="e">
        <f>'FALL13 vs TYSP13'!#REF!</f>
        <v>#REF!</v>
      </c>
      <c r="O95" s="589" t="e">
        <f t="shared" ref="O95:O116" si="23">N95+L95+F95</f>
        <v>#REF!</v>
      </c>
      <c r="P95" s="322" t="e">
        <f t="shared" ref="P95:P116" si="24">(C95+K95)*-1</f>
        <v>#REF!</v>
      </c>
      <c r="Q95" s="322" t="e">
        <f>'FALL13 vs TYSP13'!#REF!</f>
        <v>#REF!</v>
      </c>
      <c r="R95" s="759" t="e">
        <f t="shared" ref="R95:R116" si="25">O95+Q95+P95</f>
        <v>#REF!</v>
      </c>
    </row>
    <row r="96" spans="1:18" hidden="1">
      <c r="A96" s="746">
        <f t="shared" si="19"/>
        <v>2010</v>
      </c>
      <c r="B96" s="749" t="e">
        <f>'FALL13 vs TYSP13'!#REF!</f>
        <v>#REF!</v>
      </c>
      <c r="C96" s="757" t="e">
        <f>'FALL13 vs TYSP13'!#REF!</f>
        <v>#REF!</v>
      </c>
      <c r="D96" s="758" t="e">
        <f t="shared" si="20"/>
        <v>#REF!</v>
      </c>
      <c r="E96" s="322" t="e">
        <f>'FALL13 vs TYSP13'!#REF!</f>
        <v>#REF!</v>
      </c>
      <c r="F96" s="758" t="e">
        <f t="shared" si="21"/>
        <v>#REF!</v>
      </c>
      <c r="G96" s="591"/>
      <c r="H96" s="322" t="e">
        <f>'FALL13 vs TYSP13'!#REF!</f>
        <v>#REF!</v>
      </c>
      <c r="I96" s="322" t="e">
        <f>'FALL13 vs TYSP13'!#REF!</f>
        <v>#REF!</v>
      </c>
      <c r="J96" s="322" t="e">
        <f>'FALL13 vs TYSP13'!#REF!</f>
        <v>#REF!</v>
      </c>
      <c r="K96" s="322" t="e">
        <f>'FALL13 vs TYSP13'!#REF!</f>
        <v>#REF!</v>
      </c>
      <c r="L96" s="758" t="e">
        <f t="shared" si="22"/>
        <v>#REF!</v>
      </c>
      <c r="M96" s="591"/>
      <c r="N96" s="322" t="e">
        <f>'FALL13 vs TYSP13'!#REF!</f>
        <v>#REF!</v>
      </c>
      <c r="O96" s="589" t="e">
        <f t="shared" si="23"/>
        <v>#REF!</v>
      </c>
      <c r="P96" s="322" t="e">
        <f t="shared" si="24"/>
        <v>#REF!</v>
      </c>
      <c r="Q96" s="322" t="e">
        <f>'FALL13 vs TYSP13'!#REF!</f>
        <v>#REF!</v>
      </c>
      <c r="R96" s="759" t="e">
        <f t="shared" si="25"/>
        <v>#REF!</v>
      </c>
    </row>
    <row r="97" spans="1:24" hidden="1">
      <c r="A97" s="746">
        <f t="shared" si="19"/>
        <v>2011</v>
      </c>
      <c r="B97" s="749" t="e">
        <f>'FALL13 vs TYSP13'!#REF!</f>
        <v>#REF!</v>
      </c>
      <c r="C97" s="757" t="e">
        <f>'FALL13 vs TYSP13'!#REF!</f>
        <v>#REF!</v>
      </c>
      <c r="D97" s="758" t="e">
        <f t="shared" si="20"/>
        <v>#REF!</v>
      </c>
      <c r="E97" s="322" t="e">
        <f>'FALL13 vs TYSP13'!#REF!</f>
        <v>#REF!</v>
      </c>
      <c r="F97" s="758" t="e">
        <f t="shared" si="21"/>
        <v>#REF!</v>
      </c>
      <c r="G97" s="591"/>
      <c r="H97" s="322" t="e">
        <f>'FALL13 vs TYSP13'!#REF!</f>
        <v>#REF!</v>
      </c>
      <c r="I97" s="322" t="e">
        <f>'FALL13 vs TYSP13'!#REF!</f>
        <v>#REF!</v>
      </c>
      <c r="J97" s="322" t="e">
        <f>'FALL13 vs TYSP13'!#REF!</f>
        <v>#REF!</v>
      </c>
      <c r="K97" s="322" t="e">
        <f>'FALL13 vs TYSP13'!#REF!</f>
        <v>#REF!</v>
      </c>
      <c r="L97" s="758" t="e">
        <f t="shared" si="22"/>
        <v>#REF!</v>
      </c>
      <c r="M97" s="591"/>
      <c r="N97" s="322" t="e">
        <f>'FALL13 vs TYSP13'!#REF!</f>
        <v>#REF!</v>
      </c>
      <c r="O97" s="589" t="e">
        <f t="shared" si="23"/>
        <v>#REF!</v>
      </c>
      <c r="P97" s="322" t="e">
        <f t="shared" si="24"/>
        <v>#REF!</v>
      </c>
      <c r="Q97" s="322" t="e">
        <f>'FALL13 vs TYSP13'!#REF!</f>
        <v>#REF!</v>
      </c>
      <c r="R97" s="759" t="e">
        <f t="shared" si="25"/>
        <v>#REF!</v>
      </c>
    </row>
    <row r="98" spans="1:24">
      <c r="A98" s="746">
        <f t="shared" si="19"/>
        <v>2012</v>
      </c>
      <c r="B98" s="749" t="e">
        <f>'FALL13 vs TYSP13'!#REF!</f>
        <v>#REF!</v>
      </c>
      <c r="C98" s="757" t="e">
        <f>'FALL13 vs TYSP13'!#REF!</f>
        <v>#REF!</v>
      </c>
      <c r="D98" s="758" t="e">
        <f t="shared" si="20"/>
        <v>#REF!</v>
      </c>
      <c r="E98" s="322" t="e">
        <f>'FALL13 vs TYSP13'!#REF!</f>
        <v>#REF!</v>
      </c>
      <c r="F98" s="758" t="e">
        <f t="shared" si="21"/>
        <v>#REF!</v>
      </c>
      <c r="G98" s="591"/>
      <c r="H98" s="322" t="e">
        <f>'FALL13 vs TYSP13'!#REF!</f>
        <v>#REF!</v>
      </c>
      <c r="I98" s="322" t="e">
        <f>'FALL13 vs TYSP13'!#REF!</f>
        <v>#REF!</v>
      </c>
      <c r="J98" s="322" t="e">
        <f>'FALL13 vs TYSP13'!#REF!</f>
        <v>#REF!</v>
      </c>
      <c r="K98" s="322" t="e">
        <f>'FALL13 vs TYSP13'!#REF!</f>
        <v>#REF!</v>
      </c>
      <c r="L98" s="758" t="e">
        <f t="shared" si="22"/>
        <v>#REF!</v>
      </c>
      <c r="M98" s="591"/>
      <c r="N98" s="322" t="e">
        <f>'FALL13 vs TYSP13'!#REF!</f>
        <v>#REF!</v>
      </c>
      <c r="O98" s="589" t="e">
        <f t="shared" si="23"/>
        <v>#REF!</v>
      </c>
      <c r="P98" s="322" t="e">
        <f t="shared" si="24"/>
        <v>#REF!</v>
      </c>
      <c r="Q98" s="322" t="e">
        <f>'FALL13 vs TYSP13'!#REF!</f>
        <v>#REF!</v>
      </c>
      <c r="R98" s="759" t="e">
        <f t="shared" si="25"/>
        <v>#REF!</v>
      </c>
      <c r="U98" s="582"/>
      <c r="W98" s="320"/>
      <c r="X98" s="219"/>
    </row>
    <row r="99" spans="1:24">
      <c r="A99" s="746">
        <f t="shared" si="19"/>
        <v>2013</v>
      </c>
      <c r="B99" s="749">
        <f>'FALL13 vs TYSP13'!B83</f>
        <v>8211</v>
      </c>
      <c r="C99" s="757">
        <f>'FALL13 vs TYSP13'!C83</f>
        <v>234</v>
      </c>
      <c r="D99" s="758">
        <f t="shared" si="20"/>
        <v>8445</v>
      </c>
      <c r="E99" s="322">
        <f>'FALL13 vs TYSP13'!E83</f>
        <v>0</v>
      </c>
      <c r="F99" s="758">
        <f t="shared" si="21"/>
        <v>8445</v>
      </c>
      <c r="G99" s="591"/>
      <c r="H99" s="322">
        <f>'FALL13 vs TYSP13'!H83</f>
        <v>600</v>
      </c>
      <c r="I99" s="322">
        <f>'FALL13 vs TYSP13'!I83</f>
        <v>41.75</v>
      </c>
      <c r="J99" s="322">
        <f>'FALL13 vs TYSP13'!J83</f>
        <v>288.09999999999997</v>
      </c>
      <c r="K99" s="322">
        <f>'FALL13 vs TYSP13'!K83</f>
        <v>15.01</v>
      </c>
      <c r="L99" s="758">
        <f t="shared" si="22"/>
        <v>944.8599999999999</v>
      </c>
      <c r="M99" s="591"/>
      <c r="N99" s="322">
        <f>'FALL13 vs TYSP13'!N83</f>
        <v>25</v>
      </c>
      <c r="O99" s="589">
        <f t="shared" si="23"/>
        <v>9414.86</v>
      </c>
      <c r="P99" s="322">
        <f t="shared" si="24"/>
        <v>-249.01</v>
      </c>
      <c r="Q99" s="322">
        <f>'FALL13 vs TYSP13'!Q83</f>
        <v>-438</v>
      </c>
      <c r="R99" s="759">
        <f t="shared" si="25"/>
        <v>8727.85</v>
      </c>
      <c r="U99" s="582"/>
      <c r="W99" s="320"/>
      <c r="X99" s="219"/>
    </row>
    <row r="100" spans="1:24">
      <c r="A100" s="746">
        <f t="shared" si="19"/>
        <v>2014</v>
      </c>
      <c r="B100" s="749">
        <f>'FALL13 vs TYSP13'!B84</f>
        <v>8476</v>
      </c>
      <c r="C100" s="757">
        <f>'FALL13 vs TYSP13'!C84</f>
        <v>249</v>
      </c>
      <c r="D100" s="758">
        <f t="shared" si="20"/>
        <v>8725</v>
      </c>
      <c r="E100" s="322">
        <f>'FALL13 vs TYSP13'!E84</f>
        <v>-45.08925304429556</v>
      </c>
      <c r="F100" s="758">
        <f t="shared" si="21"/>
        <v>8679.9107469557039</v>
      </c>
      <c r="G100" s="591"/>
      <c r="H100" s="322">
        <f>'FALL13 vs TYSP13'!H84</f>
        <v>550</v>
      </c>
      <c r="I100" s="322">
        <f>'FALL13 vs TYSP13'!I84</f>
        <v>41.93</v>
      </c>
      <c r="J100" s="322">
        <f>'FALL13 vs TYSP13'!J84</f>
        <v>212.04999999999998</v>
      </c>
      <c r="K100" s="322">
        <f>'FALL13 vs TYSP13'!K84</f>
        <v>0</v>
      </c>
      <c r="L100" s="758">
        <f t="shared" si="22"/>
        <v>803.9799999999999</v>
      </c>
      <c r="M100" s="591"/>
      <c r="N100" s="322">
        <f>'FALL13 vs TYSP13'!N84</f>
        <v>25</v>
      </c>
      <c r="O100" s="589">
        <f t="shared" si="23"/>
        <v>9508.8907469557034</v>
      </c>
      <c r="P100" s="322">
        <f t="shared" si="24"/>
        <v>-249</v>
      </c>
      <c r="Q100" s="322">
        <f>'FALL13 vs TYSP13'!Q84</f>
        <v>-448</v>
      </c>
      <c r="R100" s="759">
        <f t="shared" si="25"/>
        <v>8811.8907469557034</v>
      </c>
      <c r="U100" s="582"/>
      <c r="W100" s="320"/>
      <c r="X100" s="219"/>
    </row>
    <row r="101" spans="1:24">
      <c r="A101" s="746">
        <f t="shared" si="19"/>
        <v>2015</v>
      </c>
      <c r="B101" s="749">
        <f>'FALL13 vs TYSP13'!B85</f>
        <v>8744</v>
      </c>
      <c r="C101" s="757">
        <f>'FALL13 vs TYSP13'!C85</f>
        <v>251</v>
      </c>
      <c r="D101" s="758">
        <f t="shared" si="20"/>
        <v>8995</v>
      </c>
      <c r="E101" s="322">
        <f>'FALL13 vs TYSP13'!E85</f>
        <v>-76.258011385726263</v>
      </c>
      <c r="F101" s="758">
        <f t="shared" si="21"/>
        <v>8918.7419886142743</v>
      </c>
      <c r="G101" s="591"/>
      <c r="H101" s="322">
        <f>'FALL13 vs TYSP13'!H85</f>
        <v>550</v>
      </c>
      <c r="I101" s="322">
        <f>'FALL13 vs TYSP13'!I85</f>
        <v>42.010000000000005</v>
      </c>
      <c r="J101" s="322">
        <f>'FALL13 vs TYSP13'!J85</f>
        <v>214.04999999999998</v>
      </c>
      <c r="K101" s="322">
        <f>'FALL13 vs TYSP13'!K85</f>
        <v>0</v>
      </c>
      <c r="L101" s="758">
        <f t="shared" si="22"/>
        <v>806.06</v>
      </c>
      <c r="M101" s="591"/>
      <c r="N101" s="322">
        <f>'FALL13 vs TYSP13'!N85</f>
        <v>25</v>
      </c>
      <c r="O101" s="589">
        <f t="shared" si="23"/>
        <v>9749.8019886142738</v>
      </c>
      <c r="P101" s="322">
        <f t="shared" si="24"/>
        <v>-251</v>
      </c>
      <c r="Q101" s="322">
        <f>'FALL13 vs TYSP13'!Q85</f>
        <v>-457</v>
      </c>
      <c r="R101" s="759">
        <f t="shared" si="25"/>
        <v>9041.8019886142738</v>
      </c>
      <c r="U101" s="582"/>
      <c r="W101" s="320"/>
      <c r="X101" s="219"/>
    </row>
    <row r="102" spans="1:24">
      <c r="A102" s="746">
        <f t="shared" si="19"/>
        <v>2016</v>
      </c>
      <c r="B102" s="749">
        <f>'FALL13 vs TYSP13'!B86</f>
        <v>9036</v>
      </c>
      <c r="C102" s="757">
        <f>'FALL13 vs TYSP13'!C86</f>
        <v>250</v>
      </c>
      <c r="D102" s="758">
        <f t="shared" si="20"/>
        <v>9286</v>
      </c>
      <c r="E102" s="322">
        <f>'FALL13 vs TYSP13'!E86</f>
        <v>-104.46434847675221</v>
      </c>
      <c r="F102" s="758">
        <f t="shared" si="21"/>
        <v>9181.535651523247</v>
      </c>
      <c r="G102" s="591"/>
      <c r="H102" s="322">
        <f>'FALL13 vs TYSP13'!H86</f>
        <v>400</v>
      </c>
      <c r="I102" s="322">
        <f>'FALL13 vs TYSP13'!I86</f>
        <v>42.180000000000007</v>
      </c>
      <c r="J102" s="322">
        <f>'FALL13 vs TYSP13'!J86</f>
        <v>216.04999999999998</v>
      </c>
      <c r="K102" s="322">
        <f>'FALL13 vs TYSP13'!K86</f>
        <v>0</v>
      </c>
      <c r="L102" s="758">
        <f t="shared" si="22"/>
        <v>658.23</v>
      </c>
      <c r="M102" s="591"/>
      <c r="N102" s="322">
        <f>'FALL13 vs TYSP13'!N86</f>
        <v>25</v>
      </c>
      <c r="O102" s="589">
        <f t="shared" si="23"/>
        <v>9864.7656515232466</v>
      </c>
      <c r="P102" s="322">
        <f t="shared" si="24"/>
        <v>-250</v>
      </c>
      <c r="Q102" s="322">
        <f>'FALL13 vs TYSP13'!Q86</f>
        <v>-466</v>
      </c>
      <c r="R102" s="759">
        <f t="shared" si="25"/>
        <v>9148.7656515232466</v>
      </c>
      <c r="U102" s="582"/>
      <c r="W102" s="320"/>
      <c r="X102" s="219"/>
    </row>
    <row r="103" spans="1:24">
      <c r="A103" s="746">
        <f t="shared" si="19"/>
        <v>2017</v>
      </c>
      <c r="B103" s="749">
        <f>'FALL13 vs TYSP13'!B87</f>
        <v>9330</v>
      </c>
      <c r="C103" s="757">
        <f>'FALL13 vs TYSP13'!C87</f>
        <v>251</v>
      </c>
      <c r="D103" s="758">
        <f t="shared" si="20"/>
        <v>9581</v>
      </c>
      <c r="E103" s="322">
        <f>'FALL13 vs TYSP13'!E87</f>
        <v>-129.18061290106868</v>
      </c>
      <c r="F103" s="758">
        <f t="shared" si="21"/>
        <v>9451.8193870989307</v>
      </c>
      <c r="G103" s="591"/>
      <c r="H103" s="322">
        <f>'FALL13 vs TYSP13'!H87</f>
        <v>500</v>
      </c>
      <c r="I103" s="322">
        <f>'FALL13 vs TYSP13'!I87</f>
        <v>22.13</v>
      </c>
      <c r="J103" s="322">
        <f>'FALL13 vs TYSP13'!J87</f>
        <v>65.05</v>
      </c>
      <c r="K103" s="322">
        <f>'FALL13 vs TYSP13'!K87</f>
        <v>0</v>
      </c>
      <c r="L103" s="758">
        <f t="shared" si="22"/>
        <v>587.17999999999995</v>
      </c>
      <c r="M103" s="591"/>
      <c r="N103" s="322">
        <f>'FALL13 vs TYSP13'!N87</f>
        <v>25</v>
      </c>
      <c r="O103" s="589">
        <f t="shared" si="23"/>
        <v>10063.999387098931</v>
      </c>
      <c r="P103" s="322">
        <f t="shared" si="24"/>
        <v>-251</v>
      </c>
      <c r="Q103" s="322">
        <f>'FALL13 vs TYSP13'!Q87</f>
        <v>-506</v>
      </c>
      <c r="R103" s="759">
        <f t="shared" si="25"/>
        <v>9306.999387098931</v>
      </c>
      <c r="U103" s="582"/>
      <c r="W103" s="320"/>
      <c r="X103" s="219"/>
    </row>
    <row r="104" spans="1:24">
      <c r="A104" s="746">
        <f t="shared" si="19"/>
        <v>2018</v>
      </c>
      <c r="B104" s="749">
        <f>'FALL13 vs TYSP13'!B88</f>
        <v>9494</v>
      </c>
      <c r="C104" s="757">
        <f>'FALL13 vs TYSP13'!C88</f>
        <v>258</v>
      </c>
      <c r="D104" s="758">
        <f t="shared" si="20"/>
        <v>9752</v>
      </c>
      <c r="E104" s="322">
        <f>'FALL13 vs TYSP13'!E88</f>
        <v>-151.10558733358027</v>
      </c>
      <c r="F104" s="758">
        <f t="shared" si="21"/>
        <v>9600.8944126664192</v>
      </c>
      <c r="G104" s="591"/>
      <c r="H104" s="322">
        <f>'FALL13 vs TYSP13'!H88</f>
        <v>500</v>
      </c>
      <c r="I104" s="322">
        <f>'FALL13 vs TYSP13'!I88</f>
        <v>22.17</v>
      </c>
      <c r="J104" s="322">
        <f>'FALL13 vs TYSP13'!J88</f>
        <v>65.05</v>
      </c>
      <c r="K104" s="322">
        <f>'FALL13 vs TYSP13'!K88</f>
        <v>0</v>
      </c>
      <c r="L104" s="758">
        <f t="shared" si="22"/>
        <v>587.21999999999991</v>
      </c>
      <c r="M104" s="591"/>
      <c r="N104" s="322">
        <f>'FALL13 vs TYSP13'!N88</f>
        <v>25</v>
      </c>
      <c r="O104" s="589">
        <f t="shared" si="23"/>
        <v>10213.114412666419</v>
      </c>
      <c r="P104" s="322">
        <f t="shared" si="24"/>
        <v>-258</v>
      </c>
      <c r="Q104" s="322">
        <f>'FALL13 vs TYSP13'!Q88</f>
        <v>-516</v>
      </c>
      <c r="R104" s="759">
        <f t="shared" si="25"/>
        <v>9439.1144126664185</v>
      </c>
      <c r="U104" s="582"/>
      <c r="W104" s="320"/>
      <c r="X104" s="219"/>
    </row>
    <row r="105" spans="1:24">
      <c r="A105" s="746">
        <f t="shared" si="19"/>
        <v>2019</v>
      </c>
      <c r="B105" s="749">
        <f>'FALL13 vs TYSP13'!B89</f>
        <v>9648</v>
      </c>
      <c r="C105" s="757">
        <f>'FALL13 vs TYSP13'!C89</f>
        <v>305</v>
      </c>
      <c r="D105" s="758">
        <f t="shared" si="20"/>
        <v>9953</v>
      </c>
      <c r="E105" s="322">
        <f>'FALL13 vs TYSP13'!E89</f>
        <v>-171.93647971113307</v>
      </c>
      <c r="F105" s="758">
        <f t="shared" si="21"/>
        <v>9781.0635202888661</v>
      </c>
      <c r="G105" s="591"/>
      <c r="H105" s="322">
        <f>'FALL13 vs TYSP13'!H89</f>
        <v>750</v>
      </c>
      <c r="I105" s="322">
        <f>'FALL13 vs TYSP13'!I89</f>
        <v>22.220000000000002</v>
      </c>
      <c r="J105" s="322">
        <f>'FALL13 vs TYSP13'!J89</f>
        <v>65.05</v>
      </c>
      <c r="K105" s="322">
        <f>'FALL13 vs TYSP13'!K89</f>
        <v>0</v>
      </c>
      <c r="L105" s="758">
        <f t="shared" si="22"/>
        <v>837.27</v>
      </c>
      <c r="M105" s="591"/>
      <c r="N105" s="322">
        <f>'FALL13 vs TYSP13'!N89</f>
        <v>25</v>
      </c>
      <c r="O105" s="589">
        <f t="shared" si="23"/>
        <v>10643.333520288867</v>
      </c>
      <c r="P105" s="322">
        <f t="shared" si="24"/>
        <v>-305</v>
      </c>
      <c r="Q105" s="322">
        <f>'FALL13 vs TYSP13'!Q89</f>
        <v>-525</v>
      </c>
      <c r="R105" s="759">
        <f t="shared" si="25"/>
        <v>9813.3335202888666</v>
      </c>
      <c r="U105" s="582"/>
      <c r="W105" s="320"/>
      <c r="X105" s="219"/>
    </row>
    <row r="106" spans="1:24">
      <c r="A106" s="746">
        <f t="shared" si="19"/>
        <v>2020</v>
      </c>
      <c r="B106" s="749">
        <f>'FALL13 vs TYSP13'!B90</f>
        <v>9800</v>
      </c>
      <c r="C106" s="757">
        <f>'FALL13 vs TYSP13'!C90</f>
        <v>327</v>
      </c>
      <c r="D106" s="758">
        <f t="shared" si="20"/>
        <v>10127</v>
      </c>
      <c r="E106" s="322">
        <f>'FALL13 vs TYSP13'!E90</f>
        <v>-193.47947653224503</v>
      </c>
      <c r="F106" s="758">
        <f t="shared" si="21"/>
        <v>9933.5205234677542</v>
      </c>
      <c r="G106" s="591"/>
      <c r="H106" s="322">
        <f>'FALL13 vs TYSP13'!H90</f>
        <v>750</v>
      </c>
      <c r="I106" s="322">
        <f>'FALL13 vs TYSP13'!I90</f>
        <v>22.36</v>
      </c>
      <c r="J106" s="322">
        <f>'FALL13 vs TYSP13'!J90</f>
        <v>65.05</v>
      </c>
      <c r="K106" s="322">
        <f>'FALL13 vs TYSP13'!K90</f>
        <v>0</v>
      </c>
      <c r="L106" s="758">
        <f t="shared" si="22"/>
        <v>837.41</v>
      </c>
      <c r="M106" s="591"/>
      <c r="N106" s="322">
        <f>'FALL13 vs TYSP13'!N90</f>
        <v>25</v>
      </c>
      <c r="O106" s="589">
        <f t="shared" si="23"/>
        <v>10795.930523467754</v>
      </c>
      <c r="P106" s="322">
        <f t="shared" si="24"/>
        <v>-327</v>
      </c>
      <c r="Q106" s="322">
        <f>'FALL13 vs TYSP13'!Q90</f>
        <v>-534</v>
      </c>
      <c r="R106" s="759">
        <f t="shared" si="25"/>
        <v>9934.930523467754</v>
      </c>
      <c r="U106" s="582"/>
      <c r="W106" s="320"/>
      <c r="X106" s="219"/>
    </row>
    <row r="107" spans="1:24">
      <c r="A107" s="746">
        <f t="shared" si="19"/>
        <v>2021</v>
      </c>
      <c r="B107" s="749">
        <f>'FALL13 vs TYSP13'!B91</f>
        <v>9946</v>
      </c>
      <c r="C107" s="757">
        <f>'FALL13 vs TYSP13'!C91</f>
        <v>328</v>
      </c>
      <c r="D107" s="758">
        <f t="shared" si="20"/>
        <v>10274</v>
      </c>
      <c r="E107" s="322">
        <f>'FALL13 vs TYSP13'!E91</f>
        <v>-213.24726338500761</v>
      </c>
      <c r="F107" s="758">
        <f t="shared" si="21"/>
        <v>10060.752736614992</v>
      </c>
      <c r="G107" s="591"/>
      <c r="H107" s="322">
        <f>'FALL13 vs TYSP13'!H91</f>
        <v>650</v>
      </c>
      <c r="I107" s="322">
        <f>'FALL13 vs TYSP13'!I91</f>
        <v>22.4</v>
      </c>
      <c r="J107" s="322">
        <f>'FALL13 vs TYSP13'!J91</f>
        <v>65.05</v>
      </c>
      <c r="K107" s="322">
        <f>'FALL13 vs TYSP13'!K91</f>
        <v>0</v>
      </c>
      <c r="L107" s="758">
        <f t="shared" si="22"/>
        <v>737.44999999999993</v>
      </c>
      <c r="M107" s="591"/>
      <c r="N107" s="322">
        <f>'FALL13 vs TYSP13'!N91</f>
        <v>25</v>
      </c>
      <c r="O107" s="589">
        <f t="shared" si="23"/>
        <v>10823.202736614992</v>
      </c>
      <c r="P107" s="322">
        <f t="shared" si="24"/>
        <v>-328</v>
      </c>
      <c r="Q107" s="322">
        <f>'FALL13 vs TYSP13'!Q91</f>
        <v>-543</v>
      </c>
      <c r="R107" s="759">
        <f t="shared" si="25"/>
        <v>9952.2027366149923</v>
      </c>
      <c r="U107" s="582"/>
      <c r="W107" s="320"/>
      <c r="X107" s="219"/>
    </row>
    <row r="108" spans="1:24">
      <c r="A108" s="746">
        <f t="shared" si="19"/>
        <v>2022</v>
      </c>
      <c r="B108" s="749">
        <f>'FALL13 vs TYSP13'!B92</f>
        <v>10089</v>
      </c>
      <c r="C108" s="757">
        <f>'FALL13 vs TYSP13'!C92</f>
        <v>328</v>
      </c>
      <c r="D108" s="758">
        <f t="shared" si="20"/>
        <v>10417</v>
      </c>
      <c r="E108" s="322">
        <f>'FALL13 vs TYSP13'!E92</f>
        <v>-232.07538266340975</v>
      </c>
      <c r="F108" s="758">
        <f t="shared" si="21"/>
        <v>10184.92461733659</v>
      </c>
      <c r="G108" s="591"/>
      <c r="H108" s="322">
        <f>'FALL13 vs TYSP13'!H92</f>
        <v>650</v>
      </c>
      <c r="I108" s="322">
        <f>'FALL13 vs TYSP13'!I92</f>
        <v>22.54</v>
      </c>
      <c r="J108" s="322">
        <f>'FALL13 vs TYSP13'!J92</f>
        <v>65.05</v>
      </c>
      <c r="K108" s="322">
        <f>'FALL13 vs TYSP13'!K92</f>
        <v>0</v>
      </c>
      <c r="L108" s="758">
        <f t="shared" si="22"/>
        <v>737.58999999999992</v>
      </c>
      <c r="M108" s="591"/>
      <c r="N108" s="322">
        <f>'FALL13 vs TYSP13'!N92</f>
        <v>25</v>
      </c>
      <c r="O108" s="589">
        <f t="shared" si="23"/>
        <v>10947.51461733659</v>
      </c>
      <c r="P108" s="322">
        <f t="shared" si="24"/>
        <v>-328</v>
      </c>
      <c r="Q108" s="322">
        <f>'FALL13 vs TYSP13'!Q92</f>
        <v>-553</v>
      </c>
      <c r="R108" s="759">
        <f t="shared" si="25"/>
        <v>10066.51461733659</v>
      </c>
      <c r="U108" s="582"/>
      <c r="W108" s="320"/>
      <c r="X108" s="219"/>
    </row>
    <row r="109" spans="1:24">
      <c r="A109" s="746">
        <f t="shared" si="19"/>
        <v>2023</v>
      </c>
      <c r="B109" s="749">
        <f>'FALL13 vs TYSP13'!B93</f>
        <v>10222</v>
      </c>
      <c r="C109" s="757">
        <f>'FALL13 vs TYSP13'!C93</f>
        <v>328</v>
      </c>
      <c r="D109" s="758">
        <f t="shared" si="20"/>
        <v>10550</v>
      </c>
      <c r="E109" s="322">
        <f>'FALL13 vs TYSP13'!E93</f>
        <v>-250.28935373436445</v>
      </c>
      <c r="F109" s="758">
        <f t="shared" si="21"/>
        <v>10299.710646265636</v>
      </c>
      <c r="G109" s="591"/>
      <c r="H109" s="322">
        <f>'FALL13 vs TYSP13'!H93</f>
        <v>650</v>
      </c>
      <c r="I109" s="322">
        <f>'FALL13 vs TYSP13'!I93</f>
        <v>22.68</v>
      </c>
      <c r="J109" s="322">
        <f>'FALL13 vs TYSP13'!J93</f>
        <v>65.05</v>
      </c>
      <c r="K109" s="322">
        <f>'FALL13 vs TYSP13'!K93</f>
        <v>0</v>
      </c>
      <c r="L109" s="758">
        <f t="shared" si="22"/>
        <v>737.7299999999999</v>
      </c>
      <c r="M109" s="591"/>
      <c r="N109" s="322">
        <f>'FALL13 vs TYSP13'!N93</f>
        <v>25</v>
      </c>
      <c r="O109" s="589">
        <f t="shared" si="23"/>
        <v>11062.440646265635</v>
      </c>
      <c r="P109" s="322">
        <f t="shared" si="24"/>
        <v>-328</v>
      </c>
      <c r="Q109" s="322">
        <f>'FALL13 vs TYSP13'!Q93</f>
        <v>-562</v>
      </c>
      <c r="R109" s="759">
        <f t="shared" si="25"/>
        <v>10172.440646265635</v>
      </c>
      <c r="U109" s="582"/>
      <c r="W109" s="320"/>
      <c r="X109" s="219"/>
    </row>
    <row r="110" spans="1:24">
      <c r="A110" s="746">
        <f t="shared" si="19"/>
        <v>2024</v>
      </c>
      <c r="B110" s="749">
        <f>'FALL13 vs TYSP13'!B94</f>
        <v>10353</v>
      </c>
      <c r="C110" s="757">
        <f>'FALL13 vs TYSP13'!C94</f>
        <v>327</v>
      </c>
      <c r="D110" s="758">
        <f t="shared" si="20"/>
        <v>10680</v>
      </c>
      <c r="E110" s="322">
        <f>'FALL13 vs TYSP13'!E94</f>
        <v>-268.17320954291267</v>
      </c>
      <c r="F110" s="758">
        <f t="shared" si="21"/>
        <v>10411.826790457088</v>
      </c>
      <c r="G110" s="591"/>
      <c r="H110" s="322">
        <f>'FALL13 vs TYSP13'!H94</f>
        <v>650</v>
      </c>
      <c r="I110" s="322">
        <f>'FALL13 vs TYSP13'!I94</f>
        <v>22.81</v>
      </c>
      <c r="J110" s="322">
        <f>'FALL13 vs TYSP13'!J94</f>
        <v>65.05</v>
      </c>
      <c r="K110" s="322">
        <f>'FALL13 vs TYSP13'!K94</f>
        <v>0</v>
      </c>
      <c r="L110" s="758">
        <f t="shared" si="22"/>
        <v>737.8599999999999</v>
      </c>
      <c r="M110" s="591"/>
      <c r="N110" s="322">
        <f>'FALL13 vs TYSP13'!N94</f>
        <v>25</v>
      </c>
      <c r="O110" s="589">
        <f t="shared" si="23"/>
        <v>11174.686790457088</v>
      </c>
      <c r="P110" s="322">
        <f t="shared" si="24"/>
        <v>-327</v>
      </c>
      <c r="Q110" s="322">
        <f>'FALL13 vs TYSP13'!Q94</f>
        <v>-571</v>
      </c>
      <c r="R110" s="759">
        <f t="shared" si="25"/>
        <v>10276.686790457088</v>
      </c>
      <c r="U110" s="582"/>
      <c r="W110" s="320"/>
      <c r="X110" s="219"/>
    </row>
    <row r="111" spans="1:24">
      <c r="A111" s="746">
        <f t="shared" si="19"/>
        <v>2025</v>
      </c>
      <c r="B111" s="749">
        <f>'FALL13 vs TYSP13'!B95</f>
        <v>10477</v>
      </c>
      <c r="C111" s="757">
        <f>'FALL13 vs TYSP13'!C95</f>
        <v>328</v>
      </c>
      <c r="D111" s="758">
        <f t="shared" si="20"/>
        <v>10805</v>
      </c>
      <c r="E111" s="322">
        <f>'FALL13 vs TYSP13'!E95</f>
        <v>-285.80956240458011</v>
      </c>
      <c r="F111" s="758">
        <f t="shared" si="21"/>
        <v>10519.19043759542</v>
      </c>
      <c r="G111" s="591"/>
      <c r="H111" s="322">
        <f>'FALL13 vs TYSP13'!H95</f>
        <v>650</v>
      </c>
      <c r="I111" s="322">
        <f>'FALL13 vs TYSP13'!I95</f>
        <v>22.95</v>
      </c>
      <c r="J111" s="322">
        <f>'FALL13 vs TYSP13'!J95</f>
        <v>65.05</v>
      </c>
      <c r="K111" s="322">
        <f>'FALL13 vs TYSP13'!K95</f>
        <v>0</v>
      </c>
      <c r="L111" s="758">
        <f t="shared" si="22"/>
        <v>738</v>
      </c>
      <c r="M111" s="591"/>
      <c r="N111" s="322">
        <f>'FALL13 vs TYSP13'!N95</f>
        <v>25</v>
      </c>
      <c r="O111" s="589">
        <f t="shared" si="23"/>
        <v>11282.19043759542</v>
      </c>
      <c r="P111" s="322">
        <f t="shared" si="24"/>
        <v>-328</v>
      </c>
      <c r="Q111" s="322">
        <f>'FALL13 vs TYSP13'!Q95</f>
        <v>-580</v>
      </c>
      <c r="R111" s="759">
        <f t="shared" si="25"/>
        <v>10374.19043759542</v>
      </c>
      <c r="U111" s="582"/>
      <c r="W111" s="320"/>
      <c r="X111" s="219"/>
    </row>
    <row r="112" spans="1:24">
      <c r="A112" s="746">
        <f t="shared" si="19"/>
        <v>2026</v>
      </c>
      <c r="B112" s="749">
        <f>'FALL13 vs TYSP13'!B96</f>
        <v>10594</v>
      </c>
      <c r="C112" s="757">
        <f>'FALL13 vs TYSP13'!C96</f>
        <v>328</v>
      </c>
      <c r="D112" s="758">
        <f t="shared" si="20"/>
        <v>10922</v>
      </c>
      <c r="E112" s="322">
        <f>'FALL13 vs TYSP13'!E96</f>
        <v>-302.85129386160054</v>
      </c>
      <c r="F112" s="758">
        <f t="shared" si="21"/>
        <v>10619.1487061384</v>
      </c>
      <c r="G112" s="591"/>
      <c r="H112" s="322">
        <f>'FALL13 vs TYSP13'!H96</f>
        <v>650</v>
      </c>
      <c r="I112" s="322">
        <f>'FALL13 vs TYSP13'!I96</f>
        <v>23.1</v>
      </c>
      <c r="J112" s="322">
        <f>'FALL13 vs TYSP13'!J96</f>
        <v>65.05</v>
      </c>
      <c r="K112" s="322">
        <f>'FALL13 vs TYSP13'!K96</f>
        <v>0</v>
      </c>
      <c r="L112" s="758">
        <f t="shared" si="22"/>
        <v>738.15</v>
      </c>
      <c r="M112" s="591"/>
      <c r="N112" s="322">
        <f>'FALL13 vs TYSP13'!N96</f>
        <v>25</v>
      </c>
      <c r="O112" s="589">
        <f t="shared" si="23"/>
        <v>11382.298706138399</v>
      </c>
      <c r="P112" s="322">
        <f t="shared" si="24"/>
        <v>-328</v>
      </c>
      <c r="Q112" s="322">
        <f>'FALL13 vs TYSP13'!Q96</f>
        <v>-590</v>
      </c>
      <c r="R112" s="759">
        <f t="shared" si="25"/>
        <v>10464.298706138399</v>
      </c>
      <c r="U112" s="582"/>
      <c r="W112" s="320"/>
      <c r="X112" s="219"/>
    </row>
    <row r="113" spans="1:24">
      <c r="A113" s="746">
        <f t="shared" si="19"/>
        <v>2027</v>
      </c>
      <c r="B113" s="749">
        <f>'FALL13 vs TYSP13'!B97</f>
        <v>10710</v>
      </c>
      <c r="C113" s="757">
        <f>'FALL13 vs TYSP13'!C97</f>
        <v>328</v>
      </c>
      <c r="D113" s="758">
        <f t="shared" si="20"/>
        <v>11038</v>
      </c>
      <c r="E113" s="322">
        <f>'FALL13 vs TYSP13'!E97</f>
        <v>-319.40233534738729</v>
      </c>
      <c r="F113" s="758">
        <f t="shared" si="21"/>
        <v>10718.597664652612</v>
      </c>
      <c r="G113" s="591"/>
      <c r="H113" s="322">
        <f>'FALL13 vs TYSP13'!H97</f>
        <v>650</v>
      </c>
      <c r="I113" s="322">
        <f>'FALL13 vs TYSP13'!I97</f>
        <v>23.23</v>
      </c>
      <c r="J113" s="322">
        <f>'FALL13 vs TYSP13'!J97</f>
        <v>65.05</v>
      </c>
      <c r="K113" s="322">
        <f>'FALL13 vs TYSP13'!K97</f>
        <v>0</v>
      </c>
      <c r="L113" s="758">
        <f t="shared" si="22"/>
        <v>738.28</v>
      </c>
      <c r="M113" s="591"/>
      <c r="N113" s="322">
        <f>'FALL13 vs TYSP13'!N97</f>
        <v>25</v>
      </c>
      <c r="O113" s="589">
        <f t="shared" si="23"/>
        <v>11481.877664652613</v>
      </c>
      <c r="P113" s="322">
        <f t="shared" si="24"/>
        <v>-328</v>
      </c>
      <c r="Q113" s="322">
        <f>'FALL13 vs TYSP13'!Q97</f>
        <v>-599</v>
      </c>
      <c r="R113" s="759">
        <f t="shared" si="25"/>
        <v>10554.877664652613</v>
      </c>
      <c r="U113" s="582"/>
      <c r="W113" s="320"/>
      <c r="X113" s="219"/>
    </row>
    <row r="114" spans="1:24">
      <c r="A114" s="746">
        <f t="shared" si="19"/>
        <v>2028</v>
      </c>
      <c r="B114" s="749">
        <f>'FALL13 vs TYSP13'!B98</f>
        <v>10823</v>
      </c>
      <c r="C114" s="757">
        <f>'FALL13 vs TYSP13'!C98</f>
        <v>327</v>
      </c>
      <c r="D114" s="758">
        <f t="shared" si="20"/>
        <v>11150</v>
      </c>
      <c r="E114" s="322">
        <f>'FALL13 vs TYSP13'!E98</f>
        <v>-335.54350283050314</v>
      </c>
      <c r="F114" s="758">
        <f t="shared" si="21"/>
        <v>10814.456497169496</v>
      </c>
      <c r="G114" s="591"/>
      <c r="H114" s="322">
        <f>'FALL13 vs TYSP13'!H98</f>
        <v>650</v>
      </c>
      <c r="I114" s="322">
        <f>'FALL13 vs TYSP13'!I98</f>
        <v>23.28</v>
      </c>
      <c r="J114" s="322">
        <f>'FALL13 vs TYSP13'!J98</f>
        <v>65.05</v>
      </c>
      <c r="K114" s="322">
        <f>'FALL13 vs TYSP13'!K98</f>
        <v>0</v>
      </c>
      <c r="L114" s="758">
        <f t="shared" si="22"/>
        <v>738.32999999999993</v>
      </c>
      <c r="M114" s="591"/>
      <c r="N114" s="322">
        <f>'FALL13 vs TYSP13'!N98</f>
        <v>25</v>
      </c>
      <c r="O114" s="589">
        <f t="shared" si="23"/>
        <v>11577.786497169496</v>
      </c>
      <c r="P114" s="322">
        <f t="shared" si="24"/>
        <v>-327</v>
      </c>
      <c r="Q114" s="322">
        <f>'FALL13 vs TYSP13'!Q98</f>
        <v>-608</v>
      </c>
      <c r="R114" s="759">
        <f t="shared" si="25"/>
        <v>10642.786497169496</v>
      </c>
      <c r="U114" s="582"/>
      <c r="W114" s="320"/>
      <c r="X114" s="219"/>
    </row>
    <row r="115" spans="1:24">
      <c r="A115" s="746">
        <f t="shared" si="19"/>
        <v>2029</v>
      </c>
      <c r="B115" s="749">
        <f>'FALL13 vs TYSP13'!B99</f>
        <v>10933</v>
      </c>
      <c r="C115" s="757">
        <f>'FALL13 vs TYSP13'!C99</f>
        <v>328</v>
      </c>
      <c r="D115" s="758">
        <f t="shared" si="20"/>
        <v>11261</v>
      </c>
      <c r="E115" s="322">
        <f>'FALL13 vs TYSP13'!E99</f>
        <v>-351.31156566780817</v>
      </c>
      <c r="F115" s="758">
        <f t="shared" si="21"/>
        <v>10909.688434332193</v>
      </c>
      <c r="G115" s="591"/>
      <c r="H115" s="322">
        <f>'FALL13 vs TYSP13'!H99</f>
        <v>650</v>
      </c>
      <c r="I115" s="322">
        <f>'FALL13 vs TYSP13'!I99</f>
        <v>23.42</v>
      </c>
      <c r="J115" s="322">
        <f>'FALL13 vs TYSP13'!J99</f>
        <v>65.05</v>
      </c>
      <c r="K115" s="322">
        <f>'FALL13 vs TYSP13'!K99</f>
        <v>0</v>
      </c>
      <c r="L115" s="758">
        <f t="shared" si="22"/>
        <v>738.46999999999991</v>
      </c>
      <c r="M115" s="591"/>
      <c r="N115" s="322">
        <f>'FALL13 vs TYSP13'!N99</f>
        <v>25</v>
      </c>
      <c r="O115" s="589">
        <f t="shared" si="23"/>
        <v>11673.158434332192</v>
      </c>
      <c r="P115" s="322">
        <f t="shared" si="24"/>
        <v>-328</v>
      </c>
      <c r="Q115" s="322">
        <f>'FALL13 vs TYSP13'!Q99</f>
        <v>-617</v>
      </c>
      <c r="R115" s="759">
        <f t="shared" si="25"/>
        <v>10728.158434332192</v>
      </c>
      <c r="U115" s="582"/>
      <c r="W115" s="320"/>
      <c r="X115" s="219"/>
    </row>
    <row r="116" spans="1:24">
      <c r="A116" s="743">
        <f t="shared" si="19"/>
        <v>2030</v>
      </c>
      <c r="B116" s="751">
        <f>'FALL13 vs TYSP13'!B100</f>
        <v>11037</v>
      </c>
      <c r="C116" s="788">
        <f>'FALL13 vs TYSP13'!C100</f>
        <v>328</v>
      </c>
      <c r="D116" s="789">
        <f t="shared" si="20"/>
        <v>11365</v>
      </c>
      <c r="E116" s="597">
        <f>'FALL13 vs TYSP13'!E100</f>
        <v>-366.69878577028942</v>
      </c>
      <c r="F116" s="789">
        <f t="shared" si="21"/>
        <v>10998.30121422971</v>
      </c>
      <c r="G116" s="731"/>
      <c r="H116" s="597">
        <f>'FALL13 vs TYSP13'!H100</f>
        <v>650</v>
      </c>
      <c r="I116" s="597">
        <f>'FALL13 vs TYSP13'!I100</f>
        <v>23.55</v>
      </c>
      <c r="J116" s="597">
        <f>'FALL13 vs TYSP13'!J100</f>
        <v>65.05</v>
      </c>
      <c r="K116" s="597">
        <f>'FALL13 vs TYSP13'!K100</f>
        <v>0</v>
      </c>
      <c r="L116" s="789">
        <f t="shared" si="22"/>
        <v>738.59999999999991</v>
      </c>
      <c r="M116" s="731"/>
      <c r="N116" s="597">
        <f>'FALL13 vs TYSP13'!N100</f>
        <v>25</v>
      </c>
      <c r="O116" s="786">
        <f t="shared" si="23"/>
        <v>11761.901214229711</v>
      </c>
      <c r="P116" s="597">
        <f t="shared" si="24"/>
        <v>-328</v>
      </c>
      <c r="Q116" s="597">
        <f>'FALL13 vs TYSP13'!Q100</f>
        <v>-626</v>
      </c>
      <c r="R116" s="790">
        <f t="shared" si="25"/>
        <v>10807.901214229711</v>
      </c>
      <c r="U116" s="582"/>
      <c r="W116" s="320"/>
      <c r="X116" s="219"/>
    </row>
    <row r="117" spans="1:24">
      <c r="A117" s="726"/>
      <c r="B117" s="726"/>
      <c r="C117" s="726"/>
      <c r="D117" s="726"/>
      <c r="E117" s="726"/>
      <c r="F117" s="726"/>
      <c r="G117" s="726"/>
      <c r="H117" s="726"/>
      <c r="I117" s="726"/>
      <c r="J117" s="726"/>
      <c r="K117" s="726"/>
      <c r="L117" s="726"/>
      <c r="M117" s="726"/>
      <c r="N117" s="725"/>
      <c r="O117" s="726"/>
      <c r="P117" s="726"/>
      <c r="Q117" s="726"/>
      <c r="R117" s="726"/>
    </row>
    <row r="118" spans="1:24">
      <c r="A118" s="1656" t="str">
        <f>A31</f>
        <v>TYSP 2013</v>
      </c>
      <c r="B118" s="1624"/>
      <c r="C118" s="1624"/>
      <c r="D118" s="1624"/>
      <c r="E118" s="1624"/>
      <c r="F118" s="1624"/>
      <c r="G118" s="1624"/>
      <c r="H118" s="1624"/>
      <c r="I118" s="1624"/>
      <c r="J118" s="1624"/>
      <c r="K118" s="1624"/>
      <c r="L118" s="1624"/>
      <c r="M118" s="1624"/>
      <c r="N118" s="1624"/>
      <c r="O118" s="1624"/>
      <c r="P118" s="1624"/>
      <c r="Q118" s="1624"/>
      <c r="R118" s="1625"/>
    </row>
    <row r="119" spans="1:24">
      <c r="A119" s="736"/>
      <c r="B119" s="728" t="s">
        <v>116</v>
      </c>
      <c r="C119" s="728"/>
      <c r="D119" s="728"/>
      <c r="F119" s="728" t="s">
        <v>21</v>
      </c>
      <c r="G119" s="737"/>
      <c r="H119" s="738"/>
      <c r="I119" s="738"/>
      <c r="J119" s="738"/>
      <c r="K119" s="738"/>
      <c r="L119" s="738"/>
      <c r="M119" s="738"/>
      <c r="N119" s="728"/>
      <c r="O119" s="737" t="str">
        <f>F119</f>
        <v>Total</v>
      </c>
      <c r="P119" s="738"/>
      <c r="Q119" s="738"/>
      <c r="R119" s="755"/>
    </row>
    <row r="120" spans="1:24">
      <c r="A120" s="740"/>
      <c r="B120" s="591" t="s">
        <v>117</v>
      </c>
      <c r="C120" s="591"/>
      <c r="D120" s="591" t="s">
        <v>120</v>
      </c>
      <c r="E120" s="28"/>
      <c r="F120" s="591" t="s">
        <v>118</v>
      </c>
      <c r="G120" s="741"/>
      <c r="H120" s="1618" t="s">
        <v>123</v>
      </c>
      <c r="I120" s="1619"/>
      <c r="J120" s="1619"/>
      <c r="K120" s="1619"/>
      <c r="L120" s="1620"/>
      <c r="M120" s="590"/>
      <c r="N120" s="729"/>
      <c r="O120" s="741" t="s">
        <v>125</v>
      </c>
      <c r="P120" s="590"/>
      <c r="Q120" s="590"/>
      <c r="R120" s="742" t="s">
        <v>21</v>
      </c>
    </row>
    <row r="121" spans="1:24">
      <c r="A121" s="740"/>
      <c r="B121" s="591" t="s">
        <v>118</v>
      </c>
      <c r="C121" s="591" t="s">
        <v>118</v>
      </c>
      <c r="D121" s="591" t="s">
        <v>21</v>
      </c>
      <c r="E121" s="591" t="s">
        <v>121</v>
      </c>
      <c r="F121" s="591" t="s">
        <v>122</v>
      </c>
      <c r="G121" s="741"/>
      <c r="H121" s="737" t="s">
        <v>21</v>
      </c>
      <c r="I121" s="737" t="s">
        <v>288</v>
      </c>
      <c r="J121" s="728"/>
      <c r="K121" s="730" t="s">
        <v>349</v>
      </c>
      <c r="L121" s="728"/>
      <c r="M121" s="591"/>
      <c r="N121" s="591" t="s">
        <v>264</v>
      </c>
      <c r="O121" s="741" t="str">
        <f>F121</f>
        <v>before</v>
      </c>
      <c r="P121" s="591" t="s">
        <v>21</v>
      </c>
      <c r="Q121" s="756" t="s">
        <v>147</v>
      </c>
      <c r="R121" s="742" t="s">
        <v>125</v>
      </c>
    </row>
    <row r="122" spans="1:24">
      <c r="A122" s="743" t="s">
        <v>126</v>
      </c>
      <c r="B122" s="731" t="s">
        <v>119</v>
      </c>
      <c r="C122" s="731" t="s">
        <v>66</v>
      </c>
      <c r="D122" s="731" t="s">
        <v>118</v>
      </c>
      <c r="E122" s="731" t="s">
        <v>59</v>
      </c>
      <c r="F122" s="731" t="s">
        <v>62</v>
      </c>
      <c r="G122" s="744"/>
      <c r="H122" s="760" t="s">
        <v>154</v>
      </c>
      <c r="I122" s="760" t="s">
        <v>286</v>
      </c>
      <c r="J122" s="731" t="s">
        <v>287</v>
      </c>
      <c r="K122" s="733" t="s">
        <v>117</v>
      </c>
      <c r="L122" s="744" t="s">
        <v>0</v>
      </c>
      <c r="M122" s="744"/>
      <c r="N122" s="731" t="s">
        <v>124</v>
      </c>
      <c r="O122" s="744" t="str">
        <f>F122</f>
        <v>DLC</v>
      </c>
      <c r="P122" s="744" t="s">
        <v>66</v>
      </c>
      <c r="Q122" s="760" t="s">
        <v>131</v>
      </c>
      <c r="R122" s="745" t="s">
        <v>117</v>
      </c>
    </row>
    <row r="123" spans="1:24" hidden="1">
      <c r="A123" s="746">
        <f t="shared" ref="A123:A144" si="26">A95</f>
        <v>2009</v>
      </c>
      <c r="B123" s="524">
        <v>8863.3876889456678</v>
      </c>
      <c r="C123" s="322">
        <v>245</v>
      </c>
      <c r="D123" s="588">
        <v>9108.3876889456678</v>
      </c>
      <c r="E123" s="322">
        <v>-489</v>
      </c>
      <c r="F123" s="589">
        <v>8619.3876889456678</v>
      </c>
      <c r="G123" s="590"/>
      <c r="H123" s="322">
        <v>693</v>
      </c>
      <c r="I123" s="322">
        <v>219.9</v>
      </c>
      <c r="J123" s="322">
        <v>506.05405847474952</v>
      </c>
      <c r="K123" s="322">
        <v>16.143937845021469</v>
      </c>
      <c r="L123" s="322">
        <v>1435.097996319771</v>
      </c>
      <c r="M123" s="591"/>
      <c r="N123" s="322">
        <v>25</v>
      </c>
      <c r="O123" s="592">
        <v>10079.485685265439</v>
      </c>
      <c r="P123" s="322">
        <v>-261.14393784502147</v>
      </c>
      <c r="Q123" s="322">
        <v>-395.25</v>
      </c>
      <c r="R123" s="593">
        <v>9423.091747420418</v>
      </c>
      <c r="S123" s="172"/>
      <c r="T123" s="320"/>
      <c r="U123" s="320"/>
    </row>
    <row r="124" spans="1:24" hidden="1">
      <c r="A124" s="746">
        <f t="shared" si="26"/>
        <v>2010</v>
      </c>
      <c r="B124" s="322">
        <v>8726</v>
      </c>
      <c r="C124" s="322">
        <v>242</v>
      </c>
      <c r="D124" s="322">
        <v>8968</v>
      </c>
      <c r="E124" s="322">
        <v>-532.39720223194479</v>
      </c>
      <c r="F124" s="322">
        <v>8435.6027977680551</v>
      </c>
      <c r="G124" s="590"/>
      <c r="H124" s="322">
        <v>531</v>
      </c>
      <c r="I124" s="322">
        <v>226.55100000000002</v>
      </c>
      <c r="J124" s="322">
        <v>391.73191622615775</v>
      </c>
      <c r="K124" s="322">
        <v>11.914</v>
      </c>
      <c r="L124" s="322">
        <v>1161.1969162261578</v>
      </c>
      <c r="M124" s="591"/>
      <c r="N124" s="322">
        <v>0</v>
      </c>
      <c r="O124" s="592">
        <v>9596.7997139942127</v>
      </c>
      <c r="P124" s="322">
        <v>-253.91399999999999</v>
      </c>
      <c r="Q124" s="322">
        <v>-405.25</v>
      </c>
      <c r="R124" s="593">
        <v>8937.635713994212</v>
      </c>
      <c r="S124" s="172"/>
    </row>
    <row r="125" spans="1:24" hidden="1">
      <c r="A125" s="746">
        <f t="shared" si="26"/>
        <v>2011</v>
      </c>
      <c r="B125" s="322">
        <v>8834</v>
      </c>
      <c r="C125" s="322">
        <v>248</v>
      </c>
      <c r="D125" s="588">
        <v>9082</v>
      </c>
      <c r="E125" s="322">
        <v>-619.41026466262315</v>
      </c>
      <c r="F125" s="592">
        <v>8462.5897353373766</v>
      </c>
      <c r="G125" s="590"/>
      <c r="H125" s="322">
        <v>634</v>
      </c>
      <c r="I125" s="322">
        <v>43.2</v>
      </c>
      <c r="J125" s="322">
        <v>255.64810462858895</v>
      </c>
      <c r="K125" s="322">
        <v>15.326453458669663</v>
      </c>
      <c r="L125" s="322">
        <v>948.17455808725867</v>
      </c>
      <c r="M125" s="591"/>
      <c r="N125" s="322">
        <v>25</v>
      </c>
      <c r="O125" s="592">
        <v>9435.764293424636</v>
      </c>
      <c r="P125" s="322">
        <v>-263.32645345866968</v>
      </c>
      <c r="Q125" s="322">
        <v>-425.25</v>
      </c>
      <c r="R125" s="593">
        <v>8747.1878399659654</v>
      </c>
      <c r="S125" s="172"/>
    </row>
    <row r="126" spans="1:24">
      <c r="A126" s="746">
        <f t="shared" si="26"/>
        <v>2012</v>
      </c>
      <c r="B126" s="322">
        <v>8885</v>
      </c>
      <c r="C126" s="322">
        <v>255</v>
      </c>
      <c r="D126" s="588">
        <v>9140</v>
      </c>
      <c r="E126" s="322">
        <v>-629</v>
      </c>
      <c r="F126" s="592">
        <v>8511</v>
      </c>
      <c r="G126" s="590"/>
      <c r="H126" s="322">
        <v>775</v>
      </c>
      <c r="I126" s="322">
        <v>42</v>
      </c>
      <c r="J126" s="322">
        <v>260.6219798144561</v>
      </c>
      <c r="K126" s="322">
        <v>15</v>
      </c>
      <c r="L126" s="322">
        <v>1092.6219798144562</v>
      </c>
      <c r="M126" s="591"/>
      <c r="N126" s="322">
        <v>25</v>
      </c>
      <c r="O126" s="592">
        <v>9628.6219798144557</v>
      </c>
      <c r="P126" s="322">
        <v>-270</v>
      </c>
      <c r="Q126" s="322">
        <v>-437</v>
      </c>
      <c r="R126" s="593">
        <v>8921.6219798144557</v>
      </c>
      <c r="S126" s="172"/>
    </row>
    <row r="127" spans="1:24">
      <c r="A127" s="746">
        <f t="shared" si="26"/>
        <v>2013</v>
      </c>
      <c r="B127" s="322">
        <v>9019</v>
      </c>
      <c r="C127" s="322">
        <v>237</v>
      </c>
      <c r="D127" s="588">
        <v>9256</v>
      </c>
      <c r="E127" s="322">
        <v>-670</v>
      </c>
      <c r="F127" s="592">
        <v>8586</v>
      </c>
      <c r="G127" s="590"/>
      <c r="H127" s="322">
        <v>600</v>
      </c>
      <c r="I127" s="322">
        <v>21</v>
      </c>
      <c r="J127" s="322">
        <v>167.6219798144561</v>
      </c>
      <c r="K127" s="322">
        <v>15</v>
      </c>
      <c r="L127" s="322">
        <v>803.62197981445615</v>
      </c>
      <c r="M127" s="591"/>
      <c r="N127" s="322">
        <v>25</v>
      </c>
      <c r="O127" s="592">
        <v>9414.6219798144557</v>
      </c>
      <c r="P127" s="322">
        <v>-252</v>
      </c>
      <c r="Q127" s="322">
        <v>-446</v>
      </c>
      <c r="R127" s="593">
        <v>8716.6219798144557</v>
      </c>
      <c r="S127" s="172"/>
    </row>
    <row r="128" spans="1:24">
      <c r="A128" s="746">
        <f t="shared" si="26"/>
        <v>2014</v>
      </c>
      <c r="B128" s="322">
        <v>9221</v>
      </c>
      <c r="C128" s="322">
        <v>221</v>
      </c>
      <c r="D128" s="588">
        <v>9442</v>
      </c>
      <c r="E128" s="322">
        <v>-708</v>
      </c>
      <c r="F128" s="592">
        <v>8734</v>
      </c>
      <c r="G128" s="590"/>
      <c r="H128" s="322">
        <v>550</v>
      </c>
      <c r="I128" s="322">
        <v>22</v>
      </c>
      <c r="J128" s="322">
        <v>117.62197981445611</v>
      </c>
      <c r="K128" s="322">
        <v>15</v>
      </c>
      <c r="L128" s="322">
        <v>704.62197981445615</v>
      </c>
      <c r="M128" s="591"/>
      <c r="N128" s="322">
        <v>25</v>
      </c>
      <c r="O128" s="592">
        <v>9463.6219798144557</v>
      </c>
      <c r="P128" s="322">
        <v>-236</v>
      </c>
      <c r="Q128" s="322">
        <v>-455</v>
      </c>
      <c r="R128" s="593">
        <v>8772.6219798144557</v>
      </c>
      <c r="S128" s="172"/>
    </row>
    <row r="129" spans="1:19">
      <c r="A129" s="746">
        <f t="shared" si="26"/>
        <v>2015</v>
      </c>
      <c r="B129" s="322">
        <v>9453</v>
      </c>
      <c r="C129" s="322">
        <v>233</v>
      </c>
      <c r="D129" s="588">
        <v>9686</v>
      </c>
      <c r="E129" s="322">
        <v>-739</v>
      </c>
      <c r="F129" s="592">
        <v>8947</v>
      </c>
      <c r="G129" s="590"/>
      <c r="H129" s="322">
        <v>550</v>
      </c>
      <c r="I129" s="322">
        <v>22</v>
      </c>
      <c r="J129" s="322">
        <v>117.62197981445611</v>
      </c>
      <c r="K129" s="322">
        <v>15</v>
      </c>
      <c r="L129" s="322">
        <v>704.62197981445615</v>
      </c>
      <c r="M129" s="591"/>
      <c r="N129" s="322">
        <v>25</v>
      </c>
      <c r="O129" s="592">
        <v>9676.6219798144557</v>
      </c>
      <c r="P129" s="322">
        <v>-248</v>
      </c>
      <c r="Q129" s="322">
        <v>-465</v>
      </c>
      <c r="R129" s="593">
        <v>8963.6219798144557</v>
      </c>
      <c r="S129" s="172"/>
    </row>
    <row r="130" spans="1:19">
      <c r="A130" s="746">
        <f t="shared" si="26"/>
        <v>2016</v>
      </c>
      <c r="B130" s="322">
        <v>9654</v>
      </c>
      <c r="C130" s="322">
        <v>234</v>
      </c>
      <c r="D130" s="588">
        <v>9888</v>
      </c>
      <c r="E130" s="322">
        <v>-767</v>
      </c>
      <c r="F130" s="592">
        <v>9121</v>
      </c>
      <c r="G130" s="590"/>
      <c r="H130" s="322">
        <v>400</v>
      </c>
      <c r="I130" s="322">
        <v>22</v>
      </c>
      <c r="J130" s="322">
        <v>117.62197981445611</v>
      </c>
      <c r="K130" s="322">
        <v>15</v>
      </c>
      <c r="L130" s="322">
        <v>554.62197981445615</v>
      </c>
      <c r="M130" s="591"/>
      <c r="N130" s="322">
        <v>25</v>
      </c>
      <c r="O130" s="592">
        <v>9700.6219798144557</v>
      </c>
      <c r="P130" s="322">
        <v>-249</v>
      </c>
      <c r="Q130" s="322">
        <v>-474</v>
      </c>
      <c r="R130" s="593">
        <v>8977.6219798144557</v>
      </c>
      <c r="S130" s="172"/>
    </row>
    <row r="131" spans="1:19">
      <c r="A131" s="746">
        <f t="shared" si="26"/>
        <v>2017</v>
      </c>
      <c r="B131" s="322">
        <v>9854</v>
      </c>
      <c r="C131" s="322">
        <v>243</v>
      </c>
      <c r="D131" s="588">
        <v>10097</v>
      </c>
      <c r="E131" s="322">
        <v>-792</v>
      </c>
      <c r="F131" s="592">
        <v>9305</v>
      </c>
      <c r="G131" s="590"/>
      <c r="H131" s="322">
        <v>500</v>
      </c>
      <c r="I131" s="322">
        <v>23</v>
      </c>
      <c r="J131" s="322">
        <v>117.62197981445611</v>
      </c>
      <c r="K131" s="322">
        <v>15</v>
      </c>
      <c r="L131" s="322">
        <v>655.62197981445615</v>
      </c>
      <c r="M131" s="591"/>
      <c r="N131" s="322">
        <v>25</v>
      </c>
      <c r="O131" s="592">
        <v>9985.6219798144557</v>
      </c>
      <c r="P131" s="322">
        <v>-258</v>
      </c>
      <c r="Q131" s="322">
        <v>-518</v>
      </c>
      <c r="R131" s="593">
        <v>9209.6219798144557</v>
      </c>
      <c r="S131" s="172"/>
    </row>
    <row r="132" spans="1:19">
      <c r="A132" s="746">
        <f t="shared" si="26"/>
        <v>2018</v>
      </c>
      <c r="B132" s="322">
        <v>10045</v>
      </c>
      <c r="C132" s="322">
        <v>247</v>
      </c>
      <c r="D132" s="588">
        <v>10292</v>
      </c>
      <c r="E132" s="322">
        <v>-814</v>
      </c>
      <c r="F132" s="592">
        <v>9478</v>
      </c>
      <c r="G132" s="590"/>
      <c r="H132" s="322">
        <v>500</v>
      </c>
      <c r="I132" s="322">
        <v>23</v>
      </c>
      <c r="J132" s="322">
        <v>117.62197981445611</v>
      </c>
      <c r="K132" s="322">
        <v>15</v>
      </c>
      <c r="L132" s="322">
        <v>655.62197981445615</v>
      </c>
      <c r="M132" s="591"/>
      <c r="N132" s="322">
        <v>25</v>
      </c>
      <c r="O132" s="592">
        <v>10158.621979814456</v>
      </c>
      <c r="P132" s="322">
        <v>-262</v>
      </c>
      <c r="Q132" s="322">
        <v>-527</v>
      </c>
      <c r="R132" s="593">
        <v>9369.6219798144557</v>
      </c>
      <c r="S132" s="172"/>
    </row>
    <row r="133" spans="1:19">
      <c r="A133" s="746">
        <f t="shared" si="26"/>
        <v>2019</v>
      </c>
      <c r="B133" s="322">
        <v>10235</v>
      </c>
      <c r="C133" s="322">
        <v>263</v>
      </c>
      <c r="D133" s="588">
        <v>10498</v>
      </c>
      <c r="E133" s="322">
        <v>-834</v>
      </c>
      <c r="F133" s="592">
        <v>9664</v>
      </c>
      <c r="G133" s="590"/>
      <c r="H133" s="322">
        <v>750</v>
      </c>
      <c r="I133" s="322">
        <v>23</v>
      </c>
      <c r="J133" s="322">
        <v>117.62197981445611</v>
      </c>
      <c r="K133" s="322">
        <v>15</v>
      </c>
      <c r="L133" s="322">
        <v>905.62197981445615</v>
      </c>
      <c r="M133" s="591"/>
      <c r="N133" s="322">
        <v>25</v>
      </c>
      <c r="O133" s="592">
        <v>10594.621979814456</v>
      </c>
      <c r="P133" s="322">
        <v>-278</v>
      </c>
      <c r="Q133" s="322">
        <v>-536</v>
      </c>
      <c r="R133" s="593">
        <v>9780.6219798144557</v>
      </c>
      <c r="S133" s="172"/>
    </row>
    <row r="134" spans="1:19">
      <c r="A134" s="746">
        <f t="shared" si="26"/>
        <v>2020</v>
      </c>
      <c r="B134" s="322">
        <v>10425</v>
      </c>
      <c r="C134" s="322">
        <v>278</v>
      </c>
      <c r="D134" s="588">
        <v>10703</v>
      </c>
      <c r="E134" s="322">
        <v>-856</v>
      </c>
      <c r="F134" s="592">
        <v>9847</v>
      </c>
      <c r="G134" s="590"/>
      <c r="H134" s="322">
        <v>750</v>
      </c>
      <c r="I134" s="322">
        <v>23</v>
      </c>
      <c r="J134" s="322">
        <v>117.62197981445611</v>
      </c>
      <c r="K134" s="322">
        <v>15</v>
      </c>
      <c r="L134" s="322">
        <v>905.62197981445615</v>
      </c>
      <c r="M134" s="591"/>
      <c r="N134" s="322">
        <v>25</v>
      </c>
      <c r="O134" s="592">
        <v>10777.621979814456</v>
      </c>
      <c r="P134" s="322">
        <v>-293</v>
      </c>
      <c r="Q134" s="322">
        <v>-546</v>
      </c>
      <c r="R134" s="593">
        <v>9938.6219798144557</v>
      </c>
      <c r="S134" s="172"/>
    </row>
    <row r="135" spans="1:19">
      <c r="A135" s="746">
        <f t="shared" si="26"/>
        <v>2021</v>
      </c>
      <c r="B135" s="322">
        <v>10615</v>
      </c>
      <c r="C135" s="322">
        <v>286</v>
      </c>
      <c r="D135" s="588">
        <v>10901</v>
      </c>
      <c r="E135" s="322">
        <v>-876</v>
      </c>
      <c r="F135" s="592">
        <v>10025</v>
      </c>
      <c r="G135" s="590"/>
      <c r="H135" s="322">
        <v>500</v>
      </c>
      <c r="I135" s="322">
        <v>23</v>
      </c>
      <c r="J135" s="322">
        <v>117.62197981445611</v>
      </c>
      <c r="K135" s="322">
        <v>15</v>
      </c>
      <c r="L135" s="322">
        <v>655.62197981445615</v>
      </c>
      <c r="M135" s="590"/>
      <c r="N135" s="322">
        <v>25</v>
      </c>
      <c r="O135" s="592">
        <v>10705.621979814456</v>
      </c>
      <c r="P135" s="322">
        <v>-301</v>
      </c>
      <c r="Q135" s="322">
        <v>-555</v>
      </c>
      <c r="R135" s="593">
        <v>9849.6219798144557</v>
      </c>
      <c r="S135" s="172"/>
    </row>
    <row r="136" spans="1:19">
      <c r="A136" s="746">
        <f t="shared" si="26"/>
        <v>2022</v>
      </c>
      <c r="B136" s="322">
        <v>10805</v>
      </c>
      <c r="C136" s="322">
        <v>286</v>
      </c>
      <c r="D136" s="588">
        <v>11091</v>
      </c>
      <c r="E136" s="322">
        <v>-895</v>
      </c>
      <c r="F136" s="592">
        <v>10196</v>
      </c>
      <c r="G136" s="590"/>
      <c r="H136" s="322">
        <v>350</v>
      </c>
      <c r="I136" s="322">
        <v>23</v>
      </c>
      <c r="J136" s="322">
        <v>117.62197981445611</v>
      </c>
      <c r="K136" s="322">
        <v>15</v>
      </c>
      <c r="L136" s="322">
        <v>505.6219798144561</v>
      </c>
      <c r="M136" s="590"/>
      <c r="N136" s="322">
        <v>25</v>
      </c>
      <c r="O136" s="592">
        <v>10726.621979814456</v>
      </c>
      <c r="P136" s="322">
        <v>-301</v>
      </c>
      <c r="Q136" s="322">
        <v>-564</v>
      </c>
      <c r="R136" s="593">
        <v>9861.6219798144557</v>
      </c>
      <c r="S136" s="172"/>
    </row>
    <row r="137" spans="1:19">
      <c r="A137" s="746">
        <f t="shared" si="26"/>
        <v>2023</v>
      </c>
      <c r="B137" s="322">
        <v>10996</v>
      </c>
      <c r="C137" s="322">
        <v>281</v>
      </c>
      <c r="D137" s="588">
        <v>11277</v>
      </c>
      <c r="E137" s="322">
        <v>-913</v>
      </c>
      <c r="F137" s="592">
        <v>10364</v>
      </c>
      <c r="G137" s="590"/>
      <c r="H137" s="322">
        <v>350</v>
      </c>
      <c r="I137" s="322">
        <v>23</v>
      </c>
      <c r="J137" s="322">
        <v>117.62197981445611</v>
      </c>
      <c r="K137" s="322">
        <v>15</v>
      </c>
      <c r="L137" s="322">
        <v>505.6219798144561</v>
      </c>
      <c r="M137" s="590"/>
      <c r="N137" s="322">
        <v>25</v>
      </c>
      <c r="O137" s="592">
        <v>10894.621979814456</v>
      </c>
      <c r="P137" s="322">
        <v>-296</v>
      </c>
      <c r="Q137" s="322">
        <v>-573</v>
      </c>
      <c r="R137" s="593">
        <v>10025.621979814456</v>
      </c>
      <c r="S137" s="172"/>
    </row>
    <row r="138" spans="1:19">
      <c r="A138" s="746">
        <f t="shared" si="26"/>
        <v>2024</v>
      </c>
      <c r="B138" s="322">
        <v>11185</v>
      </c>
      <c r="C138" s="322">
        <v>281</v>
      </c>
      <c r="D138" s="588">
        <v>11466</v>
      </c>
      <c r="E138" s="322">
        <v>-931</v>
      </c>
      <c r="F138" s="592">
        <v>10535</v>
      </c>
      <c r="G138" s="590"/>
      <c r="H138" s="322">
        <v>350</v>
      </c>
      <c r="I138" s="322">
        <v>23</v>
      </c>
      <c r="J138" s="322">
        <v>117.62197981445611</v>
      </c>
      <c r="K138" s="322">
        <v>15</v>
      </c>
      <c r="L138" s="322">
        <v>505.6219798144561</v>
      </c>
      <c r="M138" s="590"/>
      <c r="N138" s="322">
        <v>25</v>
      </c>
      <c r="O138" s="592">
        <v>11065.621979814456</v>
      </c>
      <c r="P138" s="322">
        <v>-296</v>
      </c>
      <c r="Q138" s="322">
        <v>-582</v>
      </c>
      <c r="R138" s="593">
        <v>10187.621979814456</v>
      </c>
      <c r="S138" s="172"/>
    </row>
    <row r="139" spans="1:19">
      <c r="A139" s="746">
        <f t="shared" si="26"/>
        <v>2025</v>
      </c>
      <c r="B139" s="322">
        <v>11372</v>
      </c>
      <c r="C139" s="322">
        <v>266</v>
      </c>
      <c r="D139" s="588">
        <v>11638</v>
      </c>
      <c r="E139" s="322">
        <v>-948</v>
      </c>
      <c r="F139" s="592">
        <v>10690</v>
      </c>
      <c r="G139" s="590"/>
      <c r="H139" s="322">
        <v>150</v>
      </c>
      <c r="I139" s="322">
        <v>23</v>
      </c>
      <c r="J139" s="322">
        <v>117.62197981445611</v>
      </c>
      <c r="K139" s="322">
        <v>15</v>
      </c>
      <c r="L139" s="322">
        <v>305.6219798144561</v>
      </c>
      <c r="M139" s="590"/>
      <c r="N139" s="322">
        <v>25</v>
      </c>
      <c r="O139" s="592">
        <v>11020.621979814456</v>
      </c>
      <c r="P139" s="322">
        <v>-281</v>
      </c>
      <c r="Q139" s="322">
        <v>-592</v>
      </c>
      <c r="R139" s="593">
        <v>10147.621979814456</v>
      </c>
      <c r="S139" s="172"/>
    </row>
    <row r="140" spans="1:19">
      <c r="A140" s="746">
        <f t="shared" si="26"/>
        <v>2026</v>
      </c>
      <c r="B140" s="322">
        <v>11558</v>
      </c>
      <c r="C140" s="322">
        <v>250</v>
      </c>
      <c r="D140" s="588">
        <v>11808</v>
      </c>
      <c r="E140" s="322">
        <v>-965</v>
      </c>
      <c r="F140" s="592">
        <v>10843</v>
      </c>
      <c r="G140" s="590"/>
      <c r="H140" s="322">
        <v>150</v>
      </c>
      <c r="I140" s="322">
        <v>23</v>
      </c>
      <c r="J140" s="322">
        <v>117.62197981445611</v>
      </c>
      <c r="K140" s="322">
        <v>15</v>
      </c>
      <c r="L140" s="322">
        <v>305.6219798144561</v>
      </c>
      <c r="M140" s="590"/>
      <c r="N140" s="322">
        <v>25</v>
      </c>
      <c r="O140" s="592">
        <v>11173.621979814456</v>
      </c>
      <c r="P140" s="322">
        <v>-265</v>
      </c>
      <c r="Q140" s="322">
        <v>-601</v>
      </c>
      <c r="R140" s="593">
        <v>10307.621979814456</v>
      </c>
      <c r="S140" s="172"/>
    </row>
    <row r="141" spans="1:19">
      <c r="A141" s="746">
        <f t="shared" si="26"/>
        <v>2027</v>
      </c>
      <c r="B141" s="322">
        <v>11741</v>
      </c>
      <c r="C141" s="322">
        <v>246</v>
      </c>
      <c r="D141" s="588">
        <v>11987</v>
      </c>
      <c r="E141" s="322">
        <v>-982</v>
      </c>
      <c r="F141" s="592">
        <v>11005</v>
      </c>
      <c r="G141" s="590"/>
      <c r="H141" s="322">
        <v>150</v>
      </c>
      <c r="I141" s="322">
        <v>23</v>
      </c>
      <c r="J141" s="322">
        <v>117.62197981445611</v>
      </c>
      <c r="K141" s="322">
        <v>15</v>
      </c>
      <c r="L141" s="322">
        <v>305.6219798144561</v>
      </c>
      <c r="M141" s="590"/>
      <c r="N141" s="322">
        <v>25</v>
      </c>
      <c r="O141" s="592">
        <v>11335.621979814456</v>
      </c>
      <c r="P141" s="322">
        <v>-261</v>
      </c>
      <c r="Q141" s="322">
        <v>-610</v>
      </c>
      <c r="R141" s="593">
        <v>10464.621979814456</v>
      </c>
      <c r="S141" s="172"/>
    </row>
    <row r="142" spans="1:19">
      <c r="A142" s="746">
        <f t="shared" si="26"/>
        <v>2028</v>
      </c>
      <c r="B142" s="322">
        <v>11922</v>
      </c>
      <c r="C142" s="322">
        <v>242</v>
      </c>
      <c r="D142" s="588">
        <v>12164</v>
      </c>
      <c r="E142" s="322">
        <v>-998</v>
      </c>
      <c r="F142" s="592">
        <v>11166</v>
      </c>
      <c r="G142" s="590"/>
      <c r="H142" s="322">
        <v>150</v>
      </c>
      <c r="I142" s="322">
        <v>23</v>
      </c>
      <c r="J142" s="322">
        <v>117.62197981445611</v>
      </c>
      <c r="K142" s="322">
        <v>15</v>
      </c>
      <c r="L142" s="322">
        <v>305.6219798144561</v>
      </c>
      <c r="M142" s="590"/>
      <c r="N142" s="322">
        <v>25</v>
      </c>
      <c r="O142" s="592">
        <v>11496.621979814456</v>
      </c>
      <c r="P142" s="322">
        <v>-257</v>
      </c>
      <c r="Q142" s="322">
        <v>-619</v>
      </c>
      <c r="R142" s="593">
        <v>10620.621979814456</v>
      </c>
      <c r="S142" s="172"/>
    </row>
    <row r="143" spans="1:19">
      <c r="A143" s="746">
        <f t="shared" si="26"/>
        <v>2029</v>
      </c>
      <c r="B143" s="322">
        <v>12101</v>
      </c>
      <c r="C143" s="322">
        <v>242</v>
      </c>
      <c r="D143" s="588">
        <v>12343</v>
      </c>
      <c r="E143" s="322">
        <v>-1014</v>
      </c>
      <c r="F143" s="592">
        <v>11329</v>
      </c>
      <c r="G143" s="590"/>
      <c r="H143" s="322">
        <v>150</v>
      </c>
      <c r="I143" s="322">
        <v>23</v>
      </c>
      <c r="J143" s="322">
        <v>117.62197981445611</v>
      </c>
      <c r="K143" s="322">
        <v>15</v>
      </c>
      <c r="L143" s="322">
        <v>305.6219798144561</v>
      </c>
      <c r="M143" s="590"/>
      <c r="N143" s="322">
        <v>25</v>
      </c>
      <c r="O143" s="592">
        <v>11659.621979814456</v>
      </c>
      <c r="P143" s="322">
        <v>-257</v>
      </c>
      <c r="Q143" s="322">
        <v>-628</v>
      </c>
      <c r="R143" s="593">
        <v>10774.621979814456</v>
      </c>
      <c r="S143" s="172"/>
    </row>
    <row r="144" spans="1:19">
      <c r="A144" s="743">
        <f t="shared" si="26"/>
        <v>2030</v>
      </c>
      <c r="B144" s="597">
        <v>12277</v>
      </c>
      <c r="C144" s="597">
        <v>242</v>
      </c>
      <c r="D144" s="785">
        <v>12519</v>
      </c>
      <c r="E144" s="597">
        <v>-1029</v>
      </c>
      <c r="F144" s="598">
        <v>11490</v>
      </c>
      <c r="G144" s="787"/>
      <c r="H144" s="597">
        <v>150</v>
      </c>
      <c r="I144" s="597">
        <v>23</v>
      </c>
      <c r="J144" s="597">
        <v>117.62197981445611</v>
      </c>
      <c r="K144" s="597">
        <v>15</v>
      </c>
      <c r="L144" s="597">
        <v>305.6219798144561</v>
      </c>
      <c r="M144" s="787"/>
      <c r="N144" s="597">
        <v>25</v>
      </c>
      <c r="O144" s="598">
        <v>11820.621979814456</v>
      </c>
      <c r="P144" s="597">
        <v>-257</v>
      </c>
      <c r="Q144" s="597">
        <v>-638</v>
      </c>
      <c r="R144" s="599">
        <v>10925.621979814456</v>
      </c>
      <c r="S144" s="172"/>
    </row>
    <row r="145" spans="1:18">
      <c r="A145" s="726"/>
      <c r="B145" s="726"/>
      <c r="C145" s="726"/>
      <c r="D145" s="726"/>
      <c r="E145" s="726"/>
      <c r="F145" s="726"/>
      <c r="G145" s="726"/>
      <c r="H145" s="726"/>
      <c r="I145" s="726"/>
      <c r="J145" s="726"/>
      <c r="K145" s="726"/>
      <c r="L145" s="726"/>
      <c r="M145" s="726"/>
      <c r="N145" s="725"/>
      <c r="O145" s="726"/>
      <c r="P145" s="726"/>
      <c r="Q145" s="726"/>
      <c r="R145" s="726"/>
    </row>
    <row r="146" spans="1:18">
      <c r="A146" s="1623" t="str">
        <f>CONCATENATE(A90,"   vs   ",A118)</f>
        <v>FALL 2013   vs   TYSP 2013</v>
      </c>
      <c r="B146" s="1624"/>
      <c r="C146" s="1624"/>
      <c r="D146" s="1624"/>
      <c r="E146" s="1624"/>
      <c r="F146" s="1624"/>
      <c r="G146" s="1624"/>
      <c r="H146" s="1624"/>
      <c r="I146" s="1624"/>
      <c r="J146" s="1624"/>
      <c r="K146" s="1624"/>
      <c r="L146" s="1624"/>
      <c r="M146" s="1624"/>
      <c r="N146" s="1624"/>
      <c r="O146" s="1624"/>
      <c r="P146" s="1624"/>
      <c r="Q146" s="1624"/>
      <c r="R146" s="1625"/>
    </row>
    <row r="147" spans="1:18">
      <c r="A147" s="736"/>
      <c r="B147" s="728" t="s">
        <v>116</v>
      </c>
      <c r="C147" s="728"/>
      <c r="D147" s="728"/>
      <c r="F147" s="728" t="s">
        <v>21</v>
      </c>
      <c r="G147" s="737"/>
      <c r="H147" s="738"/>
      <c r="I147" s="738"/>
      <c r="J147" s="738"/>
      <c r="K147" s="738"/>
      <c r="L147" s="738"/>
      <c r="M147" s="738"/>
      <c r="N147" s="761"/>
      <c r="O147" s="761" t="str">
        <f>F147</f>
        <v>Total</v>
      </c>
      <c r="P147" s="761"/>
      <c r="Q147" s="761"/>
      <c r="R147" s="762"/>
    </row>
    <row r="148" spans="1:18">
      <c r="A148" s="740"/>
      <c r="B148" s="591" t="s">
        <v>117</v>
      </c>
      <c r="C148" s="591"/>
      <c r="D148" s="591" t="s">
        <v>120</v>
      </c>
      <c r="E148" s="28"/>
      <c r="F148" s="591" t="s">
        <v>118</v>
      </c>
      <c r="G148" s="741"/>
      <c r="H148" s="1618" t="s">
        <v>123</v>
      </c>
      <c r="I148" s="1619"/>
      <c r="J148" s="1619"/>
      <c r="K148" s="1619"/>
      <c r="L148" s="1620"/>
      <c r="M148" s="590"/>
      <c r="N148" s="763"/>
      <c r="O148" s="1" t="s">
        <v>125</v>
      </c>
      <c r="P148" s="1"/>
      <c r="Q148" s="1"/>
      <c r="R148" s="742" t="s">
        <v>21</v>
      </c>
    </row>
    <row r="149" spans="1:18">
      <c r="A149" s="740"/>
      <c r="B149" s="591" t="s">
        <v>118</v>
      </c>
      <c r="C149" s="591" t="s">
        <v>118</v>
      </c>
      <c r="D149" s="591" t="s">
        <v>21</v>
      </c>
      <c r="E149" s="591" t="s">
        <v>121</v>
      </c>
      <c r="F149" s="591" t="s">
        <v>122</v>
      </c>
      <c r="G149" s="741"/>
      <c r="H149" s="728" t="s">
        <v>21</v>
      </c>
      <c r="I149" s="728" t="s">
        <v>288</v>
      </c>
      <c r="J149" s="728"/>
      <c r="K149" s="730" t="s">
        <v>349</v>
      </c>
      <c r="L149" s="728"/>
      <c r="M149" s="591"/>
      <c r="N149" s="591" t="s">
        <v>264</v>
      </c>
      <c r="O149" s="591" t="str">
        <f>F149</f>
        <v>before</v>
      </c>
      <c r="P149" s="591" t="s">
        <v>21</v>
      </c>
      <c r="Q149" s="729" t="s">
        <v>147</v>
      </c>
      <c r="R149" s="742" t="s">
        <v>125</v>
      </c>
    </row>
    <row r="150" spans="1:18">
      <c r="A150" s="743" t="s">
        <v>126</v>
      </c>
      <c r="B150" s="731" t="s">
        <v>119</v>
      </c>
      <c r="C150" s="731" t="s">
        <v>66</v>
      </c>
      <c r="D150" s="731" t="s">
        <v>118</v>
      </c>
      <c r="E150" s="731" t="s">
        <v>59</v>
      </c>
      <c r="F150" s="731" t="s">
        <v>62</v>
      </c>
      <c r="G150" s="744"/>
      <c r="H150" s="732" t="s">
        <v>154</v>
      </c>
      <c r="I150" s="732" t="s">
        <v>286</v>
      </c>
      <c r="J150" s="731" t="s">
        <v>287</v>
      </c>
      <c r="K150" s="733" t="s">
        <v>117</v>
      </c>
      <c r="L150" s="731" t="s">
        <v>0</v>
      </c>
      <c r="M150" s="731"/>
      <c r="N150" s="731" t="s">
        <v>124</v>
      </c>
      <c r="O150" s="731" t="str">
        <f>F150</f>
        <v>DLC</v>
      </c>
      <c r="P150" s="731" t="s">
        <v>66</v>
      </c>
      <c r="Q150" s="732" t="s">
        <v>131</v>
      </c>
      <c r="R150" s="745" t="s">
        <v>117</v>
      </c>
    </row>
    <row r="151" spans="1:18" hidden="1">
      <c r="A151" s="746">
        <f t="shared" ref="A151:A172" si="27">A123</f>
        <v>2009</v>
      </c>
      <c r="B151" s="322" t="e">
        <f t="shared" ref="B151:F166" si="28">B95-B123</f>
        <v>#REF!</v>
      </c>
      <c r="C151" s="322" t="e">
        <f t="shared" si="28"/>
        <v>#REF!</v>
      </c>
      <c r="D151" s="322" t="e">
        <f t="shared" si="28"/>
        <v>#REF!</v>
      </c>
      <c r="E151" s="322" t="e">
        <f t="shared" si="28"/>
        <v>#REF!</v>
      </c>
      <c r="F151" s="322" t="e">
        <f t="shared" si="28"/>
        <v>#REF!</v>
      </c>
      <c r="G151" s="591"/>
      <c r="H151" s="322" t="e">
        <f t="shared" ref="H151:L166" si="29">H95-H123</f>
        <v>#REF!</v>
      </c>
      <c r="I151" s="322" t="e">
        <f t="shared" si="29"/>
        <v>#REF!</v>
      </c>
      <c r="J151" s="322" t="e">
        <f t="shared" si="29"/>
        <v>#REF!</v>
      </c>
      <c r="K151" s="322" t="e">
        <f t="shared" si="29"/>
        <v>#REF!</v>
      </c>
      <c r="L151" s="322" t="e">
        <f t="shared" si="29"/>
        <v>#REF!</v>
      </c>
      <c r="M151" s="591"/>
      <c r="N151" s="322" t="e">
        <f t="shared" ref="N151:Q166" si="30">N95-N123</f>
        <v>#REF!</v>
      </c>
      <c r="O151" s="322" t="e">
        <f t="shared" si="30"/>
        <v>#REF!</v>
      </c>
      <c r="P151" s="322" t="e">
        <f t="shared" si="30"/>
        <v>#REF!</v>
      </c>
      <c r="Q151" s="322" t="e">
        <f t="shared" si="30"/>
        <v>#REF!</v>
      </c>
      <c r="R151" s="747" t="e">
        <f t="shared" ref="R151:R169" si="31">O151+P151+Q151</f>
        <v>#REF!</v>
      </c>
    </row>
    <row r="152" spans="1:18" hidden="1">
      <c r="A152" s="746">
        <f t="shared" si="27"/>
        <v>2010</v>
      </c>
      <c r="B152" s="322" t="e">
        <f t="shared" si="28"/>
        <v>#REF!</v>
      </c>
      <c r="C152" s="322" t="e">
        <f t="shared" si="28"/>
        <v>#REF!</v>
      </c>
      <c r="D152" s="322" t="e">
        <f t="shared" si="28"/>
        <v>#REF!</v>
      </c>
      <c r="E152" s="322" t="e">
        <f t="shared" si="28"/>
        <v>#REF!</v>
      </c>
      <c r="F152" s="322" t="e">
        <f t="shared" si="28"/>
        <v>#REF!</v>
      </c>
      <c r="G152" s="591"/>
      <c r="H152" s="322" t="e">
        <f t="shared" si="29"/>
        <v>#REF!</v>
      </c>
      <c r="I152" s="322" t="e">
        <f t="shared" si="29"/>
        <v>#REF!</v>
      </c>
      <c r="J152" s="322" t="e">
        <f t="shared" si="29"/>
        <v>#REF!</v>
      </c>
      <c r="K152" s="322" t="e">
        <f t="shared" si="29"/>
        <v>#REF!</v>
      </c>
      <c r="L152" s="322" t="e">
        <f t="shared" si="29"/>
        <v>#REF!</v>
      </c>
      <c r="M152" s="591"/>
      <c r="N152" s="322" t="e">
        <f t="shared" si="30"/>
        <v>#REF!</v>
      </c>
      <c r="O152" s="322" t="e">
        <f t="shared" si="30"/>
        <v>#REF!</v>
      </c>
      <c r="P152" s="322" t="e">
        <f t="shared" si="30"/>
        <v>#REF!</v>
      </c>
      <c r="Q152" s="322" t="e">
        <f t="shared" si="30"/>
        <v>#REF!</v>
      </c>
      <c r="R152" s="747" t="e">
        <f t="shared" si="31"/>
        <v>#REF!</v>
      </c>
    </row>
    <row r="153" spans="1:18" hidden="1">
      <c r="A153" s="746">
        <f t="shared" si="27"/>
        <v>2011</v>
      </c>
      <c r="B153" s="322" t="e">
        <f t="shared" si="28"/>
        <v>#REF!</v>
      </c>
      <c r="C153" s="322" t="e">
        <f t="shared" si="28"/>
        <v>#REF!</v>
      </c>
      <c r="D153" s="322" t="e">
        <f t="shared" si="28"/>
        <v>#REF!</v>
      </c>
      <c r="E153" s="322" t="e">
        <f t="shared" si="28"/>
        <v>#REF!</v>
      </c>
      <c r="F153" s="322" t="e">
        <f t="shared" si="28"/>
        <v>#REF!</v>
      </c>
      <c r="G153" s="591"/>
      <c r="H153" s="322" t="e">
        <f t="shared" si="29"/>
        <v>#REF!</v>
      </c>
      <c r="I153" s="322" t="e">
        <f t="shared" si="29"/>
        <v>#REF!</v>
      </c>
      <c r="J153" s="322" t="e">
        <f t="shared" si="29"/>
        <v>#REF!</v>
      </c>
      <c r="K153" s="322" t="e">
        <f t="shared" si="29"/>
        <v>#REF!</v>
      </c>
      <c r="L153" s="322" t="e">
        <f t="shared" si="29"/>
        <v>#REF!</v>
      </c>
      <c r="M153" s="591"/>
      <c r="N153" s="322" t="e">
        <f t="shared" si="30"/>
        <v>#REF!</v>
      </c>
      <c r="O153" s="322" t="e">
        <f t="shared" si="30"/>
        <v>#REF!</v>
      </c>
      <c r="P153" s="322" t="e">
        <f t="shared" si="30"/>
        <v>#REF!</v>
      </c>
      <c r="Q153" s="322" t="e">
        <f t="shared" si="30"/>
        <v>#REF!</v>
      </c>
      <c r="R153" s="747" t="e">
        <f t="shared" si="31"/>
        <v>#REF!</v>
      </c>
    </row>
    <row r="154" spans="1:18">
      <c r="A154" s="746">
        <f t="shared" si="27"/>
        <v>2012</v>
      </c>
      <c r="B154" s="322" t="e">
        <f t="shared" si="28"/>
        <v>#REF!</v>
      </c>
      <c r="C154" s="322" t="e">
        <f t="shared" si="28"/>
        <v>#REF!</v>
      </c>
      <c r="D154" s="322" t="e">
        <f t="shared" si="28"/>
        <v>#REF!</v>
      </c>
      <c r="E154" s="322" t="e">
        <f t="shared" si="28"/>
        <v>#REF!</v>
      </c>
      <c r="F154" s="322" t="e">
        <f t="shared" si="28"/>
        <v>#REF!</v>
      </c>
      <c r="G154" s="591"/>
      <c r="H154" s="322" t="e">
        <f t="shared" si="29"/>
        <v>#REF!</v>
      </c>
      <c r="I154" s="322" t="e">
        <f t="shared" si="29"/>
        <v>#REF!</v>
      </c>
      <c r="J154" s="322" t="e">
        <f t="shared" si="29"/>
        <v>#REF!</v>
      </c>
      <c r="K154" s="322" t="e">
        <f t="shared" si="29"/>
        <v>#REF!</v>
      </c>
      <c r="L154" s="322" t="e">
        <f t="shared" si="29"/>
        <v>#REF!</v>
      </c>
      <c r="M154" s="591"/>
      <c r="N154" s="322" t="e">
        <f t="shared" si="30"/>
        <v>#REF!</v>
      </c>
      <c r="O154" s="322" t="e">
        <f t="shared" si="30"/>
        <v>#REF!</v>
      </c>
      <c r="P154" s="322" t="e">
        <f t="shared" si="30"/>
        <v>#REF!</v>
      </c>
      <c r="Q154" s="322" t="e">
        <f t="shared" si="30"/>
        <v>#REF!</v>
      </c>
      <c r="R154" s="747" t="e">
        <f t="shared" si="31"/>
        <v>#REF!</v>
      </c>
    </row>
    <row r="155" spans="1:18">
      <c r="A155" s="746">
        <f t="shared" si="27"/>
        <v>2013</v>
      </c>
      <c r="B155" s="322">
        <f t="shared" si="28"/>
        <v>-808</v>
      </c>
      <c r="C155" s="322">
        <f t="shared" si="28"/>
        <v>-3</v>
      </c>
      <c r="D155" s="322">
        <f t="shared" si="28"/>
        <v>-811</v>
      </c>
      <c r="E155" s="322">
        <f t="shared" si="28"/>
        <v>670</v>
      </c>
      <c r="F155" s="322">
        <f t="shared" si="28"/>
        <v>-141</v>
      </c>
      <c r="G155" s="591"/>
      <c r="H155" s="322">
        <f t="shared" si="29"/>
        <v>0</v>
      </c>
      <c r="I155" s="322">
        <f t="shared" si="29"/>
        <v>20.75</v>
      </c>
      <c r="J155" s="322">
        <f t="shared" si="29"/>
        <v>120.47802018554387</v>
      </c>
      <c r="K155" s="322">
        <f t="shared" si="29"/>
        <v>9.9999999999997868E-3</v>
      </c>
      <c r="L155" s="322">
        <f t="shared" si="29"/>
        <v>141.23802018554375</v>
      </c>
      <c r="M155" s="591"/>
      <c r="N155" s="322">
        <f t="shared" si="30"/>
        <v>0</v>
      </c>
      <c r="O155" s="322">
        <f t="shared" si="30"/>
        <v>0.23802018554488313</v>
      </c>
      <c r="P155" s="322">
        <f t="shared" si="30"/>
        <v>2.9900000000000091</v>
      </c>
      <c r="Q155" s="322">
        <f t="shared" si="30"/>
        <v>8</v>
      </c>
      <c r="R155" s="747">
        <f t="shared" si="31"/>
        <v>11.228020185544892</v>
      </c>
    </row>
    <row r="156" spans="1:18">
      <c r="A156" s="746">
        <f t="shared" si="27"/>
        <v>2014</v>
      </c>
      <c r="B156" s="322">
        <f t="shared" si="28"/>
        <v>-745</v>
      </c>
      <c r="C156" s="322">
        <f t="shared" si="28"/>
        <v>28</v>
      </c>
      <c r="D156" s="322">
        <f t="shared" si="28"/>
        <v>-717</v>
      </c>
      <c r="E156" s="322">
        <f t="shared" si="28"/>
        <v>662.91074695570444</v>
      </c>
      <c r="F156" s="322">
        <f t="shared" si="28"/>
        <v>-54.089253044296129</v>
      </c>
      <c r="G156" s="591"/>
      <c r="H156" s="322">
        <f t="shared" si="29"/>
        <v>0</v>
      </c>
      <c r="I156" s="322">
        <f t="shared" si="29"/>
        <v>19.93</v>
      </c>
      <c r="J156" s="322">
        <f t="shared" si="29"/>
        <v>94.428020185543872</v>
      </c>
      <c r="K156" s="322">
        <f t="shared" si="29"/>
        <v>-15</v>
      </c>
      <c r="L156" s="322">
        <f t="shared" si="29"/>
        <v>99.358020185543751</v>
      </c>
      <c r="M156" s="591"/>
      <c r="N156" s="322">
        <f t="shared" si="30"/>
        <v>0</v>
      </c>
      <c r="O156" s="322">
        <f t="shared" si="30"/>
        <v>45.268767141247736</v>
      </c>
      <c r="P156" s="322">
        <f t="shared" si="30"/>
        <v>-13</v>
      </c>
      <c r="Q156" s="322">
        <f t="shared" si="30"/>
        <v>7</v>
      </c>
      <c r="R156" s="747">
        <f t="shared" si="31"/>
        <v>39.268767141247736</v>
      </c>
    </row>
    <row r="157" spans="1:18">
      <c r="A157" s="746">
        <f t="shared" si="27"/>
        <v>2015</v>
      </c>
      <c r="B157" s="322">
        <f t="shared" si="28"/>
        <v>-709</v>
      </c>
      <c r="C157" s="322">
        <f t="shared" si="28"/>
        <v>18</v>
      </c>
      <c r="D157" s="322">
        <f t="shared" si="28"/>
        <v>-691</v>
      </c>
      <c r="E157" s="322">
        <f t="shared" si="28"/>
        <v>662.74198861427374</v>
      </c>
      <c r="F157" s="322">
        <f t="shared" si="28"/>
        <v>-28.258011385725695</v>
      </c>
      <c r="G157" s="591"/>
      <c r="H157" s="322">
        <f t="shared" si="29"/>
        <v>0</v>
      </c>
      <c r="I157" s="322">
        <f t="shared" si="29"/>
        <v>20.010000000000005</v>
      </c>
      <c r="J157" s="322">
        <f t="shared" si="29"/>
        <v>96.428020185543872</v>
      </c>
      <c r="K157" s="322">
        <f t="shared" si="29"/>
        <v>-15</v>
      </c>
      <c r="L157" s="322">
        <f t="shared" si="29"/>
        <v>101.43802018554379</v>
      </c>
      <c r="M157" s="591"/>
      <c r="N157" s="322">
        <f t="shared" si="30"/>
        <v>0</v>
      </c>
      <c r="O157" s="322">
        <f t="shared" si="30"/>
        <v>73.180008799818097</v>
      </c>
      <c r="P157" s="322">
        <f t="shared" si="30"/>
        <v>-3</v>
      </c>
      <c r="Q157" s="322">
        <f t="shared" si="30"/>
        <v>8</v>
      </c>
      <c r="R157" s="747">
        <f t="shared" si="31"/>
        <v>78.180008799818097</v>
      </c>
    </row>
    <row r="158" spans="1:18">
      <c r="A158" s="746">
        <f t="shared" si="27"/>
        <v>2016</v>
      </c>
      <c r="B158" s="322">
        <f t="shared" si="28"/>
        <v>-618</v>
      </c>
      <c r="C158" s="322">
        <f t="shared" si="28"/>
        <v>16</v>
      </c>
      <c r="D158" s="322">
        <f t="shared" si="28"/>
        <v>-602</v>
      </c>
      <c r="E158" s="322">
        <f t="shared" si="28"/>
        <v>662.53565152324779</v>
      </c>
      <c r="F158" s="322">
        <f t="shared" si="28"/>
        <v>60.535651523246997</v>
      </c>
      <c r="G158" s="591"/>
      <c r="H158" s="322">
        <f t="shared" si="29"/>
        <v>0</v>
      </c>
      <c r="I158" s="322">
        <f t="shared" si="29"/>
        <v>20.180000000000007</v>
      </c>
      <c r="J158" s="322">
        <f t="shared" si="29"/>
        <v>98.428020185543872</v>
      </c>
      <c r="K158" s="322">
        <f t="shared" si="29"/>
        <v>-15</v>
      </c>
      <c r="L158" s="322">
        <f t="shared" si="29"/>
        <v>103.60802018554386</v>
      </c>
      <c r="M158" s="591"/>
      <c r="N158" s="322">
        <f t="shared" si="30"/>
        <v>0</v>
      </c>
      <c r="O158" s="322">
        <f t="shared" si="30"/>
        <v>164.14367170879086</v>
      </c>
      <c r="P158" s="322">
        <f t="shared" si="30"/>
        <v>-1</v>
      </c>
      <c r="Q158" s="322">
        <f t="shared" si="30"/>
        <v>8</v>
      </c>
      <c r="R158" s="747">
        <f t="shared" si="31"/>
        <v>171.14367170879086</v>
      </c>
    </row>
    <row r="159" spans="1:18">
      <c r="A159" s="746">
        <f t="shared" si="27"/>
        <v>2017</v>
      </c>
      <c r="B159" s="322">
        <f t="shared" si="28"/>
        <v>-524</v>
      </c>
      <c r="C159" s="322">
        <f t="shared" si="28"/>
        <v>8</v>
      </c>
      <c r="D159" s="322">
        <f t="shared" si="28"/>
        <v>-516</v>
      </c>
      <c r="E159" s="322">
        <f t="shared" si="28"/>
        <v>662.81938709893132</v>
      </c>
      <c r="F159" s="322">
        <f t="shared" si="28"/>
        <v>146.81938709893075</v>
      </c>
      <c r="G159" s="591"/>
      <c r="H159" s="322">
        <f t="shared" si="29"/>
        <v>0</v>
      </c>
      <c r="I159" s="322">
        <f t="shared" si="29"/>
        <v>-0.87000000000000099</v>
      </c>
      <c r="J159" s="322">
        <f t="shared" si="29"/>
        <v>-52.571979814456114</v>
      </c>
      <c r="K159" s="322">
        <f t="shared" si="29"/>
        <v>-15</v>
      </c>
      <c r="L159" s="322">
        <f t="shared" si="29"/>
        <v>-68.441979814456204</v>
      </c>
      <c r="M159" s="591"/>
      <c r="N159" s="322">
        <f t="shared" si="30"/>
        <v>0</v>
      </c>
      <c r="O159" s="322">
        <f t="shared" si="30"/>
        <v>78.377407284475339</v>
      </c>
      <c r="P159" s="322">
        <f t="shared" si="30"/>
        <v>7</v>
      </c>
      <c r="Q159" s="322">
        <f t="shared" si="30"/>
        <v>12</v>
      </c>
      <c r="R159" s="747">
        <f t="shared" si="31"/>
        <v>97.377407284475339</v>
      </c>
    </row>
    <row r="160" spans="1:18">
      <c r="A160" s="746">
        <f t="shared" si="27"/>
        <v>2018</v>
      </c>
      <c r="B160" s="322">
        <f t="shared" si="28"/>
        <v>-551</v>
      </c>
      <c r="C160" s="322">
        <f t="shared" si="28"/>
        <v>11</v>
      </c>
      <c r="D160" s="322">
        <f t="shared" si="28"/>
        <v>-540</v>
      </c>
      <c r="E160" s="322">
        <f t="shared" si="28"/>
        <v>662.89441266641973</v>
      </c>
      <c r="F160" s="322">
        <f t="shared" si="28"/>
        <v>122.89441266641916</v>
      </c>
      <c r="G160" s="591"/>
      <c r="H160" s="322">
        <f t="shared" si="29"/>
        <v>0</v>
      </c>
      <c r="I160" s="322">
        <f t="shared" si="29"/>
        <v>-0.82999999999999829</v>
      </c>
      <c r="J160" s="322">
        <f t="shared" si="29"/>
        <v>-52.571979814456114</v>
      </c>
      <c r="K160" s="322">
        <f t="shared" si="29"/>
        <v>-15</v>
      </c>
      <c r="L160" s="322">
        <f t="shared" si="29"/>
        <v>-68.40197981445624</v>
      </c>
      <c r="M160" s="591"/>
      <c r="N160" s="322">
        <f t="shared" si="30"/>
        <v>0</v>
      </c>
      <c r="O160" s="322">
        <f t="shared" si="30"/>
        <v>54.492432851962803</v>
      </c>
      <c r="P160" s="322">
        <f t="shared" si="30"/>
        <v>4</v>
      </c>
      <c r="Q160" s="322">
        <f t="shared" si="30"/>
        <v>11</v>
      </c>
      <c r="R160" s="747">
        <f t="shared" si="31"/>
        <v>69.492432851962803</v>
      </c>
    </row>
    <row r="161" spans="1:18">
      <c r="A161" s="746">
        <f t="shared" si="27"/>
        <v>2019</v>
      </c>
      <c r="B161" s="322">
        <f t="shared" si="28"/>
        <v>-587</v>
      </c>
      <c r="C161" s="322">
        <f t="shared" si="28"/>
        <v>42</v>
      </c>
      <c r="D161" s="322">
        <f t="shared" si="28"/>
        <v>-545</v>
      </c>
      <c r="E161" s="322">
        <f t="shared" si="28"/>
        <v>662.06352028886693</v>
      </c>
      <c r="F161" s="322">
        <f t="shared" si="28"/>
        <v>117.06352028886613</v>
      </c>
      <c r="G161" s="591"/>
      <c r="H161" s="322">
        <f t="shared" si="29"/>
        <v>0</v>
      </c>
      <c r="I161" s="322">
        <f t="shared" si="29"/>
        <v>-0.77999999999999758</v>
      </c>
      <c r="J161" s="322">
        <f t="shared" si="29"/>
        <v>-52.571979814456114</v>
      </c>
      <c r="K161" s="322">
        <f t="shared" si="29"/>
        <v>-15</v>
      </c>
      <c r="L161" s="322">
        <f t="shared" si="29"/>
        <v>-68.351979814456172</v>
      </c>
      <c r="M161" s="591"/>
      <c r="N161" s="322">
        <f t="shared" si="30"/>
        <v>0</v>
      </c>
      <c r="O161" s="322">
        <f t="shared" si="30"/>
        <v>48.711540474410867</v>
      </c>
      <c r="P161" s="322">
        <f t="shared" si="30"/>
        <v>-27</v>
      </c>
      <c r="Q161" s="322">
        <f t="shared" si="30"/>
        <v>11</v>
      </c>
      <c r="R161" s="747">
        <f t="shared" si="31"/>
        <v>32.711540474410867</v>
      </c>
    </row>
    <row r="162" spans="1:18">
      <c r="A162" s="746">
        <f t="shared" si="27"/>
        <v>2020</v>
      </c>
      <c r="B162" s="322">
        <f t="shared" si="28"/>
        <v>-625</v>
      </c>
      <c r="C162" s="322">
        <f t="shared" si="28"/>
        <v>49</v>
      </c>
      <c r="D162" s="322">
        <f t="shared" si="28"/>
        <v>-576</v>
      </c>
      <c r="E162" s="322">
        <f t="shared" si="28"/>
        <v>662.52052346775497</v>
      </c>
      <c r="F162" s="322">
        <f t="shared" si="28"/>
        <v>86.520523467754174</v>
      </c>
      <c r="G162" s="591"/>
      <c r="H162" s="322">
        <f t="shared" si="29"/>
        <v>0</v>
      </c>
      <c r="I162" s="322">
        <f t="shared" si="29"/>
        <v>-0.64000000000000057</v>
      </c>
      <c r="J162" s="322">
        <f t="shared" si="29"/>
        <v>-52.571979814456114</v>
      </c>
      <c r="K162" s="322">
        <f t="shared" si="29"/>
        <v>-15</v>
      </c>
      <c r="L162" s="322">
        <f t="shared" si="29"/>
        <v>-68.211979814456186</v>
      </c>
      <c r="M162" s="591"/>
      <c r="N162" s="322">
        <f t="shared" si="30"/>
        <v>0</v>
      </c>
      <c r="O162" s="322">
        <f t="shared" si="30"/>
        <v>18.308543653298329</v>
      </c>
      <c r="P162" s="322">
        <f t="shared" si="30"/>
        <v>-34</v>
      </c>
      <c r="Q162" s="322">
        <f t="shared" si="30"/>
        <v>12</v>
      </c>
      <c r="R162" s="747">
        <f t="shared" si="31"/>
        <v>-3.6914563467016706</v>
      </c>
    </row>
    <row r="163" spans="1:18">
      <c r="A163" s="746">
        <f t="shared" si="27"/>
        <v>2021</v>
      </c>
      <c r="B163" s="322">
        <f t="shared" si="28"/>
        <v>-669</v>
      </c>
      <c r="C163" s="322">
        <f t="shared" si="28"/>
        <v>42</v>
      </c>
      <c r="D163" s="322">
        <f t="shared" si="28"/>
        <v>-627</v>
      </c>
      <c r="E163" s="322">
        <f t="shared" si="28"/>
        <v>662.75273661499239</v>
      </c>
      <c r="F163" s="322">
        <f t="shared" si="28"/>
        <v>35.752736614991591</v>
      </c>
      <c r="G163" s="591"/>
      <c r="H163" s="322">
        <f t="shared" si="29"/>
        <v>150</v>
      </c>
      <c r="I163" s="322">
        <f t="shared" si="29"/>
        <v>-0.60000000000000142</v>
      </c>
      <c r="J163" s="322">
        <f t="shared" si="29"/>
        <v>-52.571979814456114</v>
      </c>
      <c r="K163" s="322">
        <f t="shared" si="29"/>
        <v>-15</v>
      </c>
      <c r="L163" s="322">
        <f t="shared" si="29"/>
        <v>81.828020185543778</v>
      </c>
      <c r="M163" s="591"/>
      <c r="N163" s="322">
        <f t="shared" si="30"/>
        <v>0</v>
      </c>
      <c r="O163" s="322">
        <f t="shared" si="30"/>
        <v>117.58075680053662</v>
      </c>
      <c r="P163" s="322">
        <f t="shared" si="30"/>
        <v>-27</v>
      </c>
      <c r="Q163" s="322">
        <f t="shared" si="30"/>
        <v>12</v>
      </c>
      <c r="R163" s="747">
        <f t="shared" si="31"/>
        <v>102.58075680053662</v>
      </c>
    </row>
    <row r="164" spans="1:18">
      <c r="A164" s="746">
        <f t="shared" si="27"/>
        <v>2022</v>
      </c>
      <c r="B164" s="322">
        <f t="shared" si="28"/>
        <v>-716</v>
      </c>
      <c r="C164" s="322">
        <f t="shared" si="28"/>
        <v>42</v>
      </c>
      <c r="D164" s="322">
        <f t="shared" si="28"/>
        <v>-674</v>
      </c>
      <c r="E164" s="322">
        <f t="shared" si="28"/>
        <v>662.92461733659025</v>
      </c>
      <c r="F164" s="322">
        <f t="shared" si="28"/>
        <v>-11.075382663409982</v>
      </c>
      <c r="G164" s="591"/>
      <c r="H164" s="322">
        <f t="shared" si="29"/>
        <v>300</v>
      </c>
      <c r="I164" s="322">
        <f t="shared" si="29"/>
        <v>-0.46000000000000085</v>
      </c>
      <c r="J164" s="322">
        <f t="shared" si="29"/>
        <v>-52.571979814456114</v>
      </c>
      <c r="K164" s="322">
        <f t="shared" si="29"/>
        <v>-15</v>
      </c>
      <c r="L164" s="322">
        <f t="shared" si="29"/>
        <v>231.96802018554382</v>
      </c>
      <c r="M164" s="591"/>
      <c r="N164" s="322">
        <f t="shared" si="30"/>
        <v>0</v>
      </c>
      <c r="O164" s="322">
        <f t="shared" si="30"/>
        <v>220.89263752213446</v>
      </c>
      <c r="P164" s="322">
        <f t="shared" si="30"/>
        <v>-27</v>
      </c>
      <c r="Q164" s="322">
        <f t="shared" si="30"/>
        <v>11</v>
      </c>
      <c r="R164" s="747">
        <f t="shared" si="31"/>
        <v>204.89263752213446</v>
      </c>
    </row>
    <row r="165" spans="1:18">
      <c r="A165" s="746">
        <f t="shared" si="27"/>
        <v>2023</v>
      </c>
      <c r="B165" s="322">
        <f t="shared" si="28"/>
        <v>-774</v>
      </c>
      <c r="C165" s="322">
        <f t="shared" si="28"/>
        <v>47</v>
      </c>
      <c r="D165" s="322">
        <f t="shared" si="28"/>
        <v>-727</v>
      </c>
      <c r="E165" s="322">
        <f t="shared" si="28"/>
        <v>662.71064626563555</v>
      </c>
      <c r="F165" s="322">
        <f t="shared" si="28"/>
        <v>-64.28935373436434</v>
      </c>
      <c r="G165" s="591"/>
      <c r="H165" s="322">
        <f t="shared" si="29"/>
        <v>300</v>
      </c>
      <c r="I165" s="322">
        <f t="shared" si="29"/>
        <v>-0.32000000000000028</v>
      </c>
      <c r="J165" s="322">
        <f t="shared" si="29"/>
        <v>-52.571979814456114</v>
      </c>
      <c r="K165" s="322">
        <f t="shared" si="29"/>
        <v>-15</v>
      </c>
      <c r="L165" s="322">
        <f t="shared" si="29"/>
        <v>232.10802018554381</v>
      </c>
      <c r="M165" s="591"/>
      <c r="N165" s="322">
        <f t="shared" si="30"/>
        <v>0</v>
      </c>
      <c r="O165" s="322">
        <f t="shared" si="30"/>
        <v>167.81866645117952</v>
      </c>
      <c r="P165" s="322">
        <f t="shared" si="30"/>
        <v>-32</v>
      </c>
      <c r="Q165" s="322">
        <f t="shared" si="30"/>
        <v>11</v>
      </c>
      <c r="R165" s="747">
        <f t="shared" si="31"/>
        <v>146.81866645117952</v>
      </c>
    </row>
    <row r="166" spans="1:18">
      <c r="A166" s="746">
        <f t="shared" si="27"/>
        <v>2024</v>
      </c>
      <c r="B166" s="322">
        <f t="shared" si="28"/>
        <v>-832</v>
      </c>
      <c r="C166" s="322">
        <f t="shared" si="28"/>
        <v>46</v>
      </c>
      <c r="D166" s="322">
        <f t="shared" si="28"/>
        <v>-786</v>
      </c>
      <c r="E166" s="322">
        <f t="shared" si="28"/>
        <v>662.82679045708733</v>
      </c>
      <c r="F166" s="322">
        <f t="shared" si="28"/>
        <v>-123.17320954291245</v>
      </c>
      <c r="G166" s="591"/>
      <c r="H166" s="322">
        <f t="shared" si="29"/>
        <v>300</v>
      </c>
      <c r="I166" s="322">
        <f t="shared" si="29"/>
        <v>-0.19000000000000128</v>
      </c>
      <c r="J166" s="322">
        <f t="shared" si="29"/>
        <v>-52.571979814456114</v>
      </c>
      <c r="K166" s="322">
        <f t="shared" si="29"/>
        <v>-15</v>
      </c>
      <c r="L166" s="322">
        <f t="shared" si="29"/>
        <v>232.2380201855438</v>
      </c>
      <c r="M166" s="591"/>
      <c r="N166" s="322">
        <f t="shared" si="30"/>
        <v>0</v>
      </c>
      <c r="O166" s="322">
        <f t="shared" si="30"/>
        <v>109.06481064263244</v>
      </c>
      <c r="P166" s="322">
        <f t="shared" si="30"/>
        <v>-31</v>
      </c>
      <c r="Q166" s="322">
        <f t="shared" si="30"/>
        <v>11</v>
      </c>
      <c r="R166" s="747">
        <f t="shared" si="31"/>
        <v>89.064810642632438</v>
      </c>
    </row>
    <row r="167" spans="1:18">
      <c r="A167" s="746">
        <f t="shared" si="27"/>
        <v>2025</v>
      </c>
      <c r="B167" s="322">
        <f t="shared" ref="B167:F172" si="32">B111-B139</f>
        <v>-895</v>
      </c>
      <c r="C167" s="322">
        <f t="shared" si="32"/>
        <v>62</v>
      </c>
      <c r="D167" s="322">
        <f t="shared" si="32"/>
        <v>-833</v>
      </c>
      <c r="E167" s="322">
        <f t="shared" si="32"/>
        <v>662.19043759541989</v>
      </c>
      <c r="F167" s="322">
        <f t="shared" si="32"/>
        <v>-170.80956240457999</v>
      </c>
      <c r="G167" s="591"/>
      <c r="H167" s="322">
        <f t="shared" ref="H167:L172" si="33">H111-H139</f>
        <v>500</v>
      </c>
      <c r="I167" s="322">
        <f t="shared" si="33"/>
        <v>-5.0000000000000711E-2</v>
      </c>
      <c r="J167" s="322">
        <f t="shared" si="33"/>
        <v>-52.571979814456114</v>
      </c>
      <c r="K167" s="322">
        <f t="shared" si="33"/>
        <v>-15</v>
      </c>
      <c r="L167" s="322">
        <f t="shared" si="33"/>
        <v>432.3780201855439</v>
      </c>
      <c r="M167" s="591"/>
      <c r="N167" s="322">
        <f t="shared" ref="N167:Q172" si="34">N111-N139</f>
        <v>0</v>
      </c>
      <c r="O167" s="322">
        <f t="shared" si="34"/>
        <v>261.56845778096431</v>
      </c>
      <c r="P167" s="322">
        <f t="shared" si="34"/>
        <v>-47</v>
      </c>
      <c r="Q167" s="322">
        <f t="shared" si="34"/>
        <v>12</v>
      </c>
      <c r="R167" s="747">
        <f t="shared" si="31"/>
        <v>226.56845778096431</v>
      </c>
    </row>
    <row r="168" spans="1:18">
      <c r="A168" s="746">
        <f t="shared" si="27"/>
        <v>2026</v>
      </c>
      <c r="B168" s="322">
        <f t="shared" si="32"/>
        <v>-964</v>
      </c>
      <c r="C168" s="322">
        <f t="shared" si="32"/>
        <v>78</v>
      </c>
      <c r="D168" s="322">
        <f t="shared" si="32"/>
        <v>-886</v>
      </c>
      <c r="E168" s="322">
        <f t="shared" si="32"/>
        <v>662.14870613839946</v>
      </c>
      <c r="F168" s="322">
        <f t="shared" si="32"/>
        <v>-223.85129386160042</v>
      </c>
      <c r="G168" s="591"/>
      <c r="H168" s="322">
        <f t="shared" si="33"/>
        <v>500</v>
      </c>
      <c r="I168" s="322">
        <f t="shared" si="33"/>
        <v>0.10000000000000142</v>
      </c>
      <c r="J168" s="322">
        <f t="shared" si="33"/>
        <v>-52.571979814456114</v>
      </c>
      <c r="K168" s="322">
        <f t="shared" si="33"/>
        <v>-15</v>
      </c>
      <c r="L168" s="322">
        <f t="shared" si="33"/>
        <v>432.52802018554388</v>
      </c>
      <c r="M168" s="591"/>
      <c r="N168" s="322">
        <f t="shared" si="34"/>
        <v>0</v>
      </c>
      <c r="O168" s="322">
        <f t="shared" si="34"/>
        <v>208.67672632394351</v>
      </c>
      <c r="P168" s="322">
        <f t="shared" si="34"/>
        <v>-63</v>
      </c>
      <c r="Q168" s="322">
        <f t="shared" si="34"/>
        <v>11</v>
      </c>
      <c r="R168" s="747">
        <f t="shared" si="31"/>
        <v>156.67672632394351</v>
      </c>
    </row>
    <row r="169" spans="1:18">
      <c r="A169" s="746">
        <f t="shared" si="27"/>
        <v>2027</v>
      </c>
      <c r="B169" s="322">
        <f t="shared" si="32"/>
        <v>-1031</v>
      </c>
      <c r="C169" s="322">
        <f t="shared" si="32"/>
        <v>82</v>
      </c>
      <c r="D169" s="322">
        <f t="shared" si="32"/>
        <v>-949</v>
      </c>
      <c r="E169" s="322">
        <f t="shared" si="32"/>
        <v>662.59766465261271</v>
      </c>
      <c r="F169" s="322">
        <f t="shared" si="32"/>
        <v>-286.40233534738763</v>
      </c>
      <c r="G169" s="591"/>
      <c r="H169" s="322">
        <f t="shared" si="33"/>
        <v>500</v>
      </c>
      <c r="I169" s="322">
        <f t="shared" si="33"/>
        <v>0.23000000000000043</v>
      </c>
      <c r="J169" s="322">
        <f t="shared" si="33"/>
        <v>-52.571979814456114</v>
      </c>
      <c r="K169" s="322">
        <f t="shared" si="33"/>
        <v>-15</v>
      </c>
      <c r="L169" s="322">
        <f t="shared" si="33"/>
        <v>432.65802018554388</v>
      </c>
      <c r="M169" s="591"/>
      <c r="N169" s="322">
        <f t="shared" si="34"/>
        <v>0</v>
      </c>
      <c r="O169" s="322">
        <f t="shared" si="34"/>
        <v>146.25568483815732</v>
      </c>
      <c r="P169" s="322">
        <f t="shared" si="34"/>
        <v>-67</v>
      </c>
      <c r="Q169" s="322">
        <f t="shared" si="34"/>
        <v>11</v>
      </c>
      <c r="R169" s="747">
        <f t="shared" si="31"/>
        <v>90.255684838157322</v>
      </c>
    </row>
    <row r="170" spans="1:18">
      <c r="A170" s="746">
        <f t="shared" si="27"/>
        <v>2028</v>
      </c>
      <c r="B170" s="322">
        <f t="shared" si="32"/>
        <v>-1099</v>
      </c>
      <c r="C170" s="322">
        <f t="shared" si="32"/>
        <v>85</v>
      </c>
      <c r="D170" s="322">
        <f t="shared" si="32"/>
        <v>-1014</v>
      </c>
      <c r="E170" s="322">
        <f t="shared" si="32"/>
        <v>662.45649716949686</v>
      </c>
      <c r="F170" s="322">
        <f t="shared" si="32"/>
        <v>-351.54350283050371</v>
      </c>
      <c r="G170" s="591"/>
      <c r="H170" s="322">
        <f t="shared" si="33"/>
        <v>500</v>
      </c>
      <c r="I170" s="322">
        <f t="shared" si="33"/>
        <v>0.28000000000000114</v>
      </c>
      <c r="J170" s="322">
        <f t="shared" si="33"/>
        <v>-52.571979814456114</v>
      </c>
      <c r="K170" s="322">
        <f t="shared" si="33"/>
        <v>-15</v>
      </c>
      <c r="L170" s="322">
        <f t="shared" si="33"/>
        <v>432.70802018554383</v>
      </c>
      <c r="M170" s="591"/>
      <c r="N170" s="322">
        <f t="shared" si="34"/>
        <v>0</v>
      </c>
      <c r="O170" s="322">
        <f t="shared" si="34"/>
        <v>81.164517355040516</v>
      </c>
      <c r="P170" s="322">
        <f t="shared" si="34"/>
        <v>-70</v>
      </c>
      <c r="Q170" s="322">
        <f t="shared" si="34"/>
        <v>11</v>
      </c>
      <c r="R170" s="747">
        <f>O170+P170+Q170</f>
        <v>22.164517355040516</v>
      </c>
    </row>
    <row r="171" spans="1:18">
      <c r="A171" s="746">
        <f t="shared" si="27"/>
        <v>2029</v>
      </c>
      <c r="B171" s="322">
        <f t="shared" si="32"/>
        <v>-1168</v>
      </c>
      <c r="C171" s="322">
        <f t="shared" si="32"/>
        <v>86</v>
      </c>
      <c r="D171" s="322">
        <f t="shared" si="32"/>
        <v>-1082</v>
      </c>
      <c r="E171" s="322">
        <f t="shared" si="32"/>
        <v>662.68843433219183</v>
      </c>
      <c r="F171" s="322">
        <f t="shared" si="32"/>
        <v>-419.31156566780737</v>
      </c>
      <c r="G171" s="591"/>
      <c r="H171" s="322">
        <f t="shared" si="33"/>
        <v>500</v>
      </c>
      <c r="I171" s="322">
        <f t="shared" si="33"/>
        <v>0.42000000000000171</v>
      </c>
      <c r="J171" s="322">
        <f t="shared" si="33"/>
        <v>-52.571979814456114</v>
      </c>
      <c r="K171" s="322">
        <f t="shared" si="33"/>
        <v>-15</v>
      </c>
      <c r="L171" s="322">
        <f t="shared" si="33"/>
        <v>432.84802018554382</v>
      </c>
      <c r="M171" s="591"/>
      <c r="N171" s="322">
        <f t="shared" si="34"/>
        <v>0</v>
      </c>
      <c r="O171" s="322">
        <f t="shared" si="34"/>
        <v>13.536454517736274</v>
      </c>
      <c r="P171" s="322">
        <f t="shared" si="34"/>
        <v>-71</v>
      </c>
      <c r="Q171" s="322">
        <f t="shared" si="34"/>
        <v>11</v>
      </c>
      <c r="R171" s="747">
        <f>O171+P171+Q171</f>
        <v>-46.463545482263726</v>
      </c>
    </row>
    <row r="172" spans="1:18">
      <c r="A172" s="743">
        <f t="shared" si="27"/>
        <v>2030</v>
      </c>
      <c r="B172" s="597">
        <f t="shared" si="32"/>
        <v>-1240</v>
      </c>
      <c r="C172" s="597">
        <f t="shared" si="32"/>
        <v>86</v>
      </c>
      <c r="D172" s="597">
        <f t="shared" si="32"/>
        <v>-1154</v>
      </c>
      <c r="E172" s="597">
        <f t="shared" si="32"/>
        <v>662.30121422971058</v>
      </c>
      <c r="F172" s="597">
        <f t="shared" si="32"/>
        <v>-491.69878577028976</v>
      </c>
      <c r="G172" s="731"/>
      <c r="H172" s="597">
        <f t="shared" si="33"/>
        <v>500</v>
      </c>
      <c r="I172" s="597">
        <f t="shared" si="33"/>
        <v>0.55000000000000071</v>
      </c>
      <c r="J172" s="597">
        <f t="shared" si="33"/>
        <v>-52.571979814456114</v>
      </c>
      <c r="K172" s="597">
        <f t="shared" si="33"/>
        <v>-15</v>
      </c>
      <c r="L172" s="597">
        <f t="shared" si="33"/>
        <v>432.97802018554381</v>
      </c>
      <c r="M172" s="731"/>
      <c r="N172" s="597">
        <f t="shared" si="34"/>
        <v>0</v>
      </c>
      <c r="O172" s="597">
        <f t="shared" si="34"/>
        <v>-58.720765584745095</v>
      </c>
      <c r="P172" s="597">
        <f t="shared" si="34"/>
        <v>-71</v>
      </c>
      <c r="Q172" s="597">
        <f t="shared" si="34"/>
        <v>12</v>
      </c>
      <c r="R172" s="748">
        <f>O172+P172+Q172</f>
        <v>-117.7207655847451</v>
      </c>
    </row>
    <row r="174" spans="1:18">
      <c r="B174" s="320"/>
    </row>
    <row r="175" spans="1:18">
      <c r="B175" s="320"/>
    </row>
    <row r="176" spans="1:18">
      <c r="B176" s="320"/>
    </row>
    <row r="177" spans="2:2">
      <c r="B177" s="320"/>
    </row>
    <row r="178" spans="2:2">
      <c r="B178" s="320"/>
    </row>
  </sheetData>
  <mergeCells count="16">
    <mergeCell ref="A118:R118"/>
    <mergeCell ref="H120:L120"/>
    <mergeCell ref="A146:R146"/>
    <mergeCell ref="H148:L148"/>
    <mergeCell ref="H33:L33"/>
    <mergeCell ref="A59:R59"/>
    <mergeCell ref="H61:L61"/>
    <mergeCell ref="A88:R88"/>
    <mergeCell ref="A90:R90"/>
    <mergeCell ref="H92:L92"/>
    <mergeCell ref="T32:X32"/>
    <mergeCell ref="A1:R1"/>
    <mergeCell ref="A3:R3"/>
    <mergeCell ref="T4:X4"/>
    <mergeCell ref="H5:L5"/>
    <mergeCell ref="A31:R31"/>
  </mergeCells>
  <printOptions horizontalCentered="1" verticalCentered="1"/>
  <pageMargins left="0" right="0" top="0.74" bottom="0.5" header="0.25" footer="0.25"/>
  <pageSetup scale="65" fitToHeight="2" orientation="portrait" verticalDpi="300" r:id="rId1"/>
  <headerFooter alignWithMargins="0">
    <oddHeader>&amp;C&amp;"MS Sans Serif,Bold"&amp;12P R O G R E S S   E N E R G Y   F L O R I D A   
M A Y  2 0 1 1  F O R E C A S T</oddHeader>
    <oddFooter>&amp;LPEF Finance : &amp;D&amp;RLynch\FOR200810 \Demand\&amp;F : &amp;A</oddFooter>
  </headerFooter>
  <rowBreaks count="1" manualBreakCount="1">
    <brk id="86" max="17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O160"/>
  <sheetViews>
    <sheetView showGridLines="0" tabSelected="1" zoomScale="80" zoomScaleNormal="80" workbookViewId="0">
      <selection activeCell="AR47" sqref="AR47"/>
    </sheetView>
  </sheetViews>
  <sheetFormatPr defaultRowHeight="12.75"/>
  <cols>
    <col min="1" max="1" width="6.28515625" bestFit="1" customWidth="1"/>
    <col min="2" max="2" width="11.140625" bestFit="1" customWidth="1"/>
    <col min="3" max="3" width="6.42578125" bestFit="1" customWidth="1"/>
    <col min="4" max="4" width="9" bestFit="1" customWidth="1"/>
    <col min="5" max="5" width="10.28515625" bestFit="1" customWidth="1"/>
    <col min="6" max="6" width="7.5703125" bestFit="1" customWidth="1"/>
    <col min="7" max="7" width="1.7109375" customWidth="1"/>
    <col min="8" max="8" width="7.140625" bestFit="1" customWidth="1"/>
    <col min="9" max="9" width="7.28515625" customWidth="1"/>
    <col min="10" max="10" width="7.28515625" bestFit="1" customWidth="1"/>
    <col min="11" max="11" width="7.140625" customWidth="1"/>
    <col min="12" max="12" width="7.85546875" customWidth="1"/>
    <col min="13" max="13" width="1.140625" customWidth="1"/>
    <col min="14" max="14" width="6.85546875" style="321" customWidth="1"/>
    <col min="15" max="15" width="7.7109375" bestFit="1" customWidth="1"/>
    <col min="16" max="16" width="7.28515625" bestFit="1" customWidth="1"/>
    <col min="17" max="17" width="7.5703125" bestFit="1" customWidth="1"/>
    <col min="18" max="18" width="8.7109375" bestFit="1" customWidth="1"/>
    <col min="19" max="19" width="7.7109375" customWidth="1"/>
    <col min="20" max="20" width="9.28515625" bestFit="1" customWidth="1"/>
    <col min="21" max="21" width="9.7109375" bestFit="1" customWidth="1"/>
    <col min="22" max="22" width="9.28515625" bestFit="1" customWidth="1"/>
    <col min="23" max="23" width="8.7109375" bestFit="1" customWidth="1"/>
    <col min="24" max="24" width="11.85546875" bestFit="1" customWidth="1"/>
    <col min="25" max="25" width="9.28515625" bestFit="1" customWidth="1"/>
    <col min="26" max="26" width="6.28515625" customWidth="1"/>
    <col min="27" max="27" width="10.28515625" bestFit="1" customWidth="1"/>
    <col min="28" max="28" width="6.7109375" customWidth="1"/>
    <col min="30" max="30" width="5.28515625" customWidth="1"/>
    <col min="32" max="32" width="4" customWidth="1"/>
    <col min="34" max="34" width="6.28515625" customWidth="1"/>
    <col min="36" max="36" width="12" bestFit="1" customWidth="1"/>
    <col min="38" max="38" width="4.42578125" customWidth="1"/>
    <col min="40" max="40" width="12.140625" bestFit="1" customWidth="1"/>
  </cols>
  <sheetData>
    <row r="1" spans="1:41" ht="13.5" thickBot="1">
      <c r="A1" s="1621" t="s">
        <v>365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2"/>
      <c r="O1" s="1622"/>
      <c r="P1" s="1622"/>
      <c r="Q1" s="1622"/>
      <c r="R1" s="1622"/>
      <c r="S1" s="1406"/>
      <c r="U1" s="556" t="str">
        <f>'FALL13 vs TYSP13'!T1</f>
        <v>10/23/2013</v>
      </c>
    </row>
    <row r="2" spans="1:41">
      <c r="S2" s="1406"/>
      <c r="AA2" s="1639">
        <f>U3</f>
        <v>0</v>
      </c>
      <c r="AB2" s="1639"/>
      <c r="AC2" s="1639"/>
      <c r="AD2" s="1639"/>
      <c r="AE2" s="1639"/>
      <c r="AF2" s="1639"/>
      <c r="AG2" s="1639"/>
      <c r="AH2" s="1639"/>
      <c r="AI2" s="1639"/>
      <c r="AJ2" s="1639"/>
      <c r="AK2" s="1639"/>
      <c r="AL2" s="1639"/>
      <c r="AM2" s="1639"/>
      <c r="AN2" s="1639"/>
      <c r="AO2" s="1639"/>
    </row>
    <row r="3" spans="1:41" ht="13.5" thickBot="1">
      <c r="A3" s="1667" t="str">
        <f>'FALL13 vs TYSP13'!A3:R3</f>
        <v>FALL 2013</v>
      </c>
      <c r="B3" s="1668"/>
      <c r="C3" s="1668"/>
      <c r="D3" s="1668"/>
      <c r="E3" s="1668"/>
      <c r="F3" s="1668"/>
      <c r="G3" s="1668"/>
      <c r="H3" s="1668"/>
      <c r="I3" s="1668"/>
      <c r="J3" s="1668"/>
      <c r="K3" s="1668"/>
      <c r="L3" s="1668"/>
      <c r="M3" s="1668"/>
      <c r="N3" s="1668"/>
      <c r="O3" s="1668"/>
      <c r="P3" s="1668"/>
      <c r="Q3" s="1668"/>
      <c r="R3" s="1669"/>
      <c r="S3" s="1406"/>
      <c r="Z3" s="945"/>
      <c r="AA3" s="945"/>
      <c r="AB3" s="945"/>
      <c r="AC3" s="946"/>
      <c r="AD3" s="946"/>
      <c r="AE3" s="946"/>
      <c r="AF3" s="946"/>
      <c r="AG3" s="946"/>
      <c r="AH3" s="946"/>
      <c r="AI3" s="946"/>
      <c r="AJ3" s="946"/>
      <c r="AK3" s="946"/>
      <c r="AL3" s="946"/>
      <c r="AM3" s="946"/>
      <c r="AN3" s="946"/>
      <c r="AO3" s="946"/>
    </row>
    <row r="4" spans="1:41" ht="13.5" thickBot="1">
      <c r="A4" s="166"/>
      <c r="B4" s="520"/>
      <c r="C4" s="520"/>
      <c r="D4" s="520"/>
      <c r="F4" s="520" t="s">
        <v>21</v>
      </c>
      <c r="G4" s="520"/>
      <c r="H4" s="520"/>
      <c r="I4" s="520"/>
      <c r="J4" s="520"/>
      <c r="K4" s="520"/>
      <c r="L4" s="520"/>
      <c r="M4" s="520"/>
      <c r="N4" s="520"/>
      <c r="O4" s="1409" t="str">
        <f>F4</f>
        <v>Total</v>
      </c>
      <c r="P4" s="520"/>
      <c r="Q4" s="728"/>
      <c r="R4" s="1412"/>
      <c r="S4" s="1406"/>
      <c r="T4" s="28"/>
      <c r="U4" s="1650" t="s">
        <v>261</v>
      </c>
      <c r="V4" s="1664"/>
      <c r="W4" s="1664"/>
      <c r="X4" s="1664"/>
      <c r="Y4" s="1665"/>
      <c r="Z4" s="962"/>
      <c r="AA4" s="1640" t="s">
        <v>434</v>
      </c>
      <c r="AB4" s="1657"/>
      <c r="AC4" s="1658"/>
      <c r="AD4" s="946"/>
      <c r="AE4" s="1640" t="s">
        <v>415</v>
      </c>
      <c r="AF4" s="1657"/>
      <c r="AG4" s="1658"/>
      <c r="AH4" s="946"/>
      <c r="AI4" s="1640" t="s">
        <v>432</v>
      </c>
      <c r="AJ4" s="1657"/>
      <c r="AK4" s="1658"/>
      <c r="AL4" s="946"/>
      <c r="AM4" s="1640" t="s">
        <v>433</v>
      </c>
      <c r="AN4" s="1657"/>
      <c r="AO4" s="1658"/>
    </row>
    <row r="5" spans="1:41">
      <c r="A5" s="167"/>
      <c r="B5" s="170" t="s">
        <v>116</v>
      </c>
      <c r="C5" s="170"/>
      <c r="D5" s="170" t="s">
        <v>120</v>
      </c>
      <c r="E5" s="28"/>
      <c r="F5" s="170" t="s">
        <v>118</v>
      </c>
      <c r="G5" s="170"/>
      <c r="H5" s="1632" t="s">
        <v>123</v>
      </c>
      <c r="I5" s="1633"/>
      <c r="J5" s="1633"/>
      <c r="K5" s="1633"/>
      <c r="L5" s="1634"/>
      <c r="M5" s="170"/>
      <c r="N5" s="521"/>
      <c r="O5" s="1410" t="s">
        <v>125</v>
      </c>
      <c r="P5" s="170"/>
      <c r="Q5" s="591"/>
      <c r="R5" s="1413" t="s">
        <v>21</v>
      </c>
      <c r="S5" s="1406"/>
      <c r="T5" s="28"/>
      <c r="U5" s="885" t="str">
        <f>'FALL13 vs TYSP13'!T5</f>
        <v>TYSP13</v>
      </c>
      <c r="Z5" s="946"/>
      <c r="AA5" s="947"/>
      <c r="AB5" s="948"/>
      <c r="AC5" s="948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  <c r="AO5" s="946"/>
    </row>
    <row r="6" spans="1:41">
      <c r="A6" s="167"/>
      <c r="B6" s="170" t="s">
        <v>117</v>
      </c>
      <c r="C6" s="170" t="s">
        <v>118</v>
      </c>
      <c r="D6" s="170" t="s">
        <v>21</v>
      </c>
      <c r="E6" s="591" t="s">
        <v>121</v>
      </c>
      <c r="F6" s="170" t="s">
        <v>122</v>
      </c>
      <c r="G6" s="170"/>
      <c r="H6" s="520" t="s">
        <v>21</v>
      </c>
      <c r="I6" s="520" t="s">
        <v>288</v>
      </c>
      <c r="J6" s="520"/>
      <c r="K6" s="706" t="s">
        <v>349</v>
      </c>
      <c r="L6" s="520"/>
      <c r="M6" s="170"/>
      <c r="N6" s="170" t="s">
        <v>264</v>
      </c>
      <c r="O6" s="1410" t="str">
        <f>F6</f>
        <v>before</v>
      </c>
      <c r="P6" s="170" t="s">
        <v>21</v>
      </c>
      <c r="Q6" s="729" t="s">
        <v>147</v>
      </c>
      <c r="R6" s="1413" t="s">
        <v>125</v>
      </c>
      <c r="S6" s="1406"/>
      <c r="T6" s="28"/>
      <c r="U6" s="1399" t="s">
        <v>222</v>
      </c>
      <c r="W6" s="1399"/>
      <c r="Y6" s="1399" t="s">
        <v>353</v>
      </c>
      <c r="Z6" s="946"/>
      <c r="AA6" s="1400" t="s">
        <v>413</v>
      </c>
      <c r="AB6" s="950"/>
      <c r="AC6" s="1400" t="s">
        <v>414</v>
      </c>
      <c r="AD6" s="946"/>
      <c r="AE6" s="951" t="s">
        <v>158</v>
      </c>
      <c r="AF6" s="951"/>
      <c r="AG6" s="951" t="s">
        <v>159</v>
      </c>
      <c r="AH6" s="946"/>
      <c r="AI6" s="951" t="s">
        <v>118</v>
      </c>
      <c r="AJ6" s="951" t="s">
        <v>416</v>
      </c>
      <c r="AK6" s="952" t="s">
        <v>125</v>
      </c>
      <c r="AL6" s="946"/>
      <c r="AM6" s="951" t="s">
        <v>118</v>
      </c>
      <c r="AN6" s="951" t="s">
        <v>416</v>
      </c>
      <c r="AO6" s="952" t="s">
        <v>125</v>
      </c>
    </row>
    <row r="7" spans="1:41">
      <c r="A7" s="168" t="s">
        <v>126</v>
      </c>
      <c r="B7" s="519" t="s">
        <v>118</v>
      </c>
      <c r="C7" s="519" t="s">
        <v>66</v>
      </c>
      <c r="D7" s="519" t="s">
        <v>118</v>
      </c>
      <c r="E7" s="731" t="s">
        <v>59</v>
      </c>
      <c r="F7" s="519" t="s">
        <v>62</v>
      </c>
      <c r="G7" s="519"/>
      <c r="H7" s="586" t="s">
        <v>154</v>
      </c>
      <c r="I7" s="586" t="s">
        <v>286</v>
      </c>
      <c r="J7" s="519" t="s">
        <v>287</v>
      </c>
      <c r="K7" s="705" t="s">
        <v>117</v>
      </c>
      <c r="L7" s="519" t="s">
        <v>0</v>
      </c>
      <c r="M7" s="519"/>
      <c r="N7" s="519" t="s">
        <v>124</v>
      </c>
      <c r="O7" s="1411" t="str">
        <f>F7</f>
        <v>DLC</v>
      </c>
      <c r="P7" s="519" t="s">
        <v>66</v>
      </c>
      <c r="Q7" s="731" t="s">
        <v>131</v>
      </c>
      <c r="R7" s="1414" t="s">
        <v>117</v>
      </c>
      <c r="S7" s="1406"/>
      <c r="T7" s="448" t="s">
        <v>126</v>
      </c>
      <c r="U7" s="445" t="s">
        <v>221</v>
      </c>
      <c r="V7" s="446" t="s">
        <v>223</v>
      </c>
      <c r="W7" s="445"/>
      <c r="X7" s="447" t="s">
        <v>219</v>
      </c>
      <c r="Y7" s="446" t="s">
        <v>220</v>
      </c>
      <c r="Z7" s="986" t="s">
        <v>126</v>
      </c>
      <c r="AA7" s="953" t="s">
        <v>62</v>
      </c>
      <c r="AB7" s="946"/>
      <c r="AC7" s="953" t="s">
        <v>62</v>
      </c>
      <c r="AD7" s="946"/>
      <c r="AE7" s="954" t="s">
        <v>26</v>
      </c>
      <c r="AF7" s="951"/>
      <c r="AG7" s="954" t="s">
        <v>26</v>
      </c>
      <c r="AH7" s="946"/>
      <c r="AI7" s="955" t="s">
        <v>26</v>
      </c>
      <c r="AJ7" s="955" t="s">
        <v>26</v>
      </c>
      <c r="AK7" s="955" t="s">
        <v>26</v>
      </c>
      <c r="AL7" s="956"/>
      <c r="AM7" s="955" t="s">
        <v>26</v>
      </c>
      <c r="AN7" s="955" t="s">
        <v>26</v>
      </c>
      <c r="AO7" s="955" t="s">
        <v>26</v>
      </c>
    </row>
    <row r="8" spans="1:41" hidden="1">
      <c r="A8" s="169">
        <v>2009</v>
      </c>
      <c r="B8" s="522" t="e">
        <f>'FALL13 vs TYSP13'!#REF!</f>
        <v>#REF!</v>
      </c>
      <c r="C8" s="522" t="e">
        <f>'FALL13 vs TYSP13'!#REF!</f>
        <v>#REF!</v>
      </c>
      <c r="D8" s="522" t="e">
        <f>'FALL13 vs TYSP13'!#REF!</f>
        <v>#REF!</v>
      </c>
      <c r="E8" s="592" t="e">
        <f>'FALL13 vs TYSP13'!#REF!</f>
        <v>#REF!</v>
      </c>
      <c r="F8" s="522" t="e">
        <f>'FALL13 vs TYSP13'!#REF!</f>
        <v>#REF!</v>
      </c>
      <c r="G8" s="522" t="e">
        <f>'FALL13 vs TYSP13'!#REF!</f>
        <v>#REF!</v>
      </c>
      <c r="H8" s="605" t="e">
        <f>'FALL13 vs TYSP13'!#REF!</f>
        <v>#REF!</v>
      </c>
      <c r="I8" s="605" t="e">
        <f>'FALL13 vs TYSP13'!#REF!</f>
        <v>#REF!</v>
      </c>
      <c r="J8" s="605" t="e">
        <f>'FALL13 vs TYSP13'!#REF!</f>
        <v>#REF!</v>
      </c>
      <c r="K8" s="603" t="e">
        <f>'FALL13 vs TYSP13'!#REF!</f>
        <v>#REF!</v>
      </c>
      <c r="L8" s="522" t="e">
        <f>'FALL13 vs TYSP13'!#REF!</f>
        <v>#REF!</v>
      </c>
      <c r="M8" s="522" t="e">
        <f>'FALL13 vs TYSP13'!#REF!</f>
        <v>#REF!</v>
      </c>
      <c r="N8" s="522" t="e">
        <f>'FALL13 vs TYSP13'!#REF!</f>
        <v>#REF!</v>
      </c>
      <c r="O8" s="522" t="e">
        <f>'FALL13 vs TYSP13'!#REF!</f>
        <v>#REF!</v>
      </c>
      <c r="P8" s="524" t="e">
        <f>'FALL13 vs TYSP13'!#REF!</f>
        <v>#REF!</v>
      </c>
      <c r="Q8" s="592" t="e">
        <f>'FALL13 vs TYSP13'!#REF!</f>
        <v>#REF!</v>
      </c>
      <c r="R8" s="609" t="e">
        <f>'FALL13 vs TYSP13'!#REF!</f>
        <v>#REF!</v>
      </c>
      <c r="S8" s="1406"/>
      <c r="T8" s="170">
        <f t="shared" ref="T8:T22" si="0">A8</f>
        <v>2009</v>
      </c>
      <c r="U8" s="381" t="e">
        <f>'FALL13 vs TYSP13'!#REF!</f>
        <v>#REF!</v>
      </c>
      <c r="V8" s="582" t="e">
        <f t="shared" ref="V8:V22" si="1">U8/R8-1</f>
        <v>#REF!</v>
      </c>
      <c r="X8" s="320" t="e">
        <f>'FALL13 vs TYSP13'!#REF!</f>
        <v>#REF!</v>
      </c>
      <c r="Y8" s="219" t="e">
        <f>X8/(O8*8760)</f>
        <v>#REF!</v>
      </c>
      <c r="Z8" s="987">
        <v>2009</v>
      </c>
      <c r="AA8" s="957" t="e">
        <f>O8/#REF!-1</f>
        <v>#REF!</v>
      </c>
      <c r="AB8" s="946"/>
      <c r="AC8" s="957" t="e">
        <f>R8/#REF!-1</f>
        <v>#REF!</v>
      </c>
      <c r="AD8" s="946"/>
      <c r="AE8" s="958" t="e">
        <f t="shared" ref="AE8:AE26" si="2">SUM(P8:Q8)</f>
        <v>#REF!</v>
      </c>
      <c r="AF8" s="959"/>
      <c r="AG8" s="958" t="e">
        <f>SUM(#REF!)</f>
        <v>#REF!</v>
      </c>
      <c r="AH8" s="946"/>
      <c r="AI8" s="958" t="e">
        <f t="shared" ref="AI8:AI26" si="3">R8-L8+K8+5</f>
        <v>#REF!</v>
      </c>
      <c r="AJ8" s="958" t="e">
        <f t="shared" ref="AJ8:AJ26" si="4">L8-K8-5</f>
        <v>#REF!</v>
      </c>
      <c r="AK8" s="958" t="e">
        <f t="shared" ref="AK8:AK26" si="5">AJ8+AI8</f>
        <v>#REF!</v>
      </c>
      <c r="AL8" s="959"/>
      <c r="AM8" s="958" t="e">
        <f>#REF!-#REF!+#REF!+5</f>
        <v>#REF!</v>
      </c>
      <c r="AN8" s="958" t="e">
        <f>#REF!-#REF!-5</f>
        <v>#REF!</v>
      </c>
      <c r="AO8" s="958" t="e">
        <f t="shared" ref="AO8:AO26" si="6">AN8+AM8</f>
        <v>#REF!</v>
      </c>
    </row>
    <row r="9" spans="1:41" s="28" customFormat="1" hidden="1">
      <c r="A9" s="169">
        <v>2013</v>
      </c>
      <c r="B9" s="522">
        <f>'FALL13 vs TYSP13'!B8</f>
        <v>5248</v>
      </c>
      <c r="C9" s="522">
        <f>'FALL13 vs TYSP13'!C8</f>
        <v>232</v>
      </c>
      <c r="D9" s="522">
        <f>'FALL13 vs TYSP13'!D8</f>
        <v>5480</v>
      </c>
      <c r="E9" s="592">
        <f>'FALL13 vs TYSP13'!E8</f>
        <v>0</v>
      </c>
      <c r="F9" s="522">
        <f>'FALL13 vs TYSP13'!F8</f>
        <v>5480</v>
      </c>
      <c r="G9" s="522"/>
      <c r="H9" s="605">
        <f>'FALL13 vs TYSP13'!H8</f>
        <v>600</v>
      </c>
      <c r="I9" s="605">
        <f>'FALL13 vs TYSP13'!I8</f>
        <v>45.629999999999995</v>
      </c>
      <c r="J9" s="605">
        <f>'FALL13 vs TYSP13'!J8</f>
        <v>236.08999999999997</v>
      </c>
      <c r="K9" s="603">
        <f>'FALL13 vs TYSP13'!K8</f>
        <v>15.01</v>
      </c>
      <c r="L9" s="522">
        <f>'FALL13 vs TYSP13'!L8</f>
        <v>896.73</v>
      </c>
      <c r="M9" s="522">
        <f>'FALL13 vs TYSP13'!M8</f>
        <v>0</v>
      </c>
      <c r="N9" s="522">
        <f>'FALL13 vs TYSP13'!N8</f>
        <v>0</v>
      </c>
      <c r="O9" s="522">
        <f>'FALL13 vs TYSP13'!O8</f>
        <v>6376.73</v>
      </c>
      <c r="P9" s="524">
        <f>'FALL13 vs TYSP13'!P8</f>
        <v>-247.01</v>
      </c>
      <c r="Q9" s="592">
        <f>'FALL13 vs TYSP13'!Q8</f>
        <v>-823</v>
      </c>
      <c r="R9" s="609">
        <f>'FALL13 vs TYSP13'!R8</f>
        <v>5306.7199999999993</v>
      </c>
      <c r="S9" s="1406"/>
      <c r="T9" s="170">
        <f t="shared" si="0"/>
        <v>2013</v>
      </c>
      <c r="U9" s="381">
        <f>'FALL13 vs TYSP13'!T8</f>
        <v>13281</v>
      </c>
      <c r="V9" s="582">
        <f t="shared" si="1"/>
        <v>1.5026758525039954</v>
      </c>
      <c r="X9" s="320">
        <f>'FALL13 vs TYSP13'!W8</f>
        <v>40270133</v>
      </c>
      <c r="Y9" s="584">
        <f>X9/(O9*8760)</f>
        <v>0.72090979955537116</v>
      </c>
      <c r="Z9" s="988">
        <v>2013</v>
      </c>
      <c r="AA9" s="957">
        <f t="shared" ref="AA9:AA26" si="7">O9/O87-1</f>
        <v>-0.32269518612066461</v>
      </c>
      <c r="AB9" s="960"/>
      <c r="AC9" s="957">
        <f t="shared" ref="AC9:AC26" si="8">R9/R87-1</f>
        <v>-0.39197855141873439</v>
      </c>
      <c r="AD9" s="960"/>
      <c r="AE9" s="958">
        <f t="shared" si="2"/>
        <v>-1070.01</v>
      </c>
      <c r="AF9" s="959"/>
      <c r="AG9" s="958">
        <f t="shared" ref="AG9:AG26" si="9">SUM(P87:Q87)</f>
        <v>-687.01</v>
      </c>
      <c r="AH9" s="960"/>
      <c r="AI9" s="958">
        <f t="shared" si="3"/>
        <v>4430</v>
      </c>
      <c r="AJ9" s="958">
        <f t="shared" si="4"/>
        <v>876.72</v>
      </c>
      <c r="AK9" s="958">
        <f t="shared" si="5"/>
        <v>5306.72</v>
      </c>
      <c r="AL9" s="961"/>
      <c r="AM9" s="958">
        <f t="shared" ref="AM9:AM26" si="10">R87-L87+K87+5</f>
        <v>7803.0000000000009</v>
      </c>
      <c r="AN9" s="958">
        <f t="shared" ref="AN9:AN26" si="11">L87-K87-5</f>
        <v>924.84999999999991</v>
      </c>
      <c r="AO9" s="958">
        <f t="shared" si="6"/>
        <v>8727.85</v>
      </c>
    </row>
    <row r="10" spans="1:41" s="28" customFormat="1">
      <c r="A10" s="169">
        <v>2014</v>
      </c>
      <c r="B10" s="522">
        <f>'FALL13 vs TYSP13'!B9</f>
        <v>8887</v>
      </c>
      <c r="C10" s="522">
        <f>'FALL13 vs TYSP13'!C9</f>
        <v>232</v>
      </c>
      <c r="D10" s="522">
        <f>'FALL13 vs TYSP13'!D9</f>
        <v>9119</v>
      </c>
      <c r="E10" s="592">
        <f>'FALL13 vs TYSP13'!E9</f>
        <v>-65.575586025000007</v>
      </c>
      <c r="F10" s="522">
        <f>'FALL13 vs TYSP13'!F9</f>
        <v>9053.4244139750008</v>
      </c>
      <c r="G10" s="522"/>
      <c r="H10" s="605">
        <f>'FALL13 vs TYSP13'!H9</f>
        <v>650</v>
      </c>
      <c r="I10" s="605">
        <f>'FALL13 vs TYSP13'!I9</f>
        <v>45.86</v>
      </c>
      <c r="J10" s="605">
        <f>'FALL13 vs TYSP13'!J9</f>
        <v>199.07</v>
      </c>
      <c r="K10" s="603">
        <f>'FALL13 vs TYSP13'!K9</f>
        <v>0</v>
      </c>
      <c r="L10" s="522">
        <f>'FALL13 vs TYSP13'!L9</f>
        <v>894.93000000000006</v>
      </c>
      <c r="M10" s="522">
        <f>'FALL13 vs TYSP13'!M9</f>
        <v>0</v>
      </c>
      <c r="N10" s="522">
        <f>'FALL13 vs TYSP13'!N9</f>
        <v>25</v>
      </c>
      <c r="O10" s="522">
        <f>'FALL13 vs TYSP13'!O9</f>
        <v>9973.3544139750011</v>
      </c>
      <c r="P10" s="524">
        <f>'FALL13 vs TYSP13'!P9</f>
        <v>-232</v>
      </c>
      <c r="Q10" s="592">
        <f>'FALL13 vs TYSP13'!Q9</f>
        <v>-871</v>
      </c>
      <c r="R10" s="609">
        <f>'FALL13 vs TYSP13'!R9</f>
        <v>8870.3544139750011</v>
      </c>
      <c r="S10" s="1406"/>
      <c r="T10" s="170">
        <f t="shared" si="0"/>
        <v>2014</v>
      </c>
      <c r="U10" s="381">
        <f>'FALL13 vs TYSP13'!T9</f>
        <v>12297</v>
      </c>
      <c r="V10" s="582">
        <f t="shared" si="1"/>
        <v>0.3863031200451712</v>
      </c>
      <c r="W10" s="170"/>
      <c r="X10" s="320">
        <f>'FALL13 vs TYSP13'!W9</f>
        <v>39801314</v>
      </c>
      <c r="Y10" s="584">
        <f>X10/(O10*8760)</f>
        <v>0.45556678393653027</v>
      </c>
      <c r="Z10" s="988">
        <v>2014</v>
      </c>
      <c r="AA10" s="957">
        <f t="shared" si="7"/>
        <v>4.884519965359746E-2</v>
      </c>
      <c r="AB10" s="960"/>
      <c r="AC10" s="957">
        <f t="shared" si="8"/>
        <v>6.634633666956935E-3</v>
      </c>
      <c r="AD10" s="960"/>
      <c r="AE10" s="958">
        <f t="shared" si="2"/>
        <v>-1103</v>
      </c>
      <c r="AF10" s="959"/>
      <c r="AG10" s="958">
        <f t="shared" si="9"/>
        <v>-697</v>
      </c>
      <c r="AH10" s="960"/>
      <c r="AI10" s="958">
        <f t="shared" si="3"/>
        <v>7980.4244139750008</v>
      </c>
      <c r="AJ10" s="958">
        <f t="shared" si="4"/>
        <v>889.93000000000006</v>
      </c>
      <c r="AK10" s="958">
        <f t="shared" si="5"/>
        <v>8870.3544139750011</v>
      </c>
      <c r="AL10" s="961"/>
      <c r="AM10" s="958">
        <f t="shared" si="10"/>
        <v>8012.9107469557039</v>
      </c>
      <c r="AN10" s="958">
        <f t="shared" si="11"/>
        <v>798.9799999999999</v>
      </c>
      <c r="AO10" s="958">
        <f t="shared" si="6"/>
        <v>8811.8907469557034</v>
      </c>
    </row>
    <row r="11" spans="1:41" s="28" customFormat="1">
      <c r="A11" s="169">
        <v>2015</v>
      </c>
      <c r="B11" s="522">
        <f>'FALL13 vs TYSP13'!B10</f>
        <v>8754</v>
      </c>
      <c r="C11" s="522">
        <f>'FALL13 vs TYSP13'!C10</f>
        <v>233</v>
      </c>
      <c r="D11" s="522">
        <f>'FALL13 vs TYSP13'!D10</f>
        <v>8987</v>
      </c>
      <c r="E11" s="592">
        <f>'FALL13 vs TYSP13'!E10</f>
        <v>-131.10226198554994</v>
      </c>
      <c r="F11" s="522">
        <f>'FALL13 vs TYSP13'!F10</f>
        <v>8855.8977380144497</v>
      </c>
      <c r="G11" s="522"/>
      <c r="H11" s="605">
        <f>'FALL13 vs TYSP13'!H10</f>
        <v>1150</v>
      </c>
      <c r="I11" s="605">
        <f>'FALL13 vs TYSP13'!I10</f>
        <v>46</v>
      </c>
      <c r="J11" s="605">
        <f>'FALL13 vs TYSP13'!J10</f>
        <v>180.04999999999998</v>
      </c>
      <c r="K11" s="603">
        <f>'FALL13 vs TYSP13'!K10</f>
        <v>0</v>
      </c>
      <c r="L11" s="522">
        <f>'FALL13 vs TYSP13'!L10</f>
        <v>1376.05</v>
      </c>
      <c r="M11" s="522">
        <f>'FALL13 vs TYSP13'!M10</f>
        <v>0</v>
      </c>
      <c r="N11" s="522">
        <f>'FALL13 vs TYSP13'!N10</f>
        <v>25</v>
      </c>
      <c r="O11" s="522">
        <f>'FALL13 vs TYSP13'!O10</f>
        <v>10256.947738014449</v>
      </c>
      <c r="P11" s="524">
        <f>'FALL13 vs TYSP13'!P10</f>
        <v>-233</v>
      </c>
      <c r="Q11" s="592">
        <f>'FALL13 vs TYSP13'!Q10</f>
        <v>-891</v>
      </c>
      <c r="R11" s="609">
        <f>'FALL13 vs TYSP13'!R10</f>
        <v>9132.947738014449</v>
      </c>
      <c r="S11" s="1406"/>
      <c r="T11" s="170">
        <f t="shared" si="0"/>
        <v>2015</v>
      </c>
      <c r="U11" s="381">
        <f>'FALL13 vs TYSP13'!T10</f>
        <v>12284</v>
      </c>
      <c r="V11" s="582">
        <f t="shared" si="1"/>
        <v>0.3450202883423712</v>
      </c>
      <c r="W11" s="170"/>
      <c r="X11" s="320">
        <f>'FALL13 vs TYSP13'!W10</f>
        <v>40489597</v>
      </c>
      <c r="Y11" s="584">
        <f>X11/(O11*8760)</f>
        <v>0.45063114604988735</v>
      </c>
      <c r="Z11" s="988">
        <v>2015</v>
      </c>
      <c r="AA11" s="957">
        <f t="shared" si="7"/>
        <v>5.2016005042196278E-2</v>
      </c>
      <c r="AB11" s="960"/>
      <c r="AC11" s="957">
        <f t="shared" si="8"/>
        <v>1.0080485008955975E-2</v>
      </c>
      <c r="AD11" s="960"/>
      <c r="AE11" s="958">
        <f t="shared" si="2"/>
        <v>-1124</v>
      </c>
      <c r="AF11" s="959"/>
      <c r="AG11" s="958">
        <f t="shared" si="9"/>
        <v>-708</v>
      </c>
      <c r="AH11" s="960"/>
      <c r="AI11" s="958">
        <f t="shared" si="3"/>
        <v>7761.8977380144488</v>
      </c>
      <c r="AJ11" s="958">
        <f t="shared" si="4"/>
        <v>1371.05</v>
      </c>
      <c r="AK11" s="958">
        <f t="shared" si="5"/>
        <v>9132.947738014449</v>
      </c>
      <c r="AL11" s="961"/>
      <c r="AM11" s="958">
        <f t="shared" si="10"/>
        <v>8240.7419886142743</v>
      </c>
      <c r="AN11" s="958">
        <f t="shared" si="11"/>
        <v>801.06</v>
      </c>
      <c r="AO11" s="958">
        <f t="shared" si="6"/>
        <v>9041.8019886142738</v>
      </c>
    </row>
    <row r="12" spans="1:41" s="28" customFormat="1">
      <c r="A12" s="169">
        <v>2016</v>
      </c>
      <c r="B12" s="522">
        <f>'FALL13 vs TYSP13'!B11</f>
        <v>9055</v>
      </c>
      <c r="C12" s="522">
        <f>'FALL13 vs TYSP13'!C11</f>
        <v>233</v>
      </c>
      <c r="D12" s="522">
        <f>'FALL13 vs TYSP13'!D11</f>
        <v>9288</v>
      </c>
      <c r="E12" s="592">
        <f>'FALL13 vs TYSP13'!E11</f>
        <v>-180.45095414807236</v>
      </c>
      <c r="F12" s="522">
        <f>'FALL13 vs TYSP13'!F11</f>
        <v>9107.5490458519271</v>
      </c>
      <c r="G12" s="522"/>
      <c r="H12" s="605">
        <f>'FALL13 vs TYSP13'!H11</f>
        <v>1150</v>
      </c>
      <c r="I12" s="605">
        <f>'FALL13 vs TYSP13'!I11</f>
        <v>46.22</v>
      </c>
      <c r="J12" s="605">
        <f>'FALL13 vs TYSP13'!J11</f>
        <v>182.04999999999998</v>
      </c>
      <c r="K12" s="603">
        <f>'FALL13 vs TYSP13'!K11</f>
        <v>0</v>
      </c>
      <c r="L12" s="522">
        <f>'FALL13 vs TYSP13'!L11</f>
        <v>1378.27</v>
      </c>
      <c r="M12" s="522">
        <f>'FALL13 vs TYSP13'!M11</f>
        <v>0</v>
      </c>
      <c r="N12" s="522">
        <f>'FALL13 vs TYSP13'!N11</f>
        <v>25</v>
      </c>
      <c r="O12" s="522">
        <f>'FALL13 vs TYSP13'!O11</f>
        <v>10510.819045851928</v>
      </c>
      <c r="P12" s="524">
        <f>'FALL13 vs TYSP13'!P11</f>
        <v>-233</v>
      </c>
      <c r="Q12" s="592">
        <f>'FALL13 vs TYSP13'!Q11</f>
        <v>-908</v>
      </c>
      <c r="R12" s="609">
        <f>'FALL13 vs TYSP13'!R11</f>
        <v>9369.8190458519275</v>
      </c>
      <c r="S12" s="1406"/>
      <c r="T12" s="170">
        <f t="shared" si="0"/>
        <v>2016</v>
      </c>
      <c r="U12" s="381">
        <f>'FALL13 vs TYSP13'!T11</f>
        <v>12314</v>
      </c>
      <c r="V12" s="582">
        <f t="shared" si="1"/>
        <v>0.31421961723492187</v>
      </c>
      <c r="W12" s="170"/>
      <c r="X12" s="320">
        <f>'FALL13 vs TYSP13'!W11</f>
        <v>41098360</v>
      </c>
      <c r="Y12" s="219">
        <f>X12/(O12*8784)</f>
        <v>0.44513895873640874</v>
      </c>
      <c r="Z12" s="988">
        <v>2016</v>
      </c>
      <c r="AA12" s="957">
        <f t="shared" si="7"/>
        <v>6.5491002741552506E-2</v>
      </c>
      <c r="AB12" s="960"/>
      <c r="AC12" s="957">
        <f t="shared" si="8"/>
        <v>2.4162100413171794E-2</v>
      </c>
      <c r="AD12" s="960"/>
      <c r="AE12" s="958">
        <f t="shared" si="2"/>
        <v>-1141</v>
      </c>
      <c r="AF12" s="959"/>
      <c r="AG12" s="958">
        <f t="shared" si="9"/>
        <v>-716</v>
      </c>
      <c r="AH12" s="960"/>
      <c r="AI12" s="958">
        <f t="shared" si="3"/>
        <v>7996.5490458519271</v>
      </c>
      <c r="AJ12" s="958">
        <f t="shared" si="4"/>
        <v>1373.27</v>
      </c>
      <c r="AK12" s="958">
        <f t="shared" si="5"/>
        <v>9369.8190458519275</v>
      </c>
      <c r="AL12" s="961"/>
      <c r="AM12" s="958">
        <f t="shared" si="10"/>
        <v>8495.535651523247</v>
      </c>
      <c r="AN12" s="958">
        <f t="shared" si="11"/>
        <v>653.23</v>
      </c>
      <c r="AO12" s="958">
        <f t="shared" si="6"/>
        <v>9148.7656515232466</v>
      </c>
    </row>
    <row r="13" spans="1:41" s="28" customFormat="1">
      <c r="A13" s="169">
        <v>2017</v>
      </c>
      <c r="B13" s="522">
        <f>'FALL13 vs TYSP13'!B12</f>
        <v>9355</v>
      </c>
      <c r="C13" s="522">
        <f>'FALL13 vs TYSP13'!C12</f>
        <v>233</v>
      </c>
      <c r="D13" s="522">
        <f>'FALL13 vs TYSP13'!D12</f>
        <v>9588</v>
      </c>
      <c r="E13" s="592">
        <f>'FALL13 vs TYSP13'!E12</f>
        <v>-227.51221170246879</v>
      </c>
      <c r="F13" s="522">
        <f>'FALL13 vs TYSP13'!F12</f>
        <v>9360.4877882975306</v>
      </c>
      <c r="G13" s="522"/>
      <c r="H13" s="605">
        <f>'FALL13 vs TYSP13'!H12</f>
        <v>1000</v>
      </c>
      <c r="I13" s="605">
        <f>'FALL13 vs TYSP13'!I12</f>
        <v>22.61</v>
      </c>
      <c r="J13" s="605">
        <f>'FALL13 vs TYSP13'!J12</f>
        <v>65.05</v>
      </c>
      <c r="K13" s="603">
        <f>'FALL13 vs TYSP13'!K12</f>
        <v>0</v>
      </c>
      <c r="L13" s="522">
        <f>'FALL13 vs TYSP13'!L12</f>
        <v>1087.6600000000001</v>
      </c>
      <c r="M13" s="522">
        <f>'FALL13 vs TYSP13'!M12</f>
        <v>0</v>
      </c>
      <c r="N13" s="522">
        <f>'FALL13 vs TYSP13'!N12</f>
        <v>25</v>
      </c>
      <c r="O13" s="522">
        <f>'FALL13 vs TYSP13'!O12</f>
        <v>10473.14778829753</v>
      </c>
      <c r="P13" s="524">
        <f>'FALL13 vs TYSP13'!P12</f>
        <v>-233</v>
      </c>
      <c r="Q13" s="592">
        <f>'FALL13 vs TYSP13'!Q12</f>
        <v>-942</v>
      </c>
      <c r="R13" s="609">
        <f>'FALL13 vs TYSP13'!R12</f>
        <v>9298.1477882975305</v>
      </c>
      <c r="S13" s="1406"/>
      <c r="T13" s="170">
        <f t="shared" si="0"/>
        <v>2017</v>
      </c>
      <c r="U13" s="381">
        <f>'FALL13 vs TYSP13'!T12</f>
        <v>12961</v>
      </c>
      <c r="V13" s="582">
        <f t="shared" si="1"/>
        <v>0.39393353333364578</v>
      </c>
      <c r="W13" s="170"/>
      <c r="X13" s="320">
        <f>'FALL13 vs TYSP13'!W12</f>
        <v>41375353</v>
      </c>
      <c r="Y13" s="584">
        <f>X13/(O13*8760)</f>
        <v>0.4509832104215129</v>
      </c>
      <c r="Z13" s="988">
        <v>2017</v>
      </c>
      <c r="AA13" s="957">
        <f t="shared" si="7"/>
        <v>4.065465283345393E-2</v>
      </c>
      <c r="AB13" s="960"/>
      <c r="AC13" s="957">
        <f t="shared" si="8"/>
        <v>-9.510690216301132E-4</v>
      </c>
      <c r="AD13" s="960"/>
      <c r="AE13" s="958">
        <f t="shared" si="2"/>
        <v>-1175</v>
      </c>
      <c r="AF13" s="959"/>
      <c r="AG13" s="958">
        <f t="shared" si="9"/>
        <v>-757</v>
      </c>
      <c r="AH13" s="960"/>
      <c r="AI13" s="958">
        <f t="shared" si="3"/>
        <v>8215.4877882975306</v>
      </c>
      <c r="AJ13" s="958">
        <f t="shared" si="4"/>
        <v>1082.6600000000001</v>
      </c>
      <c r="AK13" s="958">
        <f t="shared" si="5"/>
        <v>9298.1477882975305</v>
      </c>
      <c r="AL13" s="961"/>
      <c r="AM13" s="958">
        <f t="shared" si="10"/>
        <v>8724.8193870989307</v>
      </c>
      <c r="AN13" s="958">
        <f t="shared" si="11"/>
        <v>582.17999999999995</v>
      </c>
      <c r="AO13" s="958">
        <f t="shared" si="6"/>
        <v>9306.999387098931</v>
      </c>
    </row>
    <row r="14" spans="1:41" s="28" customFormat="1">
      <c r="A14" s="169">
        <v>2018</v>
      </c>
      <c r="B14" s="522">
        <f>'FALL13 vs TYSP13'!B13</f>
        <v>9653</v>
      </c>
      <c r="C14" s="522">
        <f>'FALL13 vs TYSP13'!C13</f>
        <v>240</v>
      </c>
      <c r="D14" s="522">
        <f>'FALL13 vs TYSP13'!D13</f>
        <v>9893</v>
      </c>
      <c r="E14" s="592">
        <f>'FALL13 vs TYSP13'!E13</f>
        <v>-263.71101675815396</v>
      </c>
      <c r="F14" s="522">
        <f>'FALL13 vs TYSP13'!F13</f>
        <v>9629.2889832418459</v>
      </c>
      <c r="G14" s="522"/>
      <c r="H14" s="605">
        <f>'FALL13 vs TYSP13'!H13</f>
        <v>1000</v>
      </c>
      <c r="I14" s="605">
        <f>'FALL13 vs TYSP13'!I13</f>
        <v>22.8</v>
      </c>
      <c r="J14" s="605">
        <f>'FALL13 vs TYSP13'!J13</f>
        <v>65.05</v>
      </c>
      <c r="K14" s="603">
        <f>'FALL13 vs TYSP13'!K13</f>
        <v>0</v>
      </c>
      <c r="L14" s="522">
        <f>'FALL13 vs TYSP13'!L13</f>
        <v>1087.8499999999999</v>
      </c>
      <c r="M14" s="522">
        <f>'FALL13 vs TYSP13'!M13</f>
        <v>0</v>
      </c>
      <c r="N14" s="522">
        <f>'FALL13 vs TYSP13'!N13</f>
        <v>25</v>
      </c>
      <c r="O14" s="522">
        <f>'FALL13 vs TYSP13'!O13</f>
        <v>10742.138983241846</v>
      </c>
      <c r="P14" s="524">
        <f>'FALL13 vs TYSP13'!P13</f>
        <v>-240</v>
      </c>
      <c r="Q14" s="592">
        <f>'FALL13 vs TYSP13'!Q13</f>
        <v>-958</v>
      </c>
      <c r="R14" s="609">
        <f>'FALL13 vs TYSP13'!R13</f>
        <v>9544.1389832418463</v>
      </c>
      <c r="S14" s="1406"/>
      <c r="T14" s="170">
        <f t="shared" si="0"/>
        <v>2018</v>
      </c>
      <c r="U14" s="381">
        <f>'FALL13 vs TYSP13'!T13</f>
        <v>12961</v>
      </c>
      <c r="V14" s="582">
        <f t="shared" si="1"/>
        <v>0.35800620912558756</v>
      </c>
      <c r="X14" s="320">
        <f>'FALL13 vs TYSP13'!W13</f>
        <v>41994588</v>
      </c>
      <c r="Y14" s="584">
        <f>X14/(O14*8760)</f>
        <v>0.44627077970269252</v>
      </c>
      <c r="Z14" s="988">
        <v>2018</v>
      </c>
      <c r="AA14" s="957">
        <f t="shared" si="7"/>
        <v>5.1798555190895046E-2</v>
      </c>
      <c r="AB14" s="960"/>
      <c r="AC14" s="957">
        <f t="shared" si="8"/>
        <v>1.1126527975388711E-2</v>
      </c>
      <c r="AD14" s="960"/>
      <c r="AE14" s="958">
        <f t="shared" si="2"/>
        <v>-1198</v>
      </c>
      <c r="AF14" s="959"/>
      <c r="AG14" s="958">
        <f t="shared" si="9"/>
        <v>-774</v>
      </c>
      <c r="AH14" s="960"/>
      <c r="AI14" s="958">
        <f t="shared" si="3"/>
        <v>8461.2889832418459</v>
      </c>
      <c r="AJ14" s="958">
        <f t="shared" si="4"/>
        <v>1082.8499999999999</v>
      </c>
      <c r="AK14" s="958">
        <f t="shared" si="5"/>
        <v>9544.1389832418463</v>
      </c>
      <c r="AL14" s="961"/>
      <c r="AM14" s="958">
        <f t="shared" si="10"/>
        <v>8856.8944126664192</v>
      </c>
      <c r="AN14" s="958">
        <f t="shared" si="11"/>
        <v>582.21999999999991</v>
      </c>
      <c r="AO14" s="958">
        <f t="shared" si="6"/>
        <v>9439.1144126664185</v>
      </c>
    </row>
    <row r="15" spans="1:41" s="28" customFormat="1">
      <c r="A15" s="169">
        <v>2019</v>
      </c>
      <c r="B15" s="522">
        <f>'FALL13 vs TYSP13'!B14</f>
        <v>9797</v>
      </c>
      <c r="C15" s="522">
        <f>'FALL13 vs TYSP13'!C14</f>
        <v>283</v>
      </c>
      <c r="D15" s="522">
        <f>'FALL13 vs TYSP13'!D14</f>
        <v>10080</v>
      </c>
      <c r="E15" s="592">
        <f>'FALL13 vs TYSP13'!E14</f>
        <v>-298.13963156105513</v>
      </c>
      <c r="F15" s="522">
        <f>'FALL13 vs TYSP13'!F14</f>
        <v>9781.8603684389454</v>
      </c>
      <c r="G15" s="522"/>
      <c r="H15" s="605">
        <f>'FALL13 vs TYSP13'!H14</f>
        <v>1000</v>
      </c>
      <c r="I15" s="605">
        <f>'FALL13 vs TYSP13'!I14</f>
        <v>23</v>
      </c>
      <c r="J15" s="605">
        <f>'FALL13 vs TYSP13'!J14</f>
        <v>65.05</v>
      </c>
      <c r="K15" s="603">
        <f>'FALL13 vs TYSP13'!K14</f>
        <v>0</v>
      </c>
      <c r="L15" s="522">
        <f>'FALL13 vs TYSP13'!L14</f>
        <v>1088.05</v>
      </c>
      <c r="M15" s="522">
        <f>'FALL13 vs TYSP13'!M14</f>
        <v>0</v>
      </c>
      <c r="N15" s="522">
        <f>'FALL13 vs TYSP13'!N14</f>
        <v>25</v>
      </c>
      <c r="O15" s="522">
        <f>'FALL13 vs TYSP13'!O14</f>
        <v>10894.910368438945</v>
      </c>
      <c r="P15" s="524">
        <f>'FALL13 vs TYSP13'!P14</f>
        <v>-283</v>
      </c>
      <c r="Q15" s="592">
        <f>'FALL13 vs TYSP13'!Q14</f>
        <v>-973</v>
      </c>
      <c r="R15" s="609">
        <f>'FALL13 vs TYSP13'!R14</f>
        <v>9638.9103684389447</v>
      </c>
      <c r="S15" s="1406"/>
      <c r="T15" s="170">
        <f t="shared" si="0"/>
        <v>2019</v>
      </c>
      <c r="U15" s="381">
        <f>'FALL13 vs TYSP13'!T14</f>
        <v>13366</v>
      </c>
      <c r="V15" s="582">
        <f t="shared" si="1"/>
        <v>0.38667126149080167</v>
      </c>
      <c r="X15" s="320">
        <f>'FALL13 vs TYSP13'!W14</f>
        <v>43012927</v>
      </c>
      <c r="Y15" s="584">
        <f>X15/(O15*8760)</f>
        <v>0.45068305456117358</v>
      </c>
      <c r="Z15" s="988">
        <v>2019</v>
      </c>
      <c r="AA15" s="957">
        <f t="shared" si="7"/>
        <v>2.3637035114093763E-2</v>
      </c>
      <c r="AB15" s="960"/>
      <c r="AC15" s="957">
        <f t="shared" si="8"/>
        <v>-1.7774098015654438E-2</v>
      </c>
      <c r="AD15" s="960"/>
      <c r="AE15" s="958">
        <f t="shared" si="2"/>
        <v>-1256</v>
      </c>
      <c r="AF15" s="959"/>
      <c r="AG15" s="958">
        <f t="shared" si="9"/>
        <v>-830</v>
      </c>
      <c r="AH15" s="960"/>
      <c r="AI15" s="958">
        <f t="shared" si="3"/>
        <v>8555.8603684389454</v>
      </c>
      <c r="AJ15" s="958">
        <f t="shared" si="4"/>
        <v>1083.05</v>
      </c>
      <c r="AK15" s="958">
        <f t="shared" si="5"/>
        <v>9638.9103684389447</v>
      </c>
      <c r="AL15" s="961"/>
      <c r="AM15" s="958">
        <f t="shared" si="10"/>
        <v>8981.0635202888661</v>
      </c>
      <c r="AN15" s="958">
        <f t="shared" si="11"/>
        <v>832.27</v>
      </c>
      <c r="AO15" s="958">
        <f t="shared" si="6"/>
        <v>9813.3335202888666</v>
      </c>
    </row>
    <row r="16" spans="1:41" s="28" customFormat="1">
      <c r="A16" s="169">
        <v>2020</v>
      </c>
      <c r="B16" s="522">
        <f>'FALL13 vs TYSP13'!B15</f>
        <v>9935</v>
      </c>
      <c r="C16" s="522">
        <f>'FALL13 vs TYSP13'!C15</f>
        <v>304</v>
      </c>
      <c r="D16" s="522">
        <f>'FALL13 vs TYSP13'!D15</f>
        <v>10239</v>
      </c>
      <c r="E16" s="592">
        <f>'FALL13 vs TYSP13'!E15</f>
        <v>-338.04279316705367</v>
      </c>
      <c r="F16" s="522">
        <f>'FALL13 vs TYSP13'!F15</f>
        <v>9900.9572068329471</v>
      </c>
      <c r="G16" s="522"/>
      <c r="H16" s="605">
        <f>'FALL13 vs TYSP13'!H15</f>
        <v>1250</v>
      </c>
      <c r="I16" s="605">
        <f>'FALL13 vs TYSP13'!I15</f>
        <v>23.19</v>
      </c>
      <c r="J16" s="605">
        <f>'FALL13 vs TYSP13'!J15</f>
        <v>65.05</v>
      </c>
      <c r="K16" s="603">
        <f>'FALL13 vs TYSP13'!K15</f>
        <v>0</v>
      </c>
      <c r="L16" s="522">
        <f>'FALL13 vs TYSP13'!L15</f>
        <v>1338.24</v>
      </c>
      <c r="M16" s="522">
        <f>'FALL13 vs TYSP13'!M15</f>
        <v>0</v>
      </c>
      <c r="N16" s="522">
        <f>'FALL13 vs TYSP13'!N15</f>
        <v>25</v>
      </c>
      <c r="O16" s="522">
        <f>'FALL13 vs TYSP13'!O15</f>
        <v>11264.197206832947</v>
      </c>
      <c r="P16" s="524">
        <f>'FALL13 vs TYSP13'!P15</f>
        <v>-304</v>
      </c>
      <c r="Q16" s="592">
        <f>'FALL13 vs TYSP13'!Q15</f>
        <v>-989</v>
      </c>
      <c r="R16" s="609">
        <f>'FALL13 vs TYSP13'!R15</f>
        <v>9971.1972068329469</v>
      </c>
      <c r="S16" s="1406"/>
      <c r="T16" s="170">
        <f t="shared" si="0"/>
        <v>2020</v>
      </c>
      <c r="U16" s="381">
        <f>'FALL13 vs TYSP13'!T15</f>
        <v>13366</v>
      </c>
      <c r="V16" s="582">
        <f t="shared" si="1"/>
        <v>0.34046090181033639</v>
      </c>
      <c r="X16" s="320">
        <f>'FALL13 vs TYSP13'!W15</f>
        <v>43997632</v>
      </c>
      <c r="Y16" s="584">
        <f>X16/(O16*8784)</f>
        <v>0.44466887387491727</v>
      </c>
      <c r="Z16" s="988">
        <v>2020</v>
      </c>
      <c r="AA16" s="957">
        <f t="shared" si="7"/>
        <v>4.3374369846794991E-2</v>
      </c>
      <c r="AB16" s="960"/>
      <c r="AC16" s="957">
        <f t="shared" si="8"/>
        <v>3.6504214377268696E-3</v>
      </c>
      <c r="AD16" s="960"/>
      <c r="AE16" s="958">
        <f t="shared" si="2"/>
        <v>-1293</v>
      </c>
      <c r="AF16" s="959"/>
      <c r="AG16" s="958">
        <f t="shared" si="9"/>
        <v>-861</v>
      </c>
      <c r="AH16" s="960"/>
      <c r="AI16" s="958">
        <f t="shared" si="3"/>
        <v>8637.9572068329471</v>
      </c>
      <c r="AJ16" s="958">
        <f t="shared" si="4"/>
        <v>1333.24</v>
      </c>
      <c r="AK16" s="958">
        <f t="shared" si="5"/>
        <v>9971.1972068329469</v>
      </c>
      <c r="AL16" s="961"/>
      <c r="AM16" s="958">
        <f t="shared" si="10"/>
        <v>9102.5205234677542</v>
      </c>
      <c r="AN16" s="958">
        <f t="shared" si="11"/>
        <v>832.41</v>
      </c>
      <c r="AO16" s="958">
        <f t="shared" si="6"/>
        <v>9934.930523467754</v>
      </c>
    </row>
    <row r="17" spans="1:41" s="28" customFormat="1">
      <c r="A17" s="169">
        <v>2021</v>
      </c>
      <c r="B17" s="522">
        <f>'FALL13 vs TYSP13'!B16</f>
        <v>10071</v>
      </c>
      <c r="C17" s="522">
        <f>'FALL13 vs TYSP13'!C16</f>
        <v>305</v>
      </c>
      <c r="D17" s="522">
        <f>'FALL13 vs TYSP13'!D16</f>
        <v>10376</v>
      </c>
      <c r="E17" s="592">
        <f>'FALL13 vs TYSP13'!E16</f>
        <v>-372.35090633280845</v>
      </c>
      <c r="F17" s="522">
        <f>'FALL13 vs TYSP13'!F16</f>
        <v>10003.649093667191</v>
      </c>
      <c r="G17" s="522"/>
      <c r="H17" s="605">
        <f>'FALL13 vs TYSP13'!H16</f>
        <v>1250</v>
      </c>
      <c r="I17" s="605">
        <f>'FALL13 vs TYSP13'!I16</f>
        <v>23.290000000000003</v>
      </c>
      <c r="J17" s="605">
        <f>'FALL13 vs TYSP13'!J16</f>
        <v>65.05</v>
      </c>
      <c r="K17" s="603">
        <f>'FALL13 vs TYSP13'!K16</f>
        <v>0</v>
      </c>
      <c r="L17" s="522">
        <f>'FALL13 vs TYSP13'!L16</f>
        <v>1338.34</v>
      </c>
      <c r="M17" s="522">
        <f>'FALL13 vs TYSP13'!M16</f>
        <v>0</v>
      </c>
      <c r="N17" s="522">
        <f>'FALL13 vs TYSP13'!N16</f>
        <v>25</v>
      </c>
      <c r="O17" s="522">
        <f>'FALL13 vs TYSP13'!O16</f>
        <v>11366.989093667191</v>
      </c>
      <c r="P17" s="524">
        <f>'FALL13 vs TYSP13'!P16</f>
        <v>-305</v>
      </c>
      <c r="Q17" s="592">
        <f>'FALL13 vs TYSP13'!Q16</f>
        <v>-1003</v>
      </c>
      <c r="R17" s="609">
        <f>'FALL13 vs TYSP13'!R16</f>
        <v>10058.989093667191</v>
      </c>
      <c r="S17" s="1406"/>
      <c r="T17" s="170">
        <f t="shared" si="0"/>
        <v>2021</v>
      </c>
      <c r="U17" s="381">
        <f>'FALL13 vs TYSP13'!T16</f>
        <v>13693</v>
      </c>
      <c r="V17" s="582">
        <f t="shared" si="1"/>
        <v>0.36126999169535456</v>
      </c>
      <c r="X17" s="320">
        <f>'FALL13 vs TYSP13'!W16</f>
        <v>44418922</v>
      </c>
      <c r="Y17" s="584">
        <f>X17/(O17*8760)</f>
        <v>0.4460858679957746</v>
      </c>
      <c r="Z17" s="988">
        <v>2021</v>
      </c>
      <c r="AA17" s="957">
        <f t="shared" si="7"/>
        <v>5.0242647235329452E-2</v>
      </c>
      <c r="AB17" s="960"/>
      <c r="AC17" s="957">
        <f t="shared" si="8"/>
        <v>1.0729921795033626E-2</v>
      </c>
      <c r="AD17" s="960"/>
      <c r="AE17" s="958">
        <f t="shared" si="2"/>
        <v>-1308</v>
      </c>
      <c r="AF17" s="959"/>
      <c r="AG17" s="958">
        <f t="shared" si="9"/>
        <v>-871</v>
      </c>
      <c r="AH17" s="960"/>
      <c r="AI17" s="958">
        <f t="shared" si="3"/>
        <v>8725.6490936671908</v>
      </c>
      <c r="AJ17" s="958">
        <f t="shared" si="4"/>
        <v>1333.34</v>
      </c>
      <c r="AK17" s="958">
        <f t="shared" si="5"/>
        <v>10058.989093667191</v>
      </c>
      <c r="AL17" s="961"/>
      <c r="AM17" s="958">
        <f t="shared" si="10"/>
        <v>9219.7527366149916</v>
      </c>
      <c r="AN17" s="958">
        <f t="shared" si="11"/>
        <v>732.44999999999993</v>
      </c>
      <c r="AO17" s="958">
        <f t="shared" si="6"/>
        <v>9952.2027366149923</v>
      </c>
    </row>
    <row r="18" spans="1:41" s="28" customFormat="1">
      <c r="A18" s="169">
        <v>2022</v>
      </c>
      <c r="B18" s="522">
        <f>'FALL13 vs TYSP13'!B17</f>
        <v>10202</v>
      </c>
      <c r="C18" s="522">
        <f>'FALL13 vs TYSP13'!C17</f>
        <v>305</v>
      </c>
      <c r="D18" s="522">
        <f>'FALL13 vs TYSP13'!D17</f>
        <v>10507</v>
      </c>
      <c r="E18" s="592">
        <f>'FALL13 vs TYSP13'!E17</f>
        <v>-404.77052514781542</v>
      </c>
      <c r="F18" s="522">
        <f>'FALL13 vs TYSP13'!F17</f>
        <v>10102.229474852185</v>
      </c>
      <c r="G18" s="522"/>
      <c r="H18" s="605">
        <f>'FALL13 vs TYSP13'!H17</f>
        <v>1250</v>
      </c>
      <c r="I18" s="605">
        <f>'FALL13 vs TYSP13'!I17</f>
        <v>23.48</v>
      </c>
      <c r="J18" s="605">
        <f>'FALL13 vs TYSP13'!J17</f>
        <v>65.05</v>
      </c>
      <c r="K18" s="603">
        <f>'FALL13 vs TYSP13'!K17</f>
        <v>0</v>
      </c>
      <c r="L18" s="522">
        <f>'FALL13 vs TYSP13'!L17</f>
        <v>1338.53</v>
      </c>
      <c r="M18" s="522">
        <f>'FALL13 vs TYSP13'!M17</f>
        <v>0</v>
      </c>
      <c r="N18" s="522">
        <f>'FALL13 vs TYSP13'!N17</f>
        <v>25</v>
      </c>
      <c r="O18" s="522">
        <f>'FALL13 vs TYSP13'!O17</f>
        <v>11465.759474852186</v>
      </c>
      <c r="P18" s="524">
        <f>'FALL13 vs TYSP13'!P17</f>
        <v>-305</v>
      </c>
      <c r="Q18" s="592">
        <f>'FALL13 vs TYSP13'!Q17</f>
        <v>-1017</v>
      </c>
      <c r="R18" s="609">
        <f>'FALL13 vs TYSP13'!R17</f>
        <v>10143.759474852186</v>
      </c>
      <c r="S18" s="1406"/>
      <c r="T18" s="170">
        <f t="shared" si="0"/>
        <v>2022</v>
      </c>
      <c r="U18" s="381">
        <f>'FALL13 vs TYSP13'!T17</f>
        <v>13693</v>
      </c>
      <c r="V18" s="582">
        <f t="shared" si="1"/>
        <v>0.34989399481985783</v>
      </c>
      <c r="X18" s="320">
        <f>'FALL13 vs TYSP13'!W17</f>
        <v>44869748</v>
      </c>
      <c r="Y18" s="584">
        <f>X18/(O18*8760)</f>
        <v>0.44673162408757111</v>
      </c>
      <c r="Z18" s="988">
        <v>2022</v>
      </c>
      <c r="AA18" s="957">
        <f t="shared" si="7"/>
        <v>4.7339042296860478E-2</v>
      </c>
      <c r="AB18" s="960"/>
      <c r="AC18" s="957">
        <f t="shared" si="8"/>
        <v>7.6734461183380898E-3</v>
      </c>
      <c r="AD18" s="960"/>
      <c r="AE18" s="958">
        <f t="shared" si="2"/>
        <v>-1322</v>
      </c>
      <c r="AF18" s="959"/>
      <c r="AG18" s="958">
        <f t="shared" si="9"/>
        <v>-881</v>
      </c>
      <c r="AH18" s="960"/>
      <c r="AI18" s="958">
        <f t="shared" si="3"/>
        <v>8810.2294748521854</v>
      </c>
      <c r="AJ18" s="958">
        <f t="shared" si="4"/>
        <v>1333.53</v>
      </c>
      <c r="AK18" s="958">
        <f t="shared" si="5"/>
        <v>10143.759474852186</v>
      </c>
      <c r="AL18" s="961"/>
      <c r="AM18" s="958">
        <f t="shared" si="10"/>
        <v>9333.92461733659</v>
      </c>
      <c r="AN18" s="958">
        <f t="shared" si="11"/>
        <v>732.58999999999992</v>
      </c>
      <c r="AO18" s="958">
        <f t="shared" si="6"/>
        <v>10066.51461733659</v>
      </c>
    </row>
    <row r="19" spans="1:41" s="28" customFormat="1">
      <c r="A19" s="169">
        <v>2023</v>
      </c>
      <c r="B19" s="522">
        <f>'FALL13 vs TYSP13'!B18</f>
        <v>10327</v>
      </c>
      <c r="C19" s="522">
        <f>'FALL13 vs TYSP13'!C18</f>
        <v>305</v>
      </c>
      <c r="D19" s="522">
        <f>'FALL13 vs TYSP13'!D18</f>
        <v>10632</v>
      </c>
      <c r="E19" s="592">
        <f>'FALL13 vs TYSP13'!E18</f>
        <v>-435.30401203496888</v>
      </c>
      <c r="F19" s="522">
        <f>'FALL13 vs TYSP13'!F18</f>
        <v>10196.695987965031</v>
      </c>
      <c r="G19" s="522"/>
      <c r="H19" s="605">
        <f>'FALL13 vs TYSP13'!H18</f>
        <v>1250</v>
      </c>
      <c r="I19" s="605">
        <f>'FALL13 vs TYSP13'!I18</f>
        <v>23.67</v>
      </c>
      <c r="J19" s="605">
        <f>'FALL13 vs TYSP13'!J18</f>
        <v>65.05</v>
      </c>
      <c r="K19" s="603">
        <f>'FALL13 vs TYSP13'!K18</f>
        <v>0</v>
      </c>
      <c r="L19" s="522">
        <f>'FALL13 vs TYSP13'!L18</f>
        <v>1338.72</v>
      </c>
      <c r="M19" s="522">
        <f>'FALL13 vs TYSP13'!M18</f>
        <v>0</v>
      </c>
      <c r="N19" s="522">
        <f>'FALL13 vs TYSP13'!N18</f>
        <v>25</v>
      </c>
      <c r="O19" s="522">
        <f>'FALL13 vs TYSP13'!O18</f>
        <v>11560.415987965031</v>
      </c>
      <c r="P19" s="524">
        <f>'FALL13 vs TYSP13'!P18</f>
        <v>-305</v>
      </c>
      <c r="Q19" s="592">
        <f>'FALL13 vs TYSP13'!Q18</f>
        <v>-1031</v>
      </c>
      <c r="R19" s="609">
        <f>'FALL13 vs TYSP13'!R18</f>
        <v>10224.415987965031</v>
      </c>
      <c r="S19" s="1406"/>
      <c r="T19" s="170">
        <f t="shared" si="0"/>
        <v>2023</v>
      </c>
      <c r="U19" s="381">
        <f>'FALL13 vs TYSP13'!T18</f>
        <v>13693</v>
      </c>
      <c r="V19" s="582">
        <f t="shared" si="1"/>
        <v>0.33924519660758867</v>
      </c>
      <c r="X19" s="320">
        <f>'FALL13 vs TYSP13'!W18</f>
        <v>45458815</v>
      </c>
      <c r="Y19" s="584">
        <f>X19/(O19*8760)</f>
        <v>0.44889063233751791</v>
      </c>
      <c r="Z19" s="988">
        <v>2023</v>
      </c>
      <c r="AA19" s="957">
        <f t="shared" si="7"/>
        <v>4.5014961672811049E-2</v>
      </c>
      <c r="AB19" s="960"/>
      <c r="AC19" s="957">
        <f t="shared" si="8"/>
        <v>5.1094268825717659E-3</v>
      </c>
      <c r="AD19" s="960"/>
      <c r="AE19" s="958">
        <f t="shared" si="2"/>
        <v>-1336</v>
      </c>
      <c r="AF19" s="959"/>
      <c r="AG19" s="958">
        <f t="shared" si="9"/>
        <v>-890</v>
      </c>
      <c r="AH19" s="960"/>
      <c r="AI19" s="958">
        <f t="shared" si="3"/>
        <v>8890.6959879650312</v>
      </c>
      <c r="AJ19" s="958">
        <f t="shared" si="4"/>
        <v>1333.72</v>
      </c>
      <c r="AK19" s="958">
        <f t="shared" si="5"/>
        <v>10224.415987965031</v>
      </c>
      <c r="AL19" s="961"/>
      <c r="AM19" s="958">
        <f t="shared" si="10"/>
        <v>9439.7106462656357</v>
      </c>
      <c r="AN19" s="958">
        <f t="shared" si="11"/>
        <v>732.7299999999999</v>
      </c>
      <c r="AO19" s="958">
        <f t="shared" si="6"/>
        <v>10172.440646265635</v>
      </c>
    </row>
    <row r="20" spans="1:41" s="28" customFormat="1">
      <c r="A20" s="169">
        <v>2024</v>
      </c>
      <c r="B20" s="522">
        <f>'FALL13 vs TYSP13'!B19</f>
        <v>10447</v>
      </c>
      <c r="C20" s="522">
        <f>'FALL13 vs TYSP13'!C19</f>
        <v>304</v>
      </c>
      <c r="D20" s="522">
        <f>'FALL13 vs TYSP13'!D19</f>
        <v>10751</v>
      </c>
      <c r="E20" s="592">
        <f>'FALL13 vs TYSP13'!E19</f>
        <v>-465.4395962377672</v>
      </c>
      <c r="F20" s="522">
        <f>'FALL13 vs TYSP13'!F19</f>
        <v>10285.560403762232</v>
      </c>
      <c r="G20" s="522"/>
      <c r="H20" s="605">
        <f>'FALL13 vs TYSP13'!H19</f>
        <v>1250</v>
      </c>
      <c r="I20" s="605">
        <f>'FALL13 vs TYSP13'!I19</f>
        <v>23.77</v>
      </c>
      <c r="J20" s="605">
        <f>'FALL13 vs TYSP13'!J19</f>
        <v>65.05</v>
      </c>
      <c r="K20" s="603">
        <f>'FALL13 vs TYSP13'!K19</f>
        <v>0</v>
      </c>
      <c r="L20" s="522">
        <f>'FALL13 vs TYSP13'!L19</f>
        <v>1338.82</v>
      </c>
      <c r="M20" s="522">
        <f>'FALL13 vs TYSP13'!M19</f>
        <v>0</v>
      </c>
      <c r="N20" s="522">
        <f>'FALL13 vs TYSP13'!N19</f>
        <v>25</v>
      </c>
      <c r="O20" s="522">
        <f>'FALL13 vs TYSP13'!O19</f>
        <v>11649.380403762232</v>
      </c>
      <c r="P20" s="524">
        <f>'FALL13 vs TYSP13'!P19</f>
        <v>-304</v>
      </c>
      <c r="Q20" s="592">
        <f>'FALL13 vs TYSP13'!Q19</f>
        <v>-1047</v>
      </c>
      <c r="R20" s="609">
        <f>'FALL13 vs TYSP13'!R19</f>
        <v>10298.380403762232</v>
      </c>
      <c r="S20" s="1406"/>
      <c r="T20" s="170">
        <f t="shared" si="0"/>
        <v>2024</v>
      </c>
      <c r="U20" s="381">
        <f>'FALL13 vs TYSP13'!T19</f>
        <v>13693</v>
      </c>
      <c r="V20" s="582">
        <f t="shared" si="1"/>
        <v>0.32962654933562519</v>
      </c>
      <c r="X20" s="320">
        <f>'FALL13 vs TYSP13'!W19</f>
        <v>46001731</v>
      </c>
      <c r="Y20" s="584">
        <f>X20/(O20*8784)</f>
        <v>0.44955105357969216</v>
      </c>
      <c r="Z20" s="988">
        <v>2024</v>
      </c>
      <c r="AA20" s="957">
        <f t="shared" si="7"/>
        <v>4.2479366286178211E-2</v>
      </c>
      <c r="AB20" s="960"/>
      <c r="AC20" s="957">
        <f t="shared" si="8"/>
        <v>2.1109540212209676E-3</v>
      </c>
      <c r="AD20" s="960"/>
      <c r="AE20" s="958">
        <f t="shared" si="2"/>
        <v>-1351</v>
      </c>
      <c r="AF20" s="959"/>
      <c r="AG20" s="958">
        <f t="shared" si="9"/>
        <v>-898</v>
      </c>
      <c r="AH20" s="960"/>
      <c r="AI20" s="958">
        <f t="shared" si="3"/>
        <v>8964.5604037622325</v>
      </c>
      <c r="AJ20" s="958">
        <f t="shared" si="4"/>
        <v>1333.82</v>
      </c>
      <c r="AK20" s="958">
        <f t="shared" si="5"/>
        <v>10298.380403762232</v>
      </c>
      <c r="AL20" s="961"/>
      <c r="AM20" s="958">
        <f t="shared" si="10"/>
        <v>9543.8267904570876</v>
      </c>
      <c r="AN20" s="958">
        <f t="shared" si="11"/>
        <v>732.8599999999999</v>
      </c>
      <c r="AO20" s="958">
        <f t="shared" si="6"/>
        <v>10276.686790457088</v>
      </c>
    </row>
    <row r="21" spans="1:41" s="28" customFormat="1">
      <c r="A21" s="169">
        <v>2025</v>
      </c>
      <c r="B21" s="522">
        <f>'FALL13 vs TYSP13'!B20</f>
        <v>10562</v>
      </c>
      <c r="C21" s="522">
        <f>'FALL13 vs TYSP13'!C20</f>
        <v>305</v>
      </c>
      <c r="D21" s="522">
        <f>'FALL13 vs TYSP13'!D20</f>
        <v>10867</v>
      </c>
      <c r="E21" s="592">
        <f>'FALL13 vs TYSP13'!E20</f>
        <v>-495.36469045922797</v>
      </c>
      <c r="F21" s="522">
        <f>'FALL13 vs TYSP13'!F20</f>
        <v>10371.635309540772</v>
      </c>
      <c r="G21" s="522"/>
      <c r="H21" s="605">
        <f>'FALL13 vs TYSP13'!H20</f>
        <v>1250</v>
      </c>
      <c r="I21" s="605">
        <f>'FALL13 vs TYSP13'!I20</f>
        <v>23.950000000000003</v>
      </c>
      <c r="J21" s="605">
        <f>'FALL13 vs TYSP13'!J20</f>
        <v>65.05</v>
      </c>
      <c r="K21" s="603">
        <f>'FALL13 vs TYSP13'!K20</f>
        <v>0</v>
      </c>
      <c r="L21" s="522">
        <f>'FALL13 vs TYSP13'!L20</f>
        <v>1339</v>
      </c>
      <c r="M21" s="522">
        <f>'FALL13 vs TYSP13'!M20</f>
        <v>0</v>
      </c>
      <c r="N21" s="522">
        <f>'FALL13 vs TYSP13'!N20</f>
        <v>25</v>
      </c>
      <c r="O21" s="522">
        <f>'FALL13 vs TYSP13'!O20</f>
        <v>11735.635309540772</v>
      </c>
      <c r="P21" s="524">
        <f>'FALL13 vs TYSP13'!P20</f>
        <v>-305</v>
      </c>
      <c r="Q21" s="592">
        <f>'FALL13 vs TYSP13'!Q20</f>
        <v>-1061</v>
      </c>
      <c r="R21" s="609">
        <f>'FALL13 vs TYSP13'!R20</f>
        <v>10369.635309540772</v>
      </c>
      <c r="S21" s="1406"/>
      <c r="T21" s="170">
        <f t="shared" si="0"/>
        <v>2025</v>
      </c>
      <c r="U21" s="381">
        <f>'FALL13 vs TYSP13'!T20</f>
        <v>13693</v>
      </c>
      <c r="V21" s="582">
        <f t="shared" si="1"/>
        <v>0.32049002604763799</v>
      </c>
      <c r="X21" s="320">
        <f>'FALL13 vs TYSP13'!W20</f>
        <v>46377403</v>
      </c>
      <c r="Y21" s="584">
        <f>X21/(O21*8760)</f>
        <v>0.45112377362765538</v>
      </c>
      <c r="Z21" s="988">
        <v>2025</v>
      </c>
      <c r="AA21" s="957">
        <f t="shared" si="7"/>
        <v>4.0191208830720138E-2</v>
      </c>
      <c r="AB21" s="960"/>
      <c r="AC21" s="957">
        <f t="shared" si="8"/>
        <v>-4.3908274887072274E-4</v>
      </c>
      <c r="AD21" s="960"/>
      <c r="AE21" s="958">
        <f t="shared" si="2"/>
        <v>-1366</v>
      </c>
      <c r="AF21" s="959"/>
      <c r="AG21" s="958">
        <f t="shared" si="9"/>
        <v>-908</v>
      </c>
      <c r="AH21" s="960"/>
      <c r="AI21" s="958">
        <f t="shared" si="3"/>
        <v>9035.6353095407721</v>
      </c>
      <c r="AJ21" s="958">
        <f t="shared" si="4"/>
        <v>1334</v>
      </c>
      <c r="AK21" s="958">
        <f t="shared" si="5"/>
        <v>10369.635309540772</v>
      </c>
      <c r="AL21" s="961"/>
      <c r="AM21" s="958">
        <f t="shared" si="10"/>
        <v>9641.19043759542</v>
      </c>
      <c r="AN21" s="958">
        <f t="shared" si="11"/>
        <v>733</v>
      </c>
      <c r="AO21" s="958">
        <f t="shared" si="6"/>
        <v>10374.19043759542</v>
      </c>
    </row>
    <row r="22" spans="1:41" s="28" customFormat="1">
      <c r="A22" s="169">
        <v>2026</v>
      </c>
      <c r="B22" s="522">
        <f>'FALL13 vs TYSP13'!B21</f>
        <v>10672</v>
      </c>
      <c r="C22" s="522">
        <f>'FALL13 vs TYSP13'!C21</f>
        <v>305</v>
      </c>
      <c r="D22" s="522">
        <f>'FALL13 vs TYSP13'!D21</f>
        <v>10977</v>
      </c>
      <c r="E22" s="592">
        <f>'FALL13 vs TYSP13'!E21</f>
        <v>-523.99936897181931</v>
      </c>
      <c r="F22" s="522">
        <f>'FALL13 vs TYSP13'!F21</f>
        <v>10453.000631028181</v>
      </c>
      <c r="G22" s="522"/>
      <c r="H22" s="605">
        <f>'FALL13 vs TYSP13'!H21</f>
        <v>1250</v>
      </c>
      <c r="I22" s="605">
        <f>'FALL13 vs TYSP13'!I21</f>
        <v>24.14</v>
      </c>
      <c r="J22" s="605">
        <f>'FALL13 vs TYSP13'!J21</f>
        <v>65.05</v>
      </c>
      <c r="K22" s="603">
        <f>'FALL13 vs TYSP13'!K21</f>
        <v>0</v>
      </c>
      <c r="L22" s="522">
        <f>'FALL13 vs TYSP13'!L21</f>
        <v>1339.19</v>
      </c>
      <c r="M22" s="522">
        <f>'FALL13 vs TYSP13'!M21</f>
        <v>0</v>
      </c>
      <c r="N22" s="522">
        <f>'FALL13 vs TYSP13'!N21</f>
        <v>25</v>
      </c>
      <c r="O22" s="522">
        <f>'FALL13 vs TYSP13'!O21</f>
        <v>11817.190631028181</v>
      </c>
      <c r="P22" s="524">
        <f>'FALL13 vs TYSP13'!P21</f>
        <v>-305</v>
      </c>
      <c r="Q22" s="592">
        <f>'FALL13 vs TYSP13'!Q21</f>
        <v>-1075</v>
      </c>
      <c r="R22" s="609">
        <f>'FALL13 vs TYSP13'!R21</f>
        <v>10437.190631028181</v>
      </c>
      <c r="S22" s="1406"/>
      <c r="T22" s="170">
        <f t="shared" si="0"/>
        <v>2026</v>
      </c>
      <c r="U22" s="381">
        <f>'FALL13 vs TYSP13'!T21</f>
        <v>13693</v>
      </c>
      <c r="V22" s="582">
        <f t="shared" si="1"/>
        <v>0.31194307779459285</v>
      </c>
      <c r="X22" s="320">
        <f>'FALL13 vs TYSP13'!W21</f>
        <v>46949423</v>
      </c>
      <c r="Y22" s="584">
        <f>X22/(O22*8760)</f>
        <v>0.45353615261512154</v>
      </c>
      <c r="Z22" s="988">
        <v>2026</v>
      </c>
      <c r="AA22" s="957">
        <f t="shared" si="7"/>
        <v>3.8207741346240276E-2</v>
      </c>
      <c r="AB22" s="960"/>
      <c r="AC22" s="957">
        <f t="shared" si="8"/>
        <v>-2.5905295587860255E-3</v>
      </c>
      <c r="AD22" s="960"/>
      <c r="AE22" s="958">
        <f t="shared" si="2"/>
        <v>-1380</v>
      </c>
      <c r="AF22" s="959"/>
      <c r="AG22" s="958">
        <f t="shared" si="9"/>
        <v>-918</v>
      </c>
      <c r="AH22" s="960"/>
      <c r="AI22" s="958">
        <f t="shared" si="3"/>
        <v>9103.0006310281806</v>
      </c>
      <c r="AJ22" s="958">
        <f t="shared" si="4"/>
        <v>1334.19</v>
      </c>
      <c r="AK22" s="958">
        <f t="shared" si="5"/>
        <v>10437.190631028181</v>
      </c>
      <c r="AL22" s="961"/>
      <c r="AM22" s="958">
        <f t="shared" si="10"/>
        <v>9731.1487061383996</v>
      </c>
      <c r="AN22" s="958">
        <f t="shared" si="11"/>
        <v>733.15</v>
      </c>
      <c r="AO22" s="958">
        <f t="shared" si="6"/>
        <v>10464.298706138399</v>
      </c>
    </row>
    <row r="23" spans="1:41" s="28" customFormat="1">
      <c r="A23" s="169">
        <v>2027</v>
      </c>
      <c r="B23" s="522">
        <f>'FALL13 vs TYSP13'!B22</f>
        <v>10777</v>
      </c>
      <c r="C23" s="522">
        <f>'FALL13 vs TYSP13'!C22</f>
        <v>305</v>
      </c>
      <c r="D23" s="522">
        <f>'FALL13 vs TYSP13'!D22</f>
        <v>11082</v>
      </c>
      <c r="E23" s="592">
        <f>'FALL13 vs TYSP13'!E22</f>
        <v>-551.61282924684144</v>
      </c>
      <c r="F23" s="522">
        <f>'FALL13 vs TYSP13'!F22</f>
        <v>10530.387170753158</v>
      </c>
      <c r="G23" s="522"/>
      <c r="H23" s="605">
        <f>'FALL13 vs TYSP13'!H22</f>
        <v>1250</v>
      </c>
      <c r="I23" s="605">
        <f>'FALL13 vs TYSP13'!I22</f>
        <v>24.330000000000002</v>
      </c>
      <c r="J23" s="605">
        <f>'FALL13 vs TYSP13'!J22</f>
        <v>65.05</v>
      </c>
      <c r="K23" s="603">
        <f>'FALL13 vs TYSP13'!K22</f>
        <v>0</v>
      </c>
      <c r="L23" s="522">
        <f>'FALL13 vs TYSP13'!L22</f>
        <v>1339.3799999999999</v>
      </c>
      <c r="M23" s="522">
        <f>'FALL13 vs TYSP13'!M22</f>
        <v>0</v>
      </c>
      <c r="N23" s="522">
        <f>'FALL13 vs TYSP13'!N22</f>
        <v>25</v>
      </c>
      <c r="O23" s="522">
        <f>'FALL13 vs TYSP13'!O22</f>
        <v>11894.767170753157</v>
      </c>
      <c r="P23" s="524">
        <f>'FALL13 vs TYSP13'!P22</f>
        <v>-305</v>
      </c>
      <c r="Q23" s="592">
        <f>'FALL13 vs TYSP13'!Q22</f>
        <v>-1089</v>
      </c>
      <c r="R23" s="609">
        <f>'FALL13 vs TYSP13'!R22</f>
        <v>10500.767170753157</v>
      </c>
      <c r="S23" s="1406"/>
      <c r="T23" s="170"/>
      <c r="U23" s="524"/>
      <c r="V23" s="583"/>
      <c r="X23" s="320"/>
      <c r="Y23" s="584"/>
      <c r="Z23" s="988">
        <v>2027</v>
      </c>
      <c r="AA23" s="957">
        <f t="shared" si="7"/>
        <v>3.596010323047083E-2</v>
      </c>
      <c r="AB23" s="960"/>
      <c r="AC23" s="957">
        <f t="shared" si="8"/>
        <v>-5.1265865525534915E-3</v>
      </c>
      <c r="AD23" s="960"/>
      <c r="AE23" s="958">
        <f t="shared" si="2"/>
        <v>-1394</v>
      </c>
      <c r="AF23" s="959"/>
      <c r="AG23" s="958">
        <f t="shared" si="9"/>
        <v>-927</v>
      </c>
      <c r="AH23" s="960"/>
      <c r="AI23" s="958">
        <f t="shared" si="3"/>
        <v>9166.387170753158</v>
      </c>
      <c r="AJ23" s="958">
        <f t="shared" si="4"/>
        <v>1334.3799999999999</v>
      </c>
      <c r="AK23" s="958">
        <f t="shared" si="5"/>
        <v>10500.767170753157</v>
      </c>
      <c r="AL23" s="961"/>
      <c r="AM23" s="958">
        <f t="shared" si="10"/>
        <v>9821.5976646526124</v>
      </c>
      <c r="AN23" s="958">
        <f t="shared" si="11"/>
        <v>733.28</v>
      </c>
      <c r="AO23" s="958">
        <f t="shared" si="6"/>
        <v>10554.877664652613</v>
      </c>
    </row>
    <row r="24" spans="1:41" s="28" customFormat="1">
      <c r="A24" s="169">
        <v>2028</v>
      </c>
      <c r="B24" s="522">
        <f>'FALL13 vs TYSP13'!B23</f>
        <v>10881</v>
      </c>
      <c r="C24" s="522">
        <f>'FALL13 vs TYSP13'!C23</f>
        <v>304</v>
      </c>
      <c r="D24" s="522">
        <f>'FALL13 vs TYSP13'!D23</f>
        <v>11185</v>
      </c>
      <c r="E24" s="592">
        <f>'FALL13 vs TYSP13'!E23</f>
        <v>-578.36118098466602</v>
      </c>
      <c r="F24" s="522">
        <f>'FALL13 vs TYSP13'!F23</f>
        <v>10606.638819015334</v>
      </c>
      <c r="G24" s="522"/>
      <c r="H24" s="605">
        <f>'FALL13 vs TYSP13'!H23</f>
        <v>1250</v>
      </c>
      <c r="I24" s="605">
        <f>'FALL13 vs TYSP13'!I23</f>
        <v>24.52</v>
      </c>
      <c r="J24" s="605">
        <f>'FALL13 vs TYSP13'!J23</f>
        <v>65.05</v>
      </c>
      <c r="K24" s="603">
        <f>'FALL13 vs TYSP13'!K23</f>
        <v>0</v>
      </c>
      <c r="L24" s="522">
        <f>'FALL13 vs TYSP13'!L23</f>
        <v>1339.57</v>
      </c>
      <c r="M24" s="522">
        <f>'FALL13 vs TYSP13'!M23</f>
        <v>0</v>
      </c>
      <c r="N24" s="522">
        <f>'FALL13 vs TYSP13'!N23</f>
        <v>25</v>
      </c>
      <c r="O24" s="522">
        <f>'FALL13 vs TYSP13'!O23</f>
        <v>11971.208819015334</v>
      </c>
      <c r="P24" s="524">
        <f>'FALL13 vs TYSP13'!P23</f>
        <v>-304</v>
      </c>
      <c r="Q24" s="592">
        <f>'FALL13 vs TYSP13'!Q23</f>
        <v>-1104</v>
      </c>
      <c r="R24" s="609">
        <f>'FALL13 vs TYSP13'!R23</f>
        <v>10563.208819015334</v>
      </c>
      <c r="S24" s="1406"/>
      <c r="T24" s="170"/>
      <c r="U24" s="524"/>
      <c r="V24" s="583"/>
      <c r="X24" s="320"/>
      <c r="Y24" s="584"/>
      <c r="Z24" s="988">
        <v>2028</v>
      </c>
      <c r="AA24" s="957">
        <f t="shared" si="7"/>
        <v>3.3980789155338087E-2</v>
      </c>
      <c r="AB24" s="960"/>
      <c r="AC24" s="957">
        <f t="shared" si="8"/>
        <v>-7.4771469084085052E-3</v>
      </c>
      <c r="AD24" s="960"/>
      <c r="AE24" s="958">
        <f t="shared" si="2"/>
        <v>-1408</v>
      </c>
      <c r="AF24" s="959"/>
      <c r="AG24" s="958">
        <f t="shared" si="9"/>
        <v>-935</v>
      </c>
      <c r="AH24" s="960"/>
      <c r="AI24" s="958">
        <f t="shared" si="3"/>
        <v>9228.6388190153339</v>
      </c>
      <c r="AJ24" s="958">
        <f t="shared" si="4"/>
        <v>1334.57</v>
      </c>
      <c r="AK24" s="958">
        <f t="shared" si="5"/>
        <v>10563.208819015334</v>
      </c>
      <c r="AL24" s="961"/>
      <c r="AM24" s="958">
        <f t="shared" si="10"/>
        <v>9909.4564971694963</v>
      </c>
      <c r="AN24" s="958">
        <f t="shared" si="11"/>
        <v>733.32999999999993</v>
      </c>
      <c r="AO24" s="958">
        <f t="shared" si="6"/>
        <v>10642.786497169496</v>
      </c>
    </row>
    <row r="25" spans="1:41" s="28" customFormat="1">
      <c r="A25" s="169">
        <v>2029</v>
      </c>
      <c r="B25" s="522">
        <f>'FALL13 vs TYSP13'!B24</f>
        <v>10982</v>
      </c>
      <c r="C25" s="522">
        <f>'FALL13 vs TYSP13'!C24</f>
        <v>305</v>
      </c>
      <c r="D25" s="522">
        <f>'FALL13 vs TYSP13'!D24</f>
        <v>11287</v>
      </c>
      <c r="E25" s="592">
        <f>'FALL13 vs TYSP13'!E24</f>
        <v>-604.4282083956117</v>
      </c>
      <c r="F25" s="522">
        <f>'FALL13 vs TYSP13'!F24</f>
        <v>10682.571791604389</v>
      </c>
      <c r="G25" s="522"/>
      <c r="H25" s="605">
        <f>'FALL13 vs TYSP13'!H24</f>
        <v>1250</v>
      </c>
      <c r="I25" s="605">
        <f>'FALL13 vs TYSP13'!I24</f>
        <v>24.71</v>
      </c>
      <c r="J25" s="605">
        <f>'FALL13 vs TYSP13'!J24</f>
        <v>65.05</v>
      </c>
      <c r="K25" s="603">
        <f>'FALL13 vs TYSP13'!K24</f>
        <v>0</v>
      </c>
      <c r="L25" s="522">
        <f>'FALL13 vs TYSP13'!L24</f>
        <v>1339.76</v>
      </c>
      <c r="M25" s="522">
        <f>'FALL13 vs TYSP13'!M24</f>
        <v>0</v>
      </c>
      <c r="N25" s="522">
        <f>'FALL13 vs TYSP13'!N24</f>
        <v>25</v>
      </c>
      <c r="O25" s="522">
        <f>'FALL13 vs TYSP13'!O24</f>
        <v>12047.331791604389</v>
      </c>
      <c r="P25" s="524">
        <f>'FALL13 vs TYSP13'!P24</f>
        <v>-305</v>
      </c>
      <c r="Q25" s="592">
        <f>'FALL13 vs TYSP13'!Q24</f>
        <v>-1118</v>
      </c>
      <c r="R25" s="609">
        <f>'FALL13 vs TYSP13'!R24</f>
        <v>10624.331791604389</v>
      </c>
      <c r="S25" s="1406"/>
      <c r="T25" s="170"/>
      <c r="U25" s="524"/>
      <c r="V25" s="583"/>
      <c r="X25" s="320"/>
      <c r="Y25" s="584"/>
      <c r="Z25" s="988">
        <v>2029</v>
      </c>
      <c r="AA25" s="957">
        <f t="shared" si="7"/>
        <v>3.2054165920656574E-2</v>
      </c>
      <c r="AB25" s="960"/>
      <c r="AC25" s="957">
        <f t="shared" si="8"/>
        <v>-9.6779557613110301E-3</v>
      </c>
      <c r="AD25" s="960"/>
      <c r="AE25" s="958">
        <f t="shared" si="2"/>
        <v>-1423</v>
      </c>
      <c r="AF25" s="959"/>
      <c r="AG25" s="958">
        <f t="shared" si="9"/>
        <v>-945</v>
      </c>
      <c r="AH25" s="960"/>
      <c r="AI25" s="958">
        <f t="shared" si="3"/>
        <v>9289.5717916043886</v>
      </c>
      <c r="AJ25" s="958">
        <f t="shared" si="4"/>
        <v>1334.76</v>
      </c>
      <c r="AK25" s="958">
        <f t="shared" si="5"/>
        <v>10624.331791604389</v>
      </c>
      <c r="AL25" s="961"/>
      <c r="AM25" s="958">
        <f t="shared" si="10"/>
        <v>9994.6884343321926</v>
      </c>
      <c r="AN25" s="958">
        <f t="shared" si="11"/>
        <v>733.46999999999991</v>
      </c>
      <c r="AO25" s="958">
        <f t="shared" si="6"/>
        <v>10728.158434332192</v>
      </c>
    </row>
    <row r="26" spans="1:41" s="28" customFormat="1">
      <c r="A26" s="168">
        <v>2030</v>
      </c>
      <c r="B26" s="523">
        <f>'FALL13 vs TYSP13'!B25</f>
        <v>11079</v>
      </c>
      <c r="C26" s="523">
        <f>'FALL13 vs TYSP13'!C25</f>
        <v>305</v>
      </c>
      <c r="D26" s="523">
        <f>'FALL13 vs TYSP13'!D25</f>
        <v>11384</v>
      </c>
      <c r="E26" s="598">
        <f>'FALL13 vs TYSP13'!E25</f>
        <v>-629.76289558402357</v>
      </c>
      <c r="F26" s="523">
        <f>'FALL13 vs TYSP13'!F25</f>
        <v>10754.237104415977</v>
      </c>
      <c r="G26" s="523"/>
      <c r="H26" s="606">
        <f>'FALL13 vs TYSP13'!H25</f>
        <v>1250</v>
      </c>
      <c r="I26" s="606">
        <f>'FALL13 vs TYSP13'!I25</f>
        <v>24.810000000000002</v>
      </c>
      <c r="J26" s="606">
        <f>'FALL13 vs TYSP13'!J25</f>
        <v>65.05</v>
      </c>
      <c r="K26" s="604">
        <f>'FALL13 vs TYSP13'!K25</f>
        <v>0</v>
      </c>
      <c r="L26" s="523">
        <f>'FALL13 vs TYSP13'!L25</f>
        <v>1339.86</v>
      </c>
      <c r="M26" s="523">
        <f>'FALL13 vs TYSP13'!M25</f>
        <v>0</v>
      </c>
      <c r="N26" s="523">
        <f>'FALL13 vs TYSP13'!N25</f>
        <v>25</v>
      </c>
      <c r="O26" s="523">
        <f>'FALL13 vs TYSP13'!O25</f>
        <v>12119.097104415978</v>
      </c>
      <c r="P26" s="525">
        <f>'FALL13 vs TYSP13'!P25</f>
        <v>-305</v>
      </c>
      <c r="Q26" s="598">
        <f>'FALL13 vs TYSP13'!Q25</f>
        <v>-1131</v>
      </c>
      <c r="R26" s="610">
        <f>'FALL13 vs TYSP13'!R25</f>
        <v>10683.097104415978</v>
      </c>
      <c r="S26" s="1406"/>
      <c r="T26" s="170"/>
      <c r="U26" s="524"/>
      <c r="V26" s="583"/>
      <c r="X26" s="320"/>
      <c r="Y26" s="584"/>
      <c r="Z26" s="988">
        <v>2030</v>
      </c>
      <c r="AA26" s="957">
        <f t="shared" si="7"/>
        <v>3.0368890511861091E-2</v>
      </c>
      <c r="AB26" s="960"/>
      <c r="AC26" s="957">
        <f t="shared" si="8"/>
        <v>-1.1547488021949714E-2</v>
      </c>
      <c r="AD26" s="960"/>
      <c r="AE26" s="958">
        <f t="shared" si="2"/>
        <v>-1436</v>
      </c>
      <c r="AF26" s="959"/>
      <c r="AG26" s="958">
        <f t="shared" si="9"/>
        <v>-954</v>
      </c>
      <c r="AH26" s="960"/>
      <c r="AI26" s="958">
        <f t="shared" si="3"/>
        <v>9348.2371044159772</v>
      </c>
      <c r="AJ26" s="958">
        <f t="shared" si="4"/>
        <v>1334.86</v>
      </c>
      <c r="AK26" s="958">
        <f t="shared" si="5"/>
        <v>10683.097104415978</v>
      </c>
      <c r="AL26" s="961"/>
      <c r="AM26" s="958">
        <f t="shared" si="10"/>
        <v>10074.30121422971</v>
      </c>
      <c r="AN26" s="958">
        <f t="shared" si="11"/>
        <v>733.59999999999991</v>
      </c>
      <c r="AO26" s="958">
        <f t="shared" si="6"/>
        <v>10807.901214229711</v>
      </c>
    </row>
    <row r="27" spans="1:41" s="28" customFormat="1">
      <c r="A27" s="170"/>
      <c r="B27" s="1405" t="s">
        <v>625</v>
      </c>
      <c r="C27" s="1397"/>
      <c r="D27" s="1397"/>
      <c r="E27" s="1397"/>
      <c r="F27" s="190"/>
      <c r="G27" s="190"/>
      <c r="H27" s="529"/>
      <c r="I27" s="529"/>
      <c r="J27" s="529"/>
      <c r="K27" s="439"/>
      <c r="L27" s="190"/>
      <c r="M27" s="190"/>
      <c r="N27" s="522"/>
      <c r="O27" s="190"/>
      <c r="P27" s="171"/>
      <c r="Q27" s="190"/>
      <c r="R27" s="190"/>
      <c r="S27" s="190"/>
      <c r="T27" s="170"/>
      <c r="U27" s="524"/>
      <c r="V27" s="583"/>
      <c r="X27" s="320"/>
      <c r="Y27" s="584"/>
      <c r="AA27" s="960"/>
      <c r="AB27" s="960"/>
      <c r="AC27" s="960"/>
      <c r="AD27" s="960"/>
      <c r="AE27" s="960"/>
      <c r="AF27" s="960"/>
      <c r="AG27" s="960"/>
      <c r="AH27" s="960"/>
      <c r="AI27" s="960"/>
      <c r="AJ27" s="960"/>
      <c r="AK27" s="960"/>
      <c r="AL27" s="960"/>
      <c r="AM27" s="960"/>
      <c r="AN27" s="960"/>
      <c r="AO27" s="960"/>
    </row>
    <row r="28" spans="1:41" ht="13.5" thickBot="1">
      <c r="A28" s="1666" t="s">
        <v>623</v>
      </c>
      <c r="B28" s="1660"/>
      <c r="C28" s="1660"/>
      <c r="D28" s="1660"/>
      <c r="E28" s="1660"/>
      <c r="F28" s="1660"/>
      <c r="G28" s="1660"/>
      <c r="H28" s="1660"/>
      <c r="I28" s="1660"/>
      <c r="J28" s="1660"/>
      <c r="K28" s="1660"/>
      <c r="L28" s="1660"/>
      <c r="M28" s="1660"/>
      <c r="N28" s="1660"/>
      <c r="O28" s="1660"/>
      <c r="P28" s="1660"/>
      <c r="Q28" s="1660"/>
      <c r="R28" s="1661"/>
      <c r="S28" s="190"/>
      <c r="T28" s="28"/>
      <c r="AH28" s="889" t="s">
        <v>431</v>
      </c>
      <c r="AI28" s="331" t="e">
        <f>(AI15/AI8)^(0.1)-1</f>
        <v>#REF!</v>
      </c>
      <c r="AJ28" s="331" t="e">
        <f>(AJ15/AJ8)^(0.1)-1</f>
        <v>#REF!</v>
      </c>
      <c r="AK28" s="331" t="e">
        <f>(AK15/AK8)^(0.1)-1</f>
        <v>#REF!</v>
      </c>
      <c r="AM28" s="331" t="e">
        <f>(AM15/AM8)^(0.1)-1</f>
        <v>#REF!</v>
      </c>
      <c r="AN28" s="331" t="e">
        <f>(AN15/AN8)^(0.1)-1</f>
        <v>#REF!</v>
      </c>
      <c r="AO28" s="331" t="e">
        <f>(AO15/AO8)^(0.1)-1</f>
        <v>#REF!</v>
      </c>
    </row>
    <row r="29" spans="1:41" ht="13.5" thickBot="1">
      <c r="A29" s="166"/>
      <c r="B29" s="520" t="s">
        <v>116</v>
      </c>
      <c r="C29" s="520"/>
      <c r="D29" s="520"/>
      <c r="F29" s="520" t="s">
        <v>21</v>
      </c>
      <c r="G29" s="520"/>
      <c r="H29" s="520"/>
      <c r="I29" s="520"/>
      <c r="J29" s="520"/>
      <c r="K29" s="520"/>
      <c r="L29" s="520"/>
      <c r="M29" s="520"/>
      <c r="N29" s="520"/>
      <c r="O29" s="520" t="str">
        <f>F29</f>
        <v>Total</v>
      </c>
      <c r="P29" s="520"/>
      <c r="Q29" s="520"/>
      <c r="R29" s="612"/>
      <c r="S29" s="190"/>
      <c r="T29" s="28"/>
      <c r="U29" s="1647" t="s">
        <v>262</v>
      </c>
      <c r="V29" s="1662"/>
      <c r="W29" s="1662"/>
      <c r="X29" s="1662"/>
      <c r="Y29" s="1663"/>
      <c r="Z29" s="866"/>
      <c r="AA29" s="866"/>
      <c r="AB29" s="866"/>
      <c r="AC29" s="866"/>
    </row>
    <row r="30" spans="1:41">
      <c r="A30" s="167"/>
      <c r="B30" s="170" t="s">
        <v>117</v>
      </c>
      <c r="C30" s="170"/>
      <c r="D30" s="170" t="s">
        <v>120</v>
      </c>
      <c r="E30" s="28"/>
      <c r="F30" s="170" t="s">
        <v>118</v>
      </c>
      <c r="G30" s="170"/>
      <c r="H30" s="1632" t="s">
        <v>123</v>
      </c>
      <c r="I30" s="1633"/>
      <c r="J30" s="1633"/>
      <c r="K30" s="1633"/>
      <c r="L30" s="1634"/>
      <c r="M30" s="170"/>
      <c r="N30" s="521"/>
      <c r="O30" s="170" t="s">
        <v>125</v>
      </c>
      <c r="P30" s="170"/>
      <c r="Q30" s="170"/>
      <c r="R30" s="613" t="s">
        <v>21</v>
      </c>
      <c r="S30" s="190"/>
      <c r="T30" s="28"/>
      <c r="U30" s="890" t="str">
        <f>'FALL13 vs TYSP13'!T29</f>
        <v>TYSP13</v>
      </c>
      <c r="AA30" s="866"/>
      <c r="AB30" s="866"/>
      <c r="AC30" s="866"/>
    </row>
    <row r="31" spans="1:41">
      <c r="A31" s="167"/>
      <c r="B31" s="170" t="s">
        <v>118</v>
      </c>
      <c r="C31" s="170" t="s">
        <v>118</v>
      </c>
      <c r="D31" s="170" t="s">
        <v>21</v>
      </c>
      <c r="E31" s="591" t="s">
        <v>121</v>
      </c>
      <c r="F31" s="170" t="s">
        <v>122</v>
      </c>
      <c r="G31" s="170"/>
      <c r="H31" s="520" t="s">
        <v>21</v>
      </c>
      <c r="I31" s="520" t="s">
        <v>288</v>
      </c>
      <c r="J31" s="520"/>
      <c r="K31" s="706" t="s">
        <v>349</v>
      </c>
      <c r="L31" s="520"/>
      <c r="M31" s="170"/>
      <c r="N31" s="170" t="s">
        <v>264</v>
      </c>
      <c r="O31" s="170" t="str">
        <f>F31</f>
        <v>before</v>
      </c>
      <c r="P31" s="170" t="s">
        <v>21</v>
      </c>
      <c r="Q31" s="521" t="s">
        <v>147</v>
      </c>
      <c r="R31" s="613" t="s">
        <v>125</v>
      </c>
      <c r="S31" s="190"/>
      <c r="T31" s="28"/>
      <c r="U31" s="1399" t="s">
        <v>222</v>
      </c>
      <c r="W31" s="1399"/>
      <c r="Y31" s="1399" t="s">
        <v>352</v>
      </c>
      <c r="AA31" s="866"/>
      <c r="AB31" s="866"/>
      <c r="AC31" s="866"/>
    </row>
    <row r="32" spans="1:41">
      <c r="A32" s="168" t="s">
        <v>126</v>
      </c>
      <c r="B32" s="519" t="s">
        <v>119</v>
      </c>
      <c r="C32" s="519" t="s">
        <v>66</v>
      </c>
      <c r="D32" s="519" t="s">
        <v>118</v>
      </c>
      <c r="E32" s="731" t="s">
        <v>59</v>
      </c>
      <c r="F32" s="519" t="s">
        <v>62</v>
      </c>
      <c r="G32" s="519"/>
      <c r="H32" s="586" t="s">
        <v>154</v>
      </c>
      <c r="I32" s="586" t="s">
        <v>286</v>
      </c>
      <c r="J32" s="519" t="s">
        <v>287</v>
      </c>
      <c r="K32" s="705" t="s">
        <v>117</v>
      </c>
      <c r="L32" s="519" t="s">
        <v>0</v>
      </c>
      <c r="M32" s="519"/>
      <c r="N32" s="519" t="s">
        <v>124</v>
      </c>
      <c r="O32" s="519" t="str">
        <f>F32</f>
        <v>DLC</v>
      </c>
      <c r="P32" s="519" t="s">
        <v>66</v>
      </c>
      <c r="Q32" s="519" t="s">
        <v>131</v>
      </c>
      <c r="R32" s="614" t="s">
        <v>117</v>
      </c>
      <c r="S32" s="190"/>
      <c r="T32" s="448" t="s">
        <v>126</v>
      </c>
      <c r="U32" s="445" t="s">
        <v>221</v>
      </c>
      <c r="V32" s="446" t="s">
        <v>223</v>
      </c>
      <c r="W32" s="445"/>
      <c r="X32" s="447" t="s">
        <v>219</v>
      </c>
      <c r="Y32" s="446" t="s">
        <v>220</v>
      </c>
      <c r="AA32" s="866"/>
      <c r="AB32" s="866"/>
      <c r="AC32" s="866"/>
    </row>
    <row r="33" spans="1:29" ht="12.75" hidden="1" customHeight="1">
      <c r="A33" s="169">
        <f>A8</f>
        <v>2009</v>
      </c>
      <c r="B33" s="524">
        <v>9474</v>
      </c>
      <c r="C33" s="524">
        <v>230</v>
      </c>
      <c r="D33" s="524">
        <v>9704</v>
      </c>
      <c r="E33" s="524">
        <v>-670</v>
      </c>
      <c r="F33" s="522">
        <v>9034</v>
      </c>
      <c r="G33" s="170"/>
      <c r="H33" s="524">
        <v>1471</v>
      </c>
      <c r="I33" s="524">
        <v>241.4</v>
      </c>
      <c r="J33" s="524">
        <v>511.45405847474956</v>
      </c>
      <c r="K33" s="524">
        <v>15.506031486403598</v>
      </c>
      <c r="L33" s="524">
        <v>2239.3600899611533</v>
      </c>
      <c r="M33" s="170"/>
      <c r="N33" s="524">
        <v>25</v>
      </c>
      <c r="O33" s="522">
        <v>11298.360089961154</v>
      </c>
      <c r="P33" s="524">
        <v>-245.5060314864036</v>
      </c>
      <c r="Q33" s="524">
        <v>-1018.25</v>
      </c>
      <c r="R33" s="609">
        <v>10034.60405847475</v>
      </c>
      <c r="S33" s="190"/>
      <c r="T33" s="170">
        <f t="shared" ref="T33:T46" si="12">A33</f>
        <v>2009</v>
      </c>
      <c r="U33" s="381" t="e">
        <f>'FALL13 vs TYSP13'!#REF!</f>
        <v>#REF!</v>
      </c>
      <c r="V33" s="582" t="e">
        <f t="shared" ref="V33:V46" si="13">U33/R86-1</f>
        <v>#REF!</v>
      </c>
      <c r="X33" s="320" t="e">
        <f t="shared" ref="X33:X46" si="14">X8</f>
        <v>#REF!</v>
      </c>
      <c r="Y33" s="219" t="e">
        <f>X33/(O86*8760)</f>
        <v>#REF!</v>
      </c>
      <c r="AA33" s="866"/>
      <c r="AB33" s="866"/>
      <c r="AC33" s="866"/>
    </row>
    <row r="34" spans="1:29" hidden="1">
      <c r="A34" s="169">
        <v>2013</v>
      </c>
      <c r="B34" s="1401">
        <v>9911</v>
      </c>
      <c r="C34" s="524">
        <v>234</v>
      </c>
      <c r="D34" s="1401">
        <v>10145</v>
      </c>
      <c r="E34" s="1401">
        <v>-959.62592803261998</v>
      </c>
      <c r="F34" s="522">
        <v>9185.3740719673806</v>
      </c>
      <c r="G34" s="170"/>
      <c r="H34" s="524">
        <v>600</v>
      </c>
      <c r="I34" s="524">
        <v>45.634999999999998</v>
      </c>
      <c r="J34" s="524">
        <v>236.083</v>
      </c>
      <c r="K34" s="524">
        <v>15.010999999999999</v>
      </c>
      <c r="L34" s="524">
        <v>896.72899999999993</v>
      </c>
      <c r="M34" s="170"/>
      <c r="N34" s="524">
        <v>25</v>
      </c>
      <c r="O34" s="522">
        <v>10107.10307196738</v>
      </c>
      <c r="P34" s="524">
        <v>-249.011</v>
      </c>
      <c r="Q34" s="524">
        <v>-869</v>
      </c>
      <c r="R34" s="609">
        <v>8989.0920719673795</v>
      </c>
      <c r="S34" s="190"/>
      <c r="T34" s="170">
        <f t="shared" si="12"/>
        <v>2013</v>
      </c>
      <c r="U34" s="381">
        <f>'FALL13 vs TYSP13'!T32</f>
        <v>11903</v>
      </c>
      <c r="V34" s="582">
        <f t="shared" si="13"/>
        <v>0.36379520729618409</v>
      </c>
      <c r="W34" s="28"/>
      <c r="X34" s="171">
        <f t="shared" si="14"/>
        <v>40270133</v>
      </c>
      <c r="Y34" s="219">
        <f>X34/(O87*8760)</f>
        <v>0.48827567761163959</v>
      </c>
      <c r="AA34" s="866"/>
      <c r="AB34" s="866"/>
      <c r="AC34" s="866"/>
    </row>
    <row r="35" spans="1:29">
      <c r="A35" s="169">
        <v>2014</v>
      </c>
      <c r="B35" s="1401">
        <v>10060</v>
      </c>
      <c r="C35" s="524">
        <v>236</v>
      </c>
      <c r="D35" s="1401">
        <v>10296</v>
      </c>
      <c r="E35" s="1401">
        <v>-1025.20151405762</v>
      </c>
      <c r="F35" s="522">
        <v>9270.7984859423796</v>
      </c>
      <c r="G35" s="170"/>
      <c r="H35" s="524">
        <v>650</v>
      </c>
      <c r="I35" s="524">
        <v>45.86</v>
      </c>
      <c r="J35" s="524">
        <v>178.047</v>
      </c>
      <c r="K35" s="524">
        <v>15.010999999999999</v>
      </c>
      <c r="L35" s="524">
        <v>888.91800000000001</v>
      </c>
      <c r="M35" s="170"/>
      <c r="N35" s="524">
        <v>25</v>
      </c>
      <c r="O35" s="522">
        <v>10184.716485942379</v>
      </c>
      <c r="P35" s="524">
        <v>-251.011</v>
      </c>
      <c r="Q35" s="524">
        <v>-883</v>
      </c>
      <c r="R35" s="609">
        <v>9050.7054859423788</v>
      </c>
      <c r="S35" s="190"/>
      <c r="T35" s="170">
        <f t="shared" si="12"/>
        <v>2014</v>
      </c>
      <c r="U35" s="381">
        <f>'FALL13 vs TYSP13'!T33</f>
        <v>10960</v>
      </c>
      <c r="V35" s="582">
        <f t="shared" si="13"/>
        <v>0.24377393169410522</v>
      </c>
      <c r="W35" s="170"/>
      <c r="X35" s="171">
        <f t="shared" si="14"/>
        <v>39801314</v>
      </c>
      <c r="Y35" s="219">
        <f>X35/(O88*8760)</f>
        <v>0.47781903445345747</v>
      </c>
      <c r="AA35" s="866"/>
      <c r="AB35" s="866"/>
      <c r="AC35" s="866"/>
    </row>
    <row r="36" spans="1:29">
      <c r="A36" s="169">
        <v>2015</v>
      </c>
      <c r="B36" s="1401">
        <v>10248</v>
      </c>
      <c r="C36" s="524">
        <v>239</v>
      </c>
      <c r="D36" s="1401">
        <v>10487</v>
      </c>
      <c r="E36" s="1401">
        <v>-1082.7281900181699</v>
      </c>
      <c r="F36" s="522">
        <v>9404.2718099818303</v>
      </c>
      <c r="G36" s="170"/>
      <c r="H36" s="524">
        <v>1150</v>
      </c>
      <c r="I36" s="524">
        <v>45.994</v>
      </c>
      <c r="J36" s="524">
        <v>180.047</v>
      </c>
      <c r="K36" s="524">
        <v>15.010999999999999</v>
      </c>
      <c r="L36" s="524">
        <v>1391.0519999999999</v>
      </c>
      <c r="M36" s="170"/>
      <c r="N36" s="524">
        <v>25</v>
      </c>
      <c r="O36" s="522">
        <v>10820.32380998183</v>
      </c>
      <c r="P36" s="524">
        <v>-254.011</v>
      </c>
      <c r="Q36" s="524">
        <v>-897</v>
      </c>
      <c r="R36" s="609">
        <v>9669.3128099818296</v>
      </c>
      <c r="S36" s="190"/>
      <c r="T36" s="170">
        <f t="shared" si="12"/>
        <v>2015</v>
      </c>
      <c r="U36" s="381">
        <f>'FALL13 vs TYSP13'!T34</f>
        <v>11000</v>
      </c>
      <c r="V36" s="582">
        <f t="shared" si="13"/>
        <v>0.21657165395255862</v>
      </c>
      <c r="W36" s="170"/>
      <c r="X36" s="171">
        <f t="shared" si="14"/>
        <v>40489597</v>
      </c>
      <c r="Y36" s="219">
        <f>X36/(O89*8760)</f>
        <v>0.47407117801498899</v>
      </c>
      <c r="AA36" s="866"/>
      <c r="AB36" s="866"/>
      <c r="AC36" s="866"/>
    </row>
    <row r="37" spans="1:29">
      <c r="A37" s="169">
        <v>2016</v>
      </c>
      <c r="B37" s="1401">
        <v>10441</v>
      </c>
      <c r="C37" s="524">
        <v>238</v>
      </c>
      <c r="D37" s="1401">
        <v>10679</v>
      </c>
      <c r="E37" s="1401">
        <v>-1132.0768821806926</v>
      </c>
      <c r="F37" s="522">
        <v>9546.9231178193077</v>
      </c>
      <c r="G37" s="170"/>
      <c r="H37" s="524">
        <v>1150</v>
      </c>
      <c r="I37" s="524">
        <v>46.219000000000001</v>
      </c>
      <c r="J37" s="524">
        <v>182.047</v>
      </c>
      <c r="K37" s="524">
        <v>15.010999999999999</v>
      </c>
      <c r="L37" s="524">
        <v>1393.277</v>
      </c>
      <c r="M37" s="170"/>
      <c r="N37" s="524">
        <v>25</v>
      </c>
      <c r="O37" s="522">
        <v>10965.200117819308</v>
      </c>
      <c r="P37" s="524">
        <v>-253.011</v>
      </c>
      <c r="Q37" s="524">
        <v>-910</v>
      </c>
      <c r="R37" s="609">
        <v>9802.1891178193073</v>
      </c>
      <c r="S37" s="190"/>
      <c r="T37" s="170">
        <f t="shared" si="12"/>
        <v>2016</v>
      </c>
      <c r="U37" s="381">
        <f>'FALL13 vs TYSP13'!T35</f>
        <v>11415</v>
      </c>
      <c r="V37" s="582">
        <f t="shared" si="13"/>
        <v>0.2477093014290328</v>
      </c>
      <c r="W37" s="170"/>
      <c r="X37" s="171">
        <f t="shared" si="14"/>
        <v>41098360</v>
      </c>
      <c r="Y37" s="219">
        <f>X37/(O90*8784)</f>
        <v>0.47429155550338675</v>
      </c>
      <c r="AA37" s="866"/>
      <c r="AB37" s="866"/>
      <c r="AC37" s="866"/>
    </row>
    <row r="38" spans="1:29">
      <c r="A38" s="169">
        <v>2017</v>
      </c>
      <c r="B38" s="1401">
        <v>10633</v>
      </c>
      <c r="C38" s="524">
        <v>247</v>
      </c>
      <c r="D38" s="1401">
        <v>10880</v>
      </c>
      <c r="E38" s="1401">
        <v>-1179.138139735089</v>
      </c>
      <c r="F38" s="522">
        <v>9700.8618602649112</v>
      </c>
      <c r="G38" s="170"/>
      <c r="H38" s="524">
        <v>1250</v>
      </c>
      <c r="I38" s="524">
        <v>22.617000000000001</v>
      </c>
      <c r="J38" s="524">
        <v>65.046999999999997</v>
      </c>
      <c r="K38" s="524">
        <v>15.010999999999999</v>
      </c>
      <c r="L38" s="524">
        <v>1352.675</v>
      </c>
      <c r="M38" s="170"/>
      <c r="N38" s="524">
        <v>25</v>
      </c>
      <c r="O38" s="522">
        <v>11078.536860264911</v>
      </c>
      <c r="P38" s="524">
        <v>-262.01100000000002</v>
      </c>
      <c r="Q38" s="524">
        <v>-942</v>
      </c>
      <c r="R38" s="609">
        <v>9874.5258602649101</v>
      </c>
      <c r="S38" s="190"/>
      <c r="T38" s="170">
        <f t="shared" si="12"/>
        <v>2017</v>
      </c>
      <c r="U38" s="381">
        <f>'FALL13 vs TYSP13'!T36</f>
        <v>11415</v>
      </c>
      <c r="V38" s="582">
        <f t="shared" si="13"/>
        <v>0.22649626643610965</v>
      </c>
      <c r="W38" s="170"/>
      <c r="X38" s="171">
        <f t="shared" si="14"/>
        <v>41375353</v>
      </c>
      <c r="Y38" s="219">
        <f>X38/(O91*8760)</f>
        <v>0.46931777627491605</v>
      </c>
      <c r="AA38" s="866"/>
      <c r="AB38" s="866"/>
      <c r="AC38" s="866"/>
    </row>
    <row r="39" spans="1:29">
      <c r="A39" s="169">
        <v>2018</v>
      </c>
      <c r="B39" s="1401">
        <v>10832</v>
      </c>
      <c r="C39" s="524">
        <v>249</v>
      </c>
      <c r="D39" s="1401">
        <v>11081</v>
      </c>
      <c r="E39" s="1401">
        <v>-1215.3369447907742</v>
      </c>
      <c r="F39" s="522">
        <v>9865.6630552092265</v>
      </c>
      <c r="G39" s="170"/>
      <c r="H39" s="524">
        <v>1250</v>
      </c>
      <c r="I39" s="524">
        <v>22.807000000000002</v>
      </c>
      <c r="J39" s="524">
        <v>65.046999999999997</v>
      </c>
      <c r="K39" s="524">
        <v>15.010999999999999</v>
      </c>
      <c r="L39" s="524">
        <v>1352.865</v>
      </c>
      <c r="M39" s="170"/>
      <c r="N39" s="524">
        <v>25</v>
      </c>
      <c r="O39" s="522">
        <v>11243.528055209226</v>
      </c>
      <c r="P39" s="524">
        <v>-264.01100000000002</v>
      </c>
      <c r="Q39" s="524">
        <v>-957</v>
      </c>
      <c r="R39" s="609">
        <v>10022.517055209226</v>
      </c>
      <c r="S39" s="190"/>
      <c r="T39" s="170">
        <f t="shared" si="12"/>
        <v>2018</v>
      </c>
      <c r="U39" s="381">
        <f>'FALL13 vs TYSP13'!T37</f>
        <v>11975</v>
      </c>
      <c r="V39" s="582">
        <f t="shared" si="13"/>
        <v>0.26865715113386668</v>
      </c>
      <c r="W39" s="28"/>
      <c r="X39" s="171">
        <f t="shared" si="14"/>
        <v>41994588</v>
      </c>
      <c r="Y39" s="219">
        <f>X39/(O92*8760)</f>
        <v>0.46938696131520624</v>
      </c>
      <c r="AA39" s="866"/>
      <c r="AB39" s="866"/>
      <c r="AC39" s="866"/>
    </row>
    <row r="40" spans="1:29">
      <c r="A40" s="169">
        <v>2019</v>
      </c>
      <c r="B40" s="1401">
        <v>11034</v>
      </c>
      <c r="C40" s="524">
        <v>263</v>
      </c>
      <c r="D40" s="1401">
        <v>11297</v>
      </c>
      <c r="E40" s="1401">
        <v>-1249.7655595936751</v>
      </c>
      <c r="F40" s="522">
        <v>10047.234440406324</v>
      </c>
      <c r="G40" s="170"/>
      <c r="H40" s="524">
        <v>1250</v>
      </c>
      <c r="I40" s="524">
        <v>22.997</v>
      </c>
      <c r="J40" s="524">
        <v>65.046999999999997</v>
      </c>
      <c r="K40" s="524">
        <v>15.010999999999999</v>
      </c>
      <c r="L40" s="524">
        <v>1353.0550000000001</v>
      </c>
      <c r="M40" s="170"/>
      <c r="N40" s="524">
        <v>25</v>
      </c>
      <c r="O40" s="522">
        <v>11425.289440406325</v>
      </c>
      <c r="P40" s="524">
        <v>-278.01100000000002</v>
      </c>
      <c r="Q40" s="524">
        <v>-972</v>
      </c>
      <c r="R40" s="609">
        <v>10175.278440406324</v>
      </c>
      <c r="S40" s="190"/>
      <c r="T40" s="170">
        <f t="shared" si="12"/>
        <v>2019</v>
      </c>
      <c r="U40" s="381">
        <f>'FALL13 vs TYSP13'!T38</f>
        <v>11975</v>
      </c>
      <c r="V40" s="582">
        <f t="shared" si="13"/>
        <v>0.22027850936095583</v>
      </c>
      <c r="W40" s="218"/>
      <c r="X40" s="171">
        <f t="shared" si="14"/>
        <v>43012927</v>
      </c>
      <c r="Y40" s="219">
        <f>X40/(O93*8760)</f>
        <v>0.46133586574716307</v>
      </c>
      <c r="AA40" s="866"/>
      <c r="AB40" s="866"/>
      <c r="AC40" s="866"/>
    </row>
    <row r="41" spans="1:29">
      <c r="A41" s="169">
        <v>2020</v>
      </c>
      <c r="B41" s="1401">
        <v>11235</v>
      </c>
      <c r="C41" s="524">
        <v>277</v>
      </c>
      <c r="D41" s="1401">
        <v>11512</v>
      </c>
      <c r="E41" s="1401">
        <v>-1289.6687211996737</v>
      </c>
      <c r="F41" s="522">
        <v>10222.331278800326</v>
      </c>
      <c r="G41" s="170"/>
      <c r="H41" s="524">
        <v>1250</v>
      </c>
      <c r="I41" s="524">
        <v>23.186</v>
      </c>
      <c r="J41" s="524">
        <v>65.046999999999997</v>
      </c>
      <c r="K41" s="524">
        <v>15.010999999999999</v>
      </c>
      <c r="L41" s="524">
        <v>1353.2439999999999</v>
      </c>
      <c r="M41" s="170"/>
      <c r="N41" s="524">
        <v>25</v>
      </c>
      <c r="O41" s="522">
        <v>11600.575278800326</v>
      </c>
      <c r="P41" s="524">
        <v>-292.01100000000002</v>
      </c>
      <c r="Q41" s="524">
        <v>-986</v>
      </c>
      <c r="R41" s="609">
        <v>10322.564278800326</v>
      </c>
      <c r="S41" s="190"/>
      <c r="T41" s="170">
        <f t="shared" si="12"/>
        <v>2020</v>
      </c>
      <c r="U41" s="381">
        <f>'FALL13 vs TYSP13'!T39</f>
        <v>12185</v>
      </c>
      <c r="V41" s="582">
        <f t="shared" si="13"/>
        <v>0.22648064535703138</v>
      </c>
      <c r="W41" s="218"/>
      <c r="X41" s="171">
        <f t="shared" si="14"/>
        <v>43997632</v>
      </c>
      <c r="Y41" s="219">
        <f>X41/(O94*8784)</f>
        <v>0.46395610606972576</v>
      </c>
      <c r="AA41" s="866"/>
      <c r="AB41" s="866"/>
      <c r="AC41" s="866"/>
    </row>
    <row r="42" spans="1:29">
      <c r="A42" s="169">
        <v>2021</v>
      </c>
      <c r="B42" s="1401">
        <v>11435</v>
      </c>
      <c r="C42" s="524">
        <v>285</v>
      </c>
      <c r="D42" s="1401">
        <v>11720</v>
      </c>
      <c r="E42" s="1401">
        <v>-1323.9644443654283</v>
      </c>
      <c r="F42" s="522">
        <v>10396.035555634571</v>
      </c>
      <c r="G42" s="170"/>
      <c r="H42" s="524">
        <v>1250</v>
      </c>
      <c r="I42" s="524">
        <v>23.285</v>
      </c>
      <c r="J42" s="524">
        <v>65.046999999999997</v>
      </c>
      <c r="K42" s="524">
        <v>15.010999999999999</v>
      </c>
      <c r="L42" s="524">
        <v>1353.3430000000001</v>
      </c>
      <c r="M42" s="170"/>
      <c r="N42" s="524">
        <v>25</v>
      </c>
      <c r="O42" s="522">
        <v>11774.378555634572</v>
      </c>
      <c r="P42" s="524">
        <v>-300.01100000000002</v>
      </c>
      <c r="Q42" s="524">
        <v>-1001</v>
      </c>
      <c r="R42" s="609">
        <v>10473.367555634572</v>
      </c>
      <c r="S42" s="190"/>
      <c r="T42" s="170">
        <f t="shared" si="12"/>
        <v>2021</v>
      </c>
      <c r="U42" s="381">
        <f>'FALL13 vs TYSP13'!T40</f>
        <v>12185</v>
      </c>
      <c r="V42" s="582">
        <f t="shared" si="13"/>
        <v>0.22435206782618677</v>
      </c>
      <c r="W42" s="218"/>
      <c r="X42" s="171">
        <f t="shared" si="14"/>
        <v>44418922</v>
      </c>
      <c r="Y42" s="219">
        <f>X42/(O95*8760)</f>
        <v>0.46849840289815203</v>
      </c>
      <c r="AA42" s="866"/>
      <c r="AB42" s="866"/>
      <c r="AC42" s="866"/>
    </row>
    <row r="43" spans="1:29">
      <c r="A43" s="169">
        <v>2022</v>
      </c>
      <c r="B43" s="1401">
        <v>11631</v>
      </c>
      <c r="C43" s="524">
        <v>285</v>
      </c>
      <c r="D43" s="1401">
        <v>11916</v>
      </c>
      <c r="E43" s="1401">
        <v>-1356.3716731804352</v>
      </c>
      <c r="F43" s="522">
        <v>10559.628326819566</v>
      </c>
      <c r="G43" s="170"/>
      <c r="H43" s="524">
        <v>1250</v>
      </c>
      <c r="I43" s="524">
        <v>23.474</v>
      </c>
      <c r="J43" s="524">
        <v>65.046999999999997</v>
      </c>
      <c r="K43" s="524">
        <v>15.010999999999999</v>
      </c>
      <c r="L43" s="524">
        <v>1353.5319999999999</v>
      </c>
      <c r="M43" s="170"/>
      <c r="N43" s="524">
        <v>25</v>
      </c>
      <c r="O43" s="522">
        <v>11938.160326819565</v>
      </c>
      <c r="P43" s="524">
        <v>-300.01100000000002</v>
      </c>
      <c r="Q43" s="524">
        <v>-1015</v>
      </c>
      <c r="R43" s="609">
        <v>10623.149326819565</v>
      </c>
      <c r="S43" s="190"/>
      <c r="T43" s="170">
        <f t="shared" si="12"/>
        <v>2022</v>
      </c>
      <c r="U43" s="381">
        <f>'FALL13 vs TYSP13'!T41</f>
        <v>12371</v>
      </c>
      <c r="V43" s="582">
        <f t="shared" si="13"/>
        <v>0.22892584675679273</v>
      </c>
      <c r="W43" s="218"/>
      <c r="X43" s="171">
        <f t="shared" si="14"/>
        <v>44869748</v>
      </c>
      <c r="Y43" s="219">
        <f>X43/(O96*8760)</f>
        <v>0.46787947133559782</v>
      </c>
      <c r="AA43" s="585"/>
      <c r="AB43" s="331"/>
      <c r="AC43" s="784"/>
    </row>
    <row r="44" spans="1:29">
      <c r="A44" s="169">
        <v>2023</v>
      </c>
      <c r="B44" s="1401">
        <v>11825</v>
      </c>
      <c r="C44" s="524">
        <v>285</v>
      </c>
      <c r="D44" s="1401">
        <v>12110</v>
      </c>
      <c r="E44" s="1401">
        <v>-1386.8927700675888</v>
      </c>
      <c r="F44" s="522">
        <v>10723.107229932411</v>
      </c>
      <c r="G44" s="170"/>
      <c r="H44" s="524">
        <v>1250</v>
      </c>
      <c r="I44" s="524">
        <v>23.664000000000001</v>
      </c>
      <c r="J44" s="524">
        <v>65.046999999999997</v>
      </c>
      <c r="K44" s="524">
        <v>15.010999999999999</v>
      </c>
      <c r="L44" s="524">
        <v>1353.722</v>
      </c>
      <c r="M44" s="170"/>
      <c r="N44" s="524">
        <v>25</v>
      </c>
      <c r="O44" s="522">
        <v>12101.829229932411</v>
      </c>
      <c r="P44" s="524">
        <v>-300.01100000000002</v>
      </c>
      <c r="Q44" s="524">
        <v>-1029</v>
      </c>
      <c r="R44" s="609">
        <v>10772.818229932411</v>
      </c>
      <c r="S44" s="190"/>
      <c r="T44" s="170">
        <f t="shared" si="12"/>
        <v>2023</v>
      </c>
      <c r="U44" s="381">
        <f>'FALL13 vs TYSP13'!T42</f>
        <v>12371</v>
      </c>
      <c r="V44" s="582">
        <f t="shared" si="13"/>
        <v>0.21612899304961486</v>
      </c>
      <c r="W44" s="218"/>
      <c r="X44" s="171">
        <f t="shared" si="14"/>
        <v>45458815</v>
      </c>
      <c r="Y44" s="219">
        <f>X44/(O97*8760)</f>
        <v>0.46909742694747519</v>
      </c>
      <c r="AA44" s="585"/>
      <c r="AB44" s="331"/>
      <c r="AC44" s="784"/>
    </row>
    <row r="45" spans="1:29">
      <c r="A45" s="169">
        <v>2024</v>
      </c>
      <c r="B45" s="1401">
        <v>12016</v>
      </c>
      <c r="C45" s="524">
        <v>284</v>
      </c>
      <c r="D45" s="1401">
        <v>12300</v>
      </c>
      <c r="E45" s="1401">
        <v>-1417.0159642703868</v>
      </c>
      <c r="F45" s="522">
        <v>10882.984035729613</v>
      </c>
      <c r="G45" s="170"/>
      <c r="H45" s="524">
        <v>1250</v>
      </c>
      <c r="I45" s="524">
        <v>23.762999999999998</v>
      </c>
      <c r="J45" s="524">
        <v>65.046999999999997</v>
      </c>
      <c r="K45" s="524">
        <v>15.010999999999999</v>
      </c>
      <c r="L45" s="524">
        <v>1353.8209999999999</v>
      </c>
      <c r="M45" s="170"/>
      <c r="N45" s="524">
        <v>25</v>
      </c>
      <c r="O45" s="522">
        <v>12261.805035729612</v>
      </c>
      <c r="P45" s="524">
        <v>-299.01100000000002</v>
      </c>
      <c r="Q45" s="524">
        <v>-1043</v>
      </c>
      <c r="R45" s="609">
        <v>10919.794035729612</v>
      </c>
      <c r="S45" s="190"/>
      <c r="T45" s="170">
        <f t="shared" si="12"/>
        <v>2024</v>
      </c>
      <c r="U45" s="381">
        <f>'FALL13 vs TYSP13'!T43</f>
        <v>12371</v>
      </c>
      <c r="V45" s="582">
        <f t="shared" si="13"/>
        <v>0.20379264759608007</v>
      </c>
      <c r="W45" s="218"/>
      <c r="X45" s="171">
        <f t="shared" si="14"/>
        <v>46001731</v>
      </c>
      <c r="Y45" s="219">
        <f>X45/(O98*8784)</f>
        <v>0.46864769744904117</v>
      </c>
      <c r="AA45" s="585"/>
      <c r="AB45" s="331"/>
      <c r="AC45" s="784"/>
    </row>
    <row r="46" spans="1:29">
      <c r="A46" s="169">
        <v>2025</v>
      </c>
      <c r="B46" s="1401">
        <v>12205</v>
      </c>
      <c r="C46" s="524">
        <v>270</v>
      </c>
      <c r="D46" s="1401">
        <v>12475</v>
      </c>
      <c r="E46" s="1401">
        <v>-1446.9286684918475</v>
      </c>
      <c r="F46" s="522">
        <v>11028.071331508152</v>
      </c>
      <c r="G46" s="170"/>
      <c r="H46" s="524">
        <v>1100</v>
      </c>
      <c r="I46" s="524">
        <v>23.952000000000002</v>
      </c>
      <c r="J46" s="524">
        <v>65.046999999999997</v>
      </c>
      <c r="K46" s="524">
        <v>15.010999999999999</v>
      </c>
      <c r="L46" s="524">
        <v>1204.01</v>
      </c>
      <c r="M46" s="170"/>
      <c r="N46" s="524">
        <v>25</v>
      </c>
      <c r="O46" s="522">
        <v>12257.081331508152</v>
      </c>
      <c r="P46" s="524">
        <v>-285.01100000000002</v>
      </c>
      <c r="Q46" s="524">
        <v>-1058</v>
      </c>
      <c r="R46" s="609">
        <v>10914.070331508152</v>
      </c>
      <c r="S46" s="190"/>
      <c r="T46" s="170">
        <f t="shared" si="12"/>
        <v>2025</v>
      </c>
      <c r="U46" s="381">
        <f>'FALL13 vs TYSP13'!T44</f>
        <v>12371</v>
      </c>
      <c r="V46" s="582">
        <f t="shared" si="13"/>
        <v>0.19247859140586687</v>
      </c>
      <c r="W46" s="218"/>
      <c r="X46" s="171">
        <f t="shared" si="14"/>
        <v>46377403</v>
      </c>
      <c r="Y46" s="219">
        <f>X46/(O99*8760)</f>
        <v>0.46925498342202704</v>
      </c>
      <c r="AA46" s="585"/>
      <c r="AB46" s="331"/>
      <c r="AC46" s="784"/>
    </row>
    <row r="47" spans="1:29">
      <c r="A47" s="169">
        <v>2026</v>
      </c>
      <c r="B47" s="1401">
        <v>12392</v>
      </c>
      <c r="C47" s="524">
        <v>255</v>
      </c>
      <c r="D47" s="1401">
        <v>12647</v>
      </c>
      <c r="E47" s="1401">
        <v>-1475.5509570044387</v>
      </c>
      <c r="F47" s="522">
        <v>11171.449042995562</v>
      </c>
      <c r="G47" s="170"/>
      <c r="H47" s="524">
        <v>950</v>
      </c>
      <c r="I47" s="524">
        <v>24.141999999999999</v>
      </c>
      <c r="J47" s="524">
        <v>65.046999999999997</v>
      </c>
      <c r="K47" s="524">
        <v>15.010999999999999</v>
      </c>
      <c r="L47" s="524">
        <v>1054.2</v>
      </c>
      <c r="M47" s="170"/>
      <c r="N47" s="524">
        <v>25</v>
      </c>
      <c r="O47" s="522">
        <v>12250.649042995563</v>
      </c>
      <c r="P47" s="524">
        <v>-270.01100000000002</v>
      </c>
      <c r="Q47" s="524">
        <v>-1072</v>
      </c>
      <c r="R47" s="609">
        <v>10908.638042995563</v>
      </c>
      <c r="S47" s="190"/>
      <c r="T47" s="170"/>
      <c r="U47" s="381"/>
      <c r="V47" s="582"/>
      <c r="W47" s="218"/>
      <c r="X47" s="171"/>
      <c r="Y47" s="219"/>
      <c r="AA47" s="585"/>
      <c r="AB47" s="331"/>
      <c r="AC47" s="784"/>
    </row>
    <row r="48" spans="1:29">
      <c r="A48" s="169">
        <v>2027</v>
      </c>
      <c r="B48" s="1401">
        <v>12578</v>
      </c>
      <c r="C48" s="524">
        <v>255</v>
      </c>
      <c r="D48" s="1401">
        <v>12833</v>
      </c>
      <c r="E48" s="1401">
        <v>-1503.1520272794605</v>
      </c>
      <c r="F48" s="522">
        <v>11329.847972720539</v>
      </c>
      <c r="G48" s="170"/>
      <c r="H48" s="524">
        <v>950</v>
      </c>
      <c r="I48" s="524">
        <v>24.330000000000002</v>
      </c>
      <c r="J48" s="524">
        <v>65.046999999999997</v>
      </c>
      <c r="K48" s="524">
        <v>15.010999999999999</v>
      </c>
      <c r="L48" s="524">
        <v>1054.3879999999999</v>
      </c>
      <c r="M48" s="170"/>
      <c r="N48" s="524">
        <v>25</v>
      </c>
      <c r="O48" s="522">
        <v>12409.23597272054</v>
      </c>
      <c r="P48" s="524">
        <v>-270.01100000000002</v>
      </c>
      <c r="Q48" s="524">
        <v>-1086</v>
      </c>
      <c r="R48" s="609">
        <v>11053.22497272054</v>
      </c>
      <c r="S48" s="190"/>
      <c r="T48" s="170"/>
      <c r="U48" s="381"/>
      <c r="V48" s="582"/>
      <c r="W48" s="218"/>
      <c r="X48" s="171"/>
      <c r="Y48" s="219"/>
    </row>
    <row r="49" spans="1:29">
      <c r="A49" s="169">
        <v>2028</v>
      </c>
      <c r="B49" s="1401">
        <v>12763</v>
      </c>
      <c r="C49" s="524">
        <v>255</v>
      </c>
      <c r="D49" s="1401">
        <v>13018</v>
      </c>
      <c r="E49" s="1401">
        <v>-1529.8879890172852</v>
      </c>
      <c r="F49" s="522">
        <v>11488.112010982715</v>
      </c>
      <c r="G49" s="170"/>
      <c r="H49" s="524">
        <v>950</v>
      </c>
      <c r="I49" s="524">
        <v>24.520000000000003</v>
      </c>
      <c r="J49" s="524">
        <v>65.046999999999997</v>
      </c>
      <c r="K49" s="524">
        <v>15.010999999999999</v>
      </c>
      <c r="L49" s="524">
        <v>1054.578</v>
      </c>
      <c r="M49" s="170"/>
      <c r="N49" s="524">
        <v>25</v>
      </c>
      <c r="O49" s="522">
        <v>12567.690010982715</v>
      </c>
      <c r="P49" s="524">
        <v>-270.01100000000002</v>
      </c>
      <c r="Q49" s="524">
        <v>-1100</v>
      </c>
      <c r="R49" s="609">
        <v>11197.679010982714</v>
      </c>
      <c r="S49" s="190"/>
      <c r="T49" s="170"/>
      <c r="U49" s="381"/>
      <c r="V49" s="582"/>
      <c r="W49" s="218"/>
      <c r="X49" s="171"/>
      <c r="Y49" s="219"/>
    </row>
    <row r="50" spans="1:29">
      <c r="A50" s="169">
        <v>2029</v>
      </c>
      <c r="B50" s="1401">
        <v>12946</v>
      </c>
      <c r="C50" s="524">
        <v>255</v>
      </c>
      <c r="D50" s="1401">
        <v>13201</v>
      </c>
      <c r="E50" s="1401">
        <v>-1555.9426264282306</v>
      </c>
      <c r="F50" s="522">
        <v>11645.05737357177</v>
      </c>
      <c r="G50" s="170"/>
      <c r="H50" s="524">
        <v>950</v>
      </c>
      <c r="I50" s="524">
        <v>24.709999999999997</v>
      </c>
      <c r="J50" s="524">
        <v>65.046999999999997</v>
      </c>
      <c r="K50" s="524">
        <v>15.010999999999999</v>
      </c>
      <c r="L50" s="524">
        <v>1054.768</v>
      </c>
      <c r="M50" s="170"/>
      <c r="N50" s="524">
        <v>25</v>
      </c>
      <c r="O50" s="522">
        <v>12724.82537357177</v>
      </c>
      <c r="P50" s="524">
        <v>-270.01100000000002</v>
      </c>
      <c r="Q50" s="524">
        <v>-1115</v>
      </c>
      <c r="R50" s="609">
        <v>11339.814373571769</v>
      </c>
      <c r="S50" s="190"/>
      <c r="T50" s="170"/>
      <c r="U50" s="381"/>
      <c r="V50" s="583"/>
      <c r="W50" s="218"/>
      <c r="X50" s="171"/>
      <c r="Y50" s="219"/>
    </row>
    <row r="51" spans="1:29">
      <c r="A51" s="168">
        <v>2030</v>
      </c>
      <c r="B51" s="1402">
        <v>13128</v>
      </c>
      <c r="C51" s="525">
        <v>255</v>
      </c>
      <c r="D51" s="1402">
        <v>13383</v>
      </c>
      <c r="E51" s="1402">
        <v>-1581.2649236166426</v>
      </c>
      <c r="F51" s="523">
        <v>11801.735076383356</v>
      </c>
      <c r="G51" s="519"/>
      <c r="H51" s="525">
        <v>950</v>
      </c>
      <c r="I51" s="525">
        <v>24.808</v>
      </c>
      <c r="J51" s="525">
        <v>65.046999999999997</v>
      </c>
      <c r="K51" s="525">
        <v>15.010999999999999</v>
      </c>
      <c r="L51" s="525">
        <v>1054.866</v>
      </c>
      <c r="M51" s="519"/>
      <c r="N51" s="525">
        <v>25</v>
      </c>
      <c r="O51" s="523">
        <v>12881.601076383356</v>
      </c>
      <c r="P51" s="525">
        <v>-270.01100000000002</v>
      </c>
      <c r="Q51" s="525">
        <v>-1129</v>
      </c>
      <c r="R51" s="610">
        <v>11482.590076383356</v>
      </c>
      <c r="S51" s="190"/>
      <c r="T51" s="170"/>
      <c r="U51" s="381"/>
      <c r="V51" s="583"/>
      <c r="W51" s="218"/>
      <c r="X51" s="171"/>
      <c r="Y51" s="219"/>
    </row>
    <row r="52" spans="1:29">
      <c r="A52" s="170"/>
      <c r="S52" s="190"/>
      <c r="T52" s="28"/>
    </row>
    <row r="53" spans="1:29">
      <c r="A53" s="1623" t="str">
        <f>CONCATENATE(A3,"  vs  ",A28)</f>
        <v>FALL 2013  vs  SPRING 2013</v>
      </c>
      <c r="B53" s="1624"/>
      <c r="C53" s="1624"/>
      <c r="D53" s="1624"/>
      <c r="E53" s="1624"/>
      <c r="F53" s="1624"/>
      <c r="G53" s="1624"/>
      <c r="H53" s="1624"/>
      <c r="I53" s="1624"/>
      <c r="J53" s="1624"/>
      <c r="K53" s="1624"/>
      <c r="L53" s="1624"/>
      <c r="M53" s="1624"/>
      <c r="N53" s="1624"/>
      <c r="O53" s="1624"/>
      <c r="P53" s="1624"/>
      <c r="Q53" s="1624"/>
      <c r="R53" s="1625"/>
      <c r="S53" s="190"/>
    </row>
    <row r="54" spans="1:29">
      <c r="A54" s="166"/>
      <c r="B54" s="520"/>
      <c r="C54" s="520"/>
      <c r="D54" s="520"/>
      <c r="F54" s="520" t="s">
        <v>21</v>
      </c>
      <c r="G54" s="520"/>
      <c r="H54" s="520"/>
      <c r="I54" s="520"/>
      <c r="J54" s="520"/>
      <c r="K54" s="520"/>
      <c r="L54" s="520"/>
      <c r="M54" s="520"/>
      <c r="N54" s="520"/>
      <c r="O54" s="520" t="str">
        <f>F54</f>
        <v>Total</v>
      </c>
      <c r="P54" s="520"/>
      <c r="Q54" s="728"/>
      <c r="R54" s="612"/>
      <c r="S54" s="190"/>
    </row>
    <row r="55" spans="1:29">
      <c r="A55" s="167"/>
      <c r="B55" s="170" t="s">
        <v>116</v>
      </c>
      <c r="C55" s="170"/>
      <c r="D55" s="170" t="s">
        <v>120</v>
      </c>
      <c r="E55" s="28"/>
      <c r="F55" s="170" t="s">
        <v>118</v>
      </c>
      <c r="G55" s="170"/>
      <c r="H55" s="1632" t="s">
        <v>123</v>
      </c>
      <c r="I55" s="1633"/>
      <c r="J55" s="1633"/>
      <c r="K55" s="1633"/>
      <c r="L55" s="1634"/>
      <c r="M55" s="170"/>
      <c r="N55" s="521"/>
      <c r="O55" s="170" t="s">
        <v>125</v>
      </c>
      <c r="P55" s="170"/>
      <c r="Q55" s="591"/>
      <c r="R55" s="613" t="s">
        <v>21</v>
      </c>
      <c r="S55" s="190"/>
      <c r="AA55" s="1630"/>
      <c r="AB55" s="1631"/>
      <c r="AC55" s="1631"/>
    </row>
    <row r="56" spans="1:29">
      <c r="A56" s="167"/>
      <c r="B56" s="170" t="s">
        <v>117</v>
      </c>
      <c r="C56" s="170" t="s">
        <v>118</v>
      </c>
      <c r="D56" s="170" t="s">
        <v>21</v>
      </c>
      <c r="E56" s="591" t="s">
        <v>121</v>
      </c>
      <c r="F56" s="170" t="s">
        <v>122</v>
      </c>
      <c r="G56" s="170"/>
      <c r="H56" s="520" t="s">
        <v>21</v>
      </c>
      <c r="I56" s="520" t="s">
        <v>288</v>
      </c>
      <c r="J56" s="520"/>
      <c r="K56" s="706" t="s">
        <v>349</v>
      </c>
      <c r="L56" s="520"/>
      <c r="M56" s="170"/>
      <c r="N56" s="170" t="s">
        <v>264</v>
      </c>
      <c r="O56" s="170" t="str">
        <f>F56</f>
        <v>before</v>
      </c>
      <c r="P56" s="170" t="s">
        <v>21</v>
      </c>
      <c r="Q56" s="729" t="s">
        <v>147</v>
      </c>
      <c r="R56" s="613" t="s">
        <v>125</v>
      </c>
      <c r="S56" s="190"/>
      <c r="AB56" s="591"/>
    </row>
    <row r="57" spans="1:29" ht="14.25" customHeight="1">
      <c r="A57" s="168" t="s">
        <v>126</v>
      </c>
      <c r="B57" s="519" t="s">
        <v>118</v>
      </c>
      <c r="C57" s="519" t="s">
        <v>66</v>
      </c>
      <c r="D57" s="519" t="s">
        <v>118</v>
      </c>
      <c r="E57" s="731" t="s">
        <v>59</v>
      </c>
      <c r="F57" s="519" t="s">
        <v>62</v>
      </c>
      <c r="G57" s="519"/>
      <c r="H57" s="586" t="s">
        <v>154</v>
      </c>
      <c r="I57" s="586" t="s">
        <v>286</v>
      </c>
      <c r="J57" s="519" t="s">
        <v>287</v>
      </c>
      <c r="K57" s="705" t="s">
        <v>117</v>
      </c>
      <c r="L57" s="519" t="s">
        <v>0</v>
      </c>
      <c r="M57" s="519"/>
      <c r="N57" s="519" t="s">
        <v>124</v>
      </c>
      <c r="O57" s="519" t="str">
        <f>F57</f>
        <v>DLC</v>
      </c>
      <c r="P57" s="519" t="s">
        <v>66</v>
      </c>
      <c r="Q57" s="731" t="s">
        <v>131</v>
      </c>
      <c r="R57" s="614" t="s">
        <v>117</v>
      </c>
      <c r="S57" s="190"/>
      <c r="AA57" s="719"/>
      <c r="AB57" s="720"/>
      <c r="AC57" s="717"/>
    </row>
    <row r="58" spans="1:29" hidden="1">
      <c r="A58" s="169">
        <f t="shared" ref="A58:A76" si="15">A33</f>
        <v>2009</v>
      </c>
      <c r="B58" s="524" t="e">
        <f t="shared" ref="B58:F67" si="16">B8-B33</f>
        <v>#REF!</v>
      </c>
      <c r="C58" s="524" t="e">
        <f t="shared" si="16"/>
        <v>#REF!</v>
      </c>
      <c r="D58" s="524" t="e">
        <f t="shared" si="16"/>
        <v>#REF!</v>
      </c>
      <c r="E58" s="322" t="e">
        <f t="shared" si="16"/>
        <v>#REF!</v>
      </c>
      <c r="F58" s="524" t="e">
        <f t="shared" si="16"/>
        <v>#REF!</v>
      </c>
      <c r="G58" s="170"/>
      <c r="H58" s="524" t="e">
        <f t="shared" ref="H58:L67" si="17">H8-H33</f>
        <v>#REF!</v>
      </c>
      <c r="I58" s="524" t="e">
        <f t="shared" si="17"/>
        <v>#REF!</v>
      </c>
      <c r="J58" s="524" t="e">
        <f t="shared" si="17"/>
        <v>#REF!</v>
      </c>
      <c r="K58" s="524" t="e">
        <f t="shared" si="17"/>
        <v>#REF!</v>
      </c>
      <c r="L58" s="524" t="e">
        <f t="shared" si="17"/>
        <v>#REF!</v>
      </c>
      <c r="M58" s="170"/>
      <c r="N58" s="524" t="e">
        <f t="shared" ref="N58:Q76" si="18">N8-N33</f>
        <v>#REF!</v>
      </c>
      <c r="O58" s="524" t="e">
        <f t="shared" si="18"/>
        <v>#REF!</v>
      </c>
      <c r="P58" s="524" t="e">
        <f t="shared" si="18"/>
        <v>#REF!</v>
      </c>
      <c r="Q58" s="322" t="e">
        <f t="shared" si="18"/>
        <v>#REF!</v>
      </c>
      <c r="R58" s="611" t="e">
        <f t="shared" ref="R58:R66" si="19">O58+P58+Q58</f>
        <v>#REF!</v>
      </c>
      <c r="S58" s="190"/>
      <c r="AA58" s="665"/>
      <c r="AB58" s="721"/>
      <c r="AC58" s="381"/>
    </row>
    <row r="59" spans="1:29" hidden="1">
      <c r="A59" s="169">
        <f t="shared" si="15"/>
        <v>2013</v>
      </c>
      <c r="B59" s="1401">
        <f t="shared" si="16"/>
        <v>-4663</v>
      </c>
      <c r="C59" s="524">
        <f t="shared" si="16"/>
        <v>-2</v>
      </c>
      <c r="D59" s="1401">
        <f t="shared" si="16"/>
        <v>-4665</v>
      </c>
      <c r="E59" s="1401">
        <f t="shared" si="16"/>
        <v>959.62592803261998</v>
      </c>
      <c r="F59" s="524">
        <f t="shared" si="16"/>
        <v>-3705.3740719673806</v>
      </c>
      <c r="G59" s="170"/>
      <c r="H59" s="524">
        <f t="shared" si="17"/>
        <v>0</v>
      </c>
      <c r="I59" s="524">
        <f t="shared" si="17"/>
        <v>-5.000000000002558E-3</v>
      </c>
      <c r="J59" s="524">
        <f t="shared" si="17"/>
        <v>6.9999999999765805E-3</v>
      </c>
      <c r="K59" s="524">
        <f t="shared" si="17"/>
        <v>-9.9999999999944578E-4</v>
      </c>
      <c r="L59" s="524">
        <f t="shared" si="17"/>
        <v>1.00000000009004E-3</v>
      </c>
      <c r="M59" s="170"/>
      <c r="N59" s="524">
        <f t="shared" si="18"/>
        <v>-25</v>
      </c>
      <c r="O59" s="524">
        <f t="shared" si="18"/>
        <v>-3730.3730719673804</v>
      </c>
      <c r="P59" s="524">
        <f t="shared" si="18"/>
        <v>2.0010000000000048</v>
      </c>
      <c r="Q59" s="322">
        <f t="shared" si="18"/>
        <v>46</v>
      </c>
      <c r="R59" s="611">
        <f t="shared" si="19"/>
        <v>-3682.3720719673802</v>
      </c>
      <c r="S59" s="190"/>
      <c r="AA59" s="665"/>
      <c r="AB59" s="721"/>
      <c r="AC59" s="381"/>
    </row>
    <row r="60" spans="1:29">
      <c r="A60" s="169">
        <f t="shared" si="15"/>
        <v>2014</v>
      </c>
      <c r="B60" s="1401">
        <f t="shared" si="16"/>
        <v>-1173</v>
      </c>
      <c r="C60" s="524">
        <f t="shared" si="16"/>
        <v>-4</v>
      </c>
      <c r="D60" s="1401">
        <f t="shared" si="16"/>
        <v>-1177</v>
      </c>
      <c r="E60" s="1401">
        <f t="shared" si="16"/>
        <v>959.62592803261998</v>
      </c>
      <c r="F60" s="524">
        <f t="shared" si="16"/>
        <v>-217.37407196737877</v>
      </c>
      <c r="G60" s="170"/>
      <c r="H60" s="524">
        <f t="shared" si="17"/>
        <v>0</v>
      </c>
      <c r="I60" s="524">
        <f t="shared" si="17"/>
        <v>0</v>
      </c>
      <c r="J60" s="524">
        <f t="shared" si="17"/>
        <v>21.022999999999996</v>
      </c>
      <c r="K60" s="524">
        <f t="shared" si="17"/>
        <v>-15.010999999999999</v>
      </c>
      <c r="L60" s="524">
        <f t="shared" si="17"/>
        <v>6.0120000000000573</v>
      </c>
      <c r="M60" s="170"/>
      <c r="N60" s="524">
        <f t="shared" si="18"/>
        <v>0</v>
      </c>
      <c r="O60" s="524">
        <f t="shared" si="18"/>
        <v>-211.36207196737814</v>
      </c>
      <c r="P60" s="524">
        <f t="shared" si="18"/>
        <v>19.010999999999996</v>
      </c>
      <c r="Q60" s="322">
        <f t="shared" si="18"/>
        <v>12</v>
      </c>
      <c r="R60" s="611">
        <f t="shared" si="19"/>
        <v>-180.35107196737815</v>
      </c>
      <c r="S60" s="190"/>
      <c r="AA60" s="665"/>
      <c r="AB60" s="721"/>
      <c r="AC60" s="381"/>
    </row>
    <row r="61" spans="1:29">
      <c r="A61" s="169">
        <f t="shared" si="15"/>
        <v>2015</v>
      </c>
      <c r="B61" s="1401">
        <f t="shared" si="16"/>
        <v>-1494</v>
      </c>
      <c r="C61" s="524">
        <f t="shared" si="16"/>
        <v>-6</v>
      </c>
      <c r="D61" s="1401">
        <f t="shared" si="16"/>
        <v>-1500</v>
      </c>
      <c r="E61" s="1401">
        <f t="shared" si="16"/>
        <v>951.62592803261998</v>
      </c>
      <c r="F61" s="524">
        <f t="shared" si="16"/>
        <v>-548.37407196738059</v>
      </c>
      <c r="G61" s="170"/>
      <c r="H61" s="524">
        <f t="shared" si="17"/>
        <v>0</v>
      </c>
      <c r="I61" s="524">
        <f t="shared" si="17"/>
        <v>6.0000000000002274E-3</v>
      </c>
      <c r="J61" s="524">
        <f t="shared" si="17"/>
        <v>2.9999999999859028E-3</v>
      </c>
      <c r="K61" s="524">
        <f t="shared" si="17"/>
        <v>-15.010999999999999</v>
      </c>
      <c r="L61" s="524">
        <f t="shared" si="17"/>
        <v>-15.001999999999953</v>
      </c>
      <c r="M61" s="170"/>
      <c r="N61" s="524">
        <f t="shared" si="18"/>
        <v>0</v>
      </c>
      <c r="O61" s="524">
        <f t="shared" si="18"/>
        <v>-563.37607196738099</v>
      </c>
      <c r="P61" s="524">
        <f t="shared" si="18"/>
        <v>21.010999999999996</v>
      </c>
      <c r="Q61" s="322">
        <f t="shared" si="18"/>
        <v>6</v>
      </c>
      <c r="R61" s="611">
        <f t="shared" si="19"/>
        <v>-536.36507196738103</v>
      </c>
      <c r="S61" s="190"/>
      <c r="AA61" s="665"/>
      <c r="AB61" s="721"/>
      <c r="AC61" s="381"/>
    </row>
    <row r="62" spans="1:29">
      <c r="A62" s="169">
        <f t="shared" si="15"/>
        <v>2016</v>
      </c>
      <c r="B62" s="1401">
        <f t="shared" si="16"/>
        <v>-1386</v>
      </c>
      <c r="C62" s="524">
        <f t="shared" si="16"/>
        <v>-5</v>
      </c>
      <c r="D62" s="1401">
        <f t="shared" si="16"/>
        <v>-1391</v>
      </c>
      <c r="E62" s="1401">
        <f t="shared" si="16"/>
        <v>951.62592803262021</v>
      </c>
      <c r="F62" s="524">
        <f t="shared" si="16"/>
        <v>-439.37407196738059</v>
      </c>
      <c r="G62" s="170"/>
      <c r="H62" s="524">
        <f t="shared" si="17"/>
        <v>0</v>
      </c>
      <c r="I62" s="524">
        <f t="shared" si="17"/>
        <v>9.9999999999766942E-4</v>
      </c>
      <c r="J62" s="524">
        <f t="shared" si="17"/>
        <v>2.9999999999859028E-3</v>
      </c>
      <c r="K62" s="524">
        <f t="shared" si="17"/>
        <v>-15.010999999999999</v>
      </c>
      <c r="L62" s="524">
        <f t="shared" si="17"/>
        <v>-15.007000000000062</v>
      </c>
      <c r="M62" s="170"/>
      <c r="N62" s="524">
        <f t="shared" si="18"/>
        <v>0</v>
      </c>
      <c r="O62" s="524">
        <f t="shared" si="18"/>
        <v>-454.38107196738019</v>
      </c>
      <c r="P62" s="524">
        <f t="shared" si="18"/>
        <v>20.010999999999996</v>
      </c>
      <c r="Q62" s="322">
        <f t="shared" si="18"/>
        <v>2</v>
      </c>
      <c r="R62" s="611">
        <f t="shared" si="19"/>
        <v>-432.37007196738023</v>
      </c>
      <c r="S62" s="190"/>
      <c r="AA62" s="665"/>
      <c r="AB62" s="721"/>
      <c r="AC62" s="381"/>
    </row>
    <row r="63" spans="1:29">
      <c r="A63" s="169">
        <f t="shared" si="15"/>
        <v>2017</v>
      </c>
      <c r="B63" s="1401">
        <f t="shared" si="16"/>
        <v>-1278</v>
      </c>
      <c r="C63" s="524">
        <f t="shared" si="16"/>
        <v>-14</v>
      </c>
      <c r="D63" s="1401">
        <f t="shared" si="16"/>
        <v>-1292</v>
      </c>
      <c r="E63" s="1401">
        <f t="shared" si="16"/>
        <v>951.62592803262021</v>
      </c>
      <c r="F63" s="524">
        <f t="shared" si="16"/>
        <v>-340.37407196738059</v>
      </c>
      <c r="G63" s="170"/>
      <c r="H63" s="524">
        <f t="shared" si="17"/>
        <v>-250</v>
      </c>
      <c r="I63" s="524">
        <f t="shared" si="17"/>
        <v>-7.0000000000014495E-3</v>
      </c>
      <c r="J63" s="524">
        <f t="shared" si="17"/>
        <v>3.0000000000001137E-3</v>
      </c>
      <c r="K63" s="524">
        <f t="shared" si="17"/>
        <v>-15.010999999999999</v>
      </c>
      <c r="L63" s="524">
        <f t="shared" si="17"/>
        <v>-265.01499999999987</v>
      </c>
      <c r="M63" s="170"/>
      <c r="N63" s="524">
        <f t="shared" si="18"/>
        <v>0</v>
      </c>
      <c r="O63" s="524">
        <f t="shared" si="18"/>
        <v>-605.38907196738</v>
      </c>
      <c r="P63" s="524">
        <f t="shared" si="18"/>
        <v>29.011000000000024</v>
      </c>
      <c r="Q63" s="322">
        <f t="shared" si="18"/>
        <v>0</v>
      </c>
      <c r="R63" s="611">
        <f t="shared" si="19"/>
        <v>-576.37807196738004</v>
      </c>
      <c r="S63" s="524"/>
      <c r="AA63" s="665"/>
      <c r="AB63" s="721"/>
      <c r="AC63" s="381"/>
    </row>
    <row r="64" spans="1:29">
      <c r="A64" s="169">
        <f t="shared" si="15"/>
        <v>2018</v>
      </c>
      <c r="B64" s="1401">
        <f t="shared" si="16"/>
        <v>-1179</v>
      </c>
      <c r="C64" s="524">
        <f t="shared" si="16"/>
        <v>-9</v>
      </c>
      <c r="D64" s="1401">
        <f t="shared" si="16"/>
        <v>-1188</v>
      </c>
      <c r="E64" s="1401">
        <f t="shared" si="16"/>
        <v>951.62592803262021</v>
      </c>
      <c r="F64" s="524">
        <f t="shared" si="16"/>
        <v>-236.37407196738059</v>
      </c>
      <c r="G64" s="170"/>
      <c r="H64" s="524">
        <f t="shared" si="17"/>
        <v>-250</v>
      </c>
      <c r="I64" s="524">
        <f t="shared" si="17"/>
        <v>-7.0000000000014495E-3</v>
      </c>
      <c r="J64" s="524">
        <f t="shared" si="17"/>
        <v>3.0000000000001137E-3</v>
      </c>
      <c r="K64" s="524">
        <f t="shared" si="17"/>
        <v>-15.010999999999999</v>
      </c>
      <c r="L64" s="524">
        <f t="shared" si="17"/>
        <v>-265.0150000000001</v>
      </c>
      <c r="M64" s="170"/>
      <c r="N64" s="524">
        <f t="shared" si="18"/>
        <v>0</v>
      </c>
      <c r="O64" s="524">
        <f t="shared" si="18"/>
        <v>-501.38907196738</v>
      </c>
      <c r="P64" s="524">
        <f t="shared" si="18"/>
        <v>24.011000000000024</v>
      </c>
      <c r="Q64" s="322">
        <f t="shared" si="18"/>
        <v>-1</v>
      </c>
      <c r="R64" s="611">
        <f t="shared" si="19"/>
        <v>-478.37807196737998</v>
      </c>
      <c r="S64" s="524"/>
      <c r="AA64" s="665"/>
      <c r="AB64" s="721"/>
      <c r="AC64" s="381"/>
    </row>
    <row r="65" spans="1:29">
      <c r="A65" s="169">
        <f t="shared" si="15"/>
        <v>2019</v>
      </c>
      <c r="B65" s="1401">
        <f t="shared" si="16"/>
        <v>-1237</v>
      </c>
      <c r="C65" s="524">
        <f t="shared" si="16"/>
        <v>20</v>
      </c>
      <c r="D65" s="1401">
        <f t="shared" si="16"/>
        <v>-1217</v>
      </c>
      <c r="E65" s="1401">
        <f t="shared" si="16"/>
        <v>951.62592803261998</v>
      </c>
      <c r="F65" s="524">
        <f t="shared" si="16"/>
        <v>-265.37407196737877</v>
      </c>
      <c r="G65" s="170"/>
      <c r="H65" s="524">
        <f t="shared" si="17"/>
        <v>-250</v>
      </c>
      <c r="I65" s="524">
        <f t="shared" si="17"/>
        <v>3.0000000000001137E-3</v>
      </c>
      <c r="J65" s="524">
        <f t="shared" si="17"/>
        <v>3.0000000000001137E-3</v>
      </c>
      <c r="K65" s="524">
        <f t="shared" si="17"/>
        <v>-15.010999999999999</v>
      </c>
      <c r="L65" s="524">
        <f t="shared" si="17"/>
        <v>-265.00500000000011</v>
      </c>
      <c r="M65" s="170"/>
      <c r="N65" s="524">
        <f t="shared" si="18"/>
        <v>0</v>
      </c>
      <c r="O65" s="524">
        <f t="shared" si="18"/>
        <v>-530.37907196737979</v>
      </c>
      <c r="P65" s="524">
        <f t="shared" si="18"/>
        <v>-4.9889999999999759</v>
      </c>
      <c r="Q65" s="322">
        <f t="shared" si="18"/>
        <v>-1</v>
      </c>
      <c r="R65" s="611">
        <f t="shared" si="19"/>
        <v>-536.36807196737982</v>
      </c>
      <c r="S65" s="524"/>
      <c r="AA65" s="665"/>
      <c r="AB65" s="721"/>
      <c r="AC65" s="381"/>
    </row>
    <row r="66" spans="1:29">
      <c r="A66" s="169">
        <f t="shared" si="15"/>
        <v>2020</v>
      </c>
      <c r="B66" s="1401">
        <f t="shared" si="16"/>
        <v>-1300</v>
      </c>
      <c r="C66" s="524">
        <f t="shared" si="16"/>
        <v>27</v>
      </c>
      <c r="D66" s="1401">
        <f t="shared" si="16"/>
        <v>-1273</v>
      </c>
      <c r="E66" s="1401">
        <f t="shared" si="16"/>
        <v>951.62592803261998</v>
      </c>
      <c r="F66" s="524">
        <f t="shared" si="16"/>
        <v>-321.37407196737877</v>
      </c>
      <c r="G66" s="170"/>
      <c r="H66" s="524">
        <f t="shared" si="17"/>
        <v>0</v>
      </c>
      <c r="I66" s="524">
        <f t="shared" si="17"/>
        <v>4.0000000000013358E-3</v>
      </c>
      <c r="J66" s="524">
        <f t="shared" si="17"/>
        <v>3.0000000000001137E-3</v>
      </c>
      <c r="K66" s="524">
        <f t="shared" si="17"/>
        <v>-15.010999999999999</v>
      </c>
      <c r="L66" s="524">
        <f t="shared" si="17"/>
        <v>-15.003999999999905</v>
      </c>
      <c r="M66" s="170"/>
      <c r="N66" s="524">
        <f t="shared" si="18"/>
        <v>0</v>
      </c>
      <c r="O66" s="524">
        <f t="shared" si="18"/>
        <v>-336.37807196737958</v>
      </c>
      <c r="P66" s="524">
        <f t="shared" si="18"/>
        <v>-11.988999999999976</v>
      </c>
      <c r="Q66" s="322">
        <f t="shared" si="18"/>
        <v>-3</v>
      </c>
      <c r="R66" s="611">
        <f t="shared" si="19"/>
        <v>-351.36707196737956</v>
      </c>
      <c r="S66" s="524"/>
      <c r="AA66" s="665"/>
      <c r="AB66" s="721"/>
      <c r="AC66" s="381"/>
    </row>
    <row r="67" spans="1:29">
      <c r="A67" s="169">
        <f t="shared" si="15"/>
        <v>2021</v>
      </c>
      <c r="B67" s="1401">
        <f t="shared" si="16"/>
        <v>-1364</v>
      </c>
      <c r="C67" s="524">
        <f t="shared" si="16"/>
        <v>20</v>
      </c>
      <c r="D67" s="1401">
        <f t="shared" si="16"/>
        <v>-1344</v>
      </c>
      <c r="E67" s="1401">
        <f t="shared" si="16"/>
        <v>951.61353803261989</v>
      </c>
      <c r="F67" s="524">
        <f t="shared" si="16"/>
        <v>-392.38646196738046</v>
      </c>
      <c r="G67" s="170"/>
      <c r="H67" s="524">
        <f t="shared" si="17"/>
        <v>0</v>
      </c>
      <c r="I67" s="524">
        <f t="shared" si="17"/>
        <v>5.000000000002558E-3</v>
      </c>
      <c r="J67" s="524">
        <f t="shared" si="17"/>
        <v>3.0000000000001137E-3</v>
      </c>
      <c r="K67" s="524">
        <f t="shared" si="17"/>
        <v>-15.010999999999999</v>
      </c>
      <c r="L67" s="524">
        <f t="shared" si="17"/>
        <v>-15.003000000000156</v>
      </c>
      <c r="M67" s="170"/>
      <c r="N67" s="524">
        <f t="shared" si="18"/>
        <v>0</v>
      </c>
      <c r="O67" s="524">
        <f t="shared" si="18"/>
        <v>-407.38946196738107</v>
      </c>
      <c r="P67" s="524">
        <f t="shared" si="18"/>
        <v>-4.9889999999999759</v>
      </c>
      <c r="Q67" s="322">
        <f t="shared" si="18"/>
        <v>-2</v>
      </c>
      <c r="R67" s="611">
        <f t="shared" ref="R67:R72" si="20">O67+P67+Q67</f>
        <v>-414.37846196738104</v>
      </c>
      <c r="S67" s="524"/>
      <c r="AA67" s="665"/>
      <c r="AB67" s="721"/>
      <c r="AC67" s="381"/>
    </row>
    <row r="68" spans="1:29">
      <c r="A68" s="169">
        <f t="shared" si="15"/>
        <v>2022</v>
      </c>
      <c r="B68" s="1401">
        <f t="shared" ref="B68:F76" si="21">B18-B43</f>
        <v>-1429</v>
      </c>
      <c r="C68" s="524">
        <f t="shared" si="21"/>
        <v>20</v>
      </c>
      <c r="D68" s="1401">
        <f t="shared" si="21"/>
        <v>-1409</v>
      </c>
      <c r="E68" s="1401">
        <f t="shared" si="21"/>
        <v>951.60114803261979</v>
      </c>
      <c r="F68" s="524">
        <f t="shared" si="21"/>
        <v>-457.39885196738032</v>
      </c>
      <c r="G68" s="170"/>
      <c r="H68" s="524">
        <f t="shared" ref="H68:L76" si="22">H18-H43</f>
        <v>0</v>
      </c>
      <c r="I68" s="524">
        <f t="shared" si="22"/>
        <v>6.0000000000002274E-3</v>
      </c>
      <c r="J68" s="524">
        <f t="shared" si="22"/>
        <v>3.0000000000001137E-3</v>
      </c>
      <c r="K68" s="524">
        <f t="shared" si="22"/>
        <v>-15.010999999999999</v>
      </c>
      <c r="L68" s="524">
        <f t="shared" si="22"/>
        <v>-15.001999999999953</v>
      </c>
      <c r="M68" s="170"/>
      <c r="N68" s="524">
        <f t="shared" si="18"/>
        <v>0</v>
      </c>
      <c r="O68" s="524">
        <f t="shared" si="18"/>
        <v>-472.40085196737891</v>
      </c>
      <c r="P68" s="524">
        <f t="shared" si="18"/>
        <v>-4.9889999999999759</v>
      </c>
      <c r="Q68" s="322">
        <f t="shared" si="18"/>
        <v>-2</v>
      </c>
      <c r="R68" s="611">
        <f t="shared" si="20"/>
        <v>-479.38985196737889</v>
      </c>
      <c r="S68" s="524"/>
      <c r="AA68" s="665"/>
      <c r="AB68" s="721"/>
      <c r="AC68" s="381"/>
    </row>
    <row r="69" spans="1:29">
      <c r="A69" s="169">
        <f t="shared" si="15"/>
        <v>2023</v>
      </c>
      <c r="B69" s="1401">
        <f t="shared" si="21"/>
        <v>-1498</v>
      </c>
      <c r="C69" s="524">
        <f t="shared" si="21"/>
        <v>20</v>
      </c>
      <c r="D69" s="1401">
        <f t="shared" si="21"/>
        <v>-1478</v>
      </c>
      <c r="E69" s="1401">
        <f t="shared" si="21"/>
        <v>951.58875803261992</v>
      </c>
      <c r="F69" s="524">
        <f t="shared" si="21"/>
        <v>-526.41124196738019</v>
      </c>
      <c r="G69" s="170"/>
      <c r="H69" s="524">
        <f t="shared" si="22"/>
        <v>0</v>
      </c>
      <c r="I69" s="524">
        <f t="shared" si="22"/>
        <v>6.0000000000002274E-3</v>
      </c>
      <c r="J69" s="524">
        <f t="shared" si="22"/>
        <v>3.0000000000001137E-3</v>
      </c>
      <c r="K69" s="524">
        <f t="shared" si="22"/>
        <v>-15.010999999999999</v>
      </c>
      <c r="L69" s="524">
        <f t="shared" si="22"/>
        <v>-15.001999999999953</v>
      </c>
      <c r="M69" s="170"/>
      <c r="N69" s="524">
        <f t="shared" si="18"/>
        <v>0</v>
      </c>
      <c r="O69" s="524">
        <f t="shared" si="18"/>
        <v>-541.4132419673806</v>
      </c>
      <c r="P69" s="524">
        <f t="shared" si="18"/>
        <v>-4.9889999999999759</v>
      </c>
      <c r="Q69" s="322">
        <f t="shared" si="18"/>
        <v>-2</v>
      </c>
      <c r="R69" s="611">
        <f t="shared" si="20"/>
        <v>-548.40224196738063</v>
      </c>
      <c r="S69" s="524"/>
      <c r="AA69" s="665"/>
      <c r="AB69" s="721"/>
      <c r="AC69" s="381"/>
    </row>
    <row r="70" spans="1:29">
      <c r="A70" s="169">
        <f t="shared" si="15"/>
        <v>2024</v>
      </c>
      <c r="B70" s="1401">
        <f t="shared" si="21"/>
        <v>-1569</v>
      </c>
      <c r="C70" s="524">
        <f t="shared" si="21"/>
        <v>20</v>
      </c>
      <c r="D70" s="1401">
        <f t="shared" si="21"/>
        <v>-1549</v>
      </c>
      <c r="E70" s="1401">
        <f t="shared" si="21"/>
        <v>951.5763680326196</v>
      </c>
      <c r="F70" s="524">
        <f t="shared" si="21"/>
        <v>-597.42363196738006</v>
      </c>
      <c r="G70" s="170"/>
      <c r="H70" s="524">
        <f t="shared" si="22"/>
        <v>0</v>
      </c>
      <c r="I70" s="524">
        <f t="shared" si="22"/>
        <v>7.0000000000014495E-3</v>
      </c>
      <c r="J70" s="524">
        <f t="shared" si="22"/>
        <v>3.0000000000001137E-3</v>
      </c>
      <c r="K70" s="524">
        <f t="shared" si="22"/>
        <v>-15.010999999999999</v>
      </c>
      <c r="L70" s="524">
        <f t="shared" si="22"/>
        <v>-15.000999999999976</v>
      </c>
      <c r="M70" s="170"/>
      <c r="N70" s="524">
        <f t="shared" si="18"/>
        <v>0</v>
      </c>
      <c r="O70" s="524">
        <f t="shared" si="18"/>
        <v>-612.42463196738026</v>
      </c>
      <c r="P70" s="524">
        <f t="shared" si="18"/>
        <v>-4.9889999999999759</v>
      </c>
      <c r="Q70" s="322">
        <f t="shared" si="18"/>
        <v>-4</v>
      </c>
      <c r="R70" s="611">
        <f t="shared" si="20"/>
        <v>-621.4136319673803</v>
      </c>
      <c r="S70" s="524"/>
      <c r="T70" s="28"/>
      <c r="AA70" s="665"/>
      <c r="AB70" s="721"/>
      <c r="AC70" s="381"/>
    </row>
    <row r="71" spans="1:29">
      <c r="A71" s="169">
        <f t="shared" si="15"/>
        <v>2025</v>
      </c>
      <c r="B71" s="1401">
        <f t="shared" si="21"/>
        <v>-1643</v>
      </c>
      <c r="C71" s="524">
        <f t="shared" si="21"/>
        <v>35</v>
      </c>
      <c r="D71" s="1401">
        <f t="shared" si="21"/>
        <v>-1608</v>
      </c>
      <c r="E71" s="1401">
        <f t="shared" si="21"/>
        <v>951.5639780326195</v>
      </c>
      <c r="F71" s="524">
        <f t="shared" si="21"/>
        <v>-656.43602196737993</v>
      </c>
      <c r="G71" s="170"/>
      <c r="H71" s="524">
        <f t="shared" si="22"/>
        <v>150</v>
      </c>
      <c r="I71" s="524">
        <f t="shared" si="22"/>
        <v>-1.9999999999988916E-3</v>
      </c>
      <c r="J71" s="524">
        <f t="shared" si="22"/>
        <v>3.0000000000001137E-3</v>
      </c>
      <c r="K71" s="524">
        <f t="shared" si="22"/>
        <v>-15.010999999999999</v>
      </c>
      <c r="L71" s="524">
        <f t="shared" si="22"/>
        <v>134.99</v>
      </c>
      <c r="M71" s="170"/>
      <c r="N71" s="524">
        <f t="shared" si="18"/>
        <v>0</v>
      </c>
      <c r="O71" s="524">
        <f t="shared" si="18"/>
        <v>-521.44602196738015</v>
      </c>
      <c r="P71" s="524">
        <f t="shared" si="18"/>
        <v>-19.988999999999976</v>
      </c>
      <c r="Q71" s="322">
        <f t="shared" si="18"/>
        <v>-3</v>
      </c>
      <c r="R71" s="611">
        <f t="shared" si="20"/>
        <v>-544.43502196738018</v>
      </c>
      <c r="S71" s="524"/>
      <c r="AA71" s="665"/>
      <c r="AB71" s="721"/>
      <c r="AC71" s="381"/>
    </row>
    <row r="72" spans="1:29">
      <c r="A72" s="169">
        <f t="shared" si="15"/>
        <v>2026</v>
      </c>
      <c r="B72" s="1401">
        <f t="shared" si="21"/>
        <v>-1720</v>
      </c>
      <c r="C72" s="524">
        <f t="shared" si="21"/>
        <v>50</v>
      </c>
      <c r="D72" s="1401">
        <f t="shared" si="21"/>
        <v>-1670</v>
      </c>
      <c r="E72" s="1401">
        <f t="shared" si="21"/>
        <v>951.55158803261941</v>
      </c>
      <c r="F72" s="524">
        <f t="shared" si="21"/>
        <v>-718.44841196738162</v>
      </c>
      <c r="G72" s="170"/>
      <c r="H72" s="524">
        <f t="shared" si="22"/>
        <v>300</v>
      </c>
      <c r="I72" s="524">
        <f t="shared" si="22"/>
        <v>-1.9999999999988916E-3</v>
      </c>
      <c r="J72" s="524">
        <f t="shared" si="22"/>
        <v>3.0000000000001137E-3</v>
      </c>
      <c r="K72" s="524">
        <f t="shared" si="22"/>
        <v>-15.010999999999999</v>
      </c>
      <c r="L72" s="524">
        <f t="shared" si="22"/>
        <v>284.99</v>
      </c>
      <c r="M72" s="170"/>
      <c r="N72" s="524">
        <f t="shared" si="18"/>
        <v>0</v>
      </c>
      <c r="O72" s="524">
        <f t="shared" si="18"/>
        <v>-433.45841196738183</v>
      </c>
      <c r="P72" s="524">
        <f t="shared" si="18"/>
        <v>-34.988999999999976</v>
      </c>
      <c r="Q72" s="322">
        <f t="shared" si="18"/>
        <v>-3</v>
      </c>
      <c r="R72" s="611">
        <f t="shared" si="20"/>
        <v>-471.44741196738181</v>
      </c>
      <c r="S72" s="524"/>
    </row>
    <row r="73" spans="1:29">
      <c r="A73" s="169">
        <f t="shared" si="15"/>
        <v>2027</v>
      </c>
      <c r="B73" s="1401">
        <f t="shared" si="21"/>
        <v>-1801</v>
      </c>
      <c r="C73" s="524">
        <f t="shared" si="21"/>
        <v>50</v>
      </c>
      <c r="D73" s="1401">
        <f t="shared" si="21"/>
        <v>-1751</v>
      </c>
      <c r="E73" s="1401">
        <f t="shared" si="21"/>
        <v>951.53919803261908</v>
      </c>
      <c r="F73" s="524">
        <f t="shared" si="21"/>
        <v>-799.46080196738149</v>
      </c>
      <c r="G73" s="170"/>
      <c r="H73" s="524">
        <f t="shared" si="22"/>
        <v>300</v>
      </c>
      <c r="I73" s="524">
        <f t="shared" si="22"/>
        <v>0</v>
      </c>
      <c r="J73" s="524">
        <f t="shared" si="22"/>
        <v>3.0000000000001137E-3</v>
      </c>
      <c r="K73" s="524">
        <f t="shared" si="22"/>
        <v>-15.010999999999999</v>
      </c>
      <c r="L73" s="524">
        <f t="shared" si="22"/>
        <v>284.99199999999996</v>
      </c>
      <c r="M73" s="170"/>
      <c r="N73" s="524">
        <f t="shared" si="18"/>
        <v>0</v>
      </c>
      <c r="O73" s="524">
        <f t="shared" si="18"/>
        <v>-514.46880196738311</v>
      </c>
      <c r="P73" s="524">
        <f t="shared" si="18"/>
        <v>-34.988999999999976</v>
      </c>
      <c r="Q73" s="322">
        <f t="shared" si="18"/>
        <v>-3</v>
      </c>
      <c r="R73" s="611">
        <f>O73+P73+Q73</f>
        <v>-552.45780196738315</v>
      </c>
      <c r="S73" s="524"/>
    </row>
    <row r="74" spans="1:29">
      <c r="A74" s="169">
        <f t="shared" si="15"/>
        <v>2028</v>
      </c>
      <c r="B74" s="1401">
        <f t="shared" si="21"/>
        <v>-1882</v>
      </c>
      <c r="C74" s="524">
        <f t="shared" si="21"/>
        <v>49</v>
      </c>
      <c r="D74" s="1401">
        <f t="shared" si="21"/>
        <v>-1833</v>
      </c>
      <c r="E74" s="1401">
        <f t="shared" si="21"/>
        <v>951.52680803261921</v>
      </c>
      <c r="F74" s="524">
        <f t="shared" si="21"/>
        <v>-881.47319196738135</v>
      </c>
      <c r="G74" s="170"/>
      <c r="H74" s="524">
        <f t="shared" si="22"/>
        <v>300</v>
      </c>
      <c r="I74" s="524">
        <f t="shared" si="22"/>
        <v>0</v>
      </c>
      <c r="J74" s="524">
        <f t="shared" si="22"/>
        <v>3.0000000000001137E-3</v>
      </c>
      <c r="K74" s="524">
        <f t="shared" si="22"/>
        <v>-15.010999999999999</v>
      </c>
      <c r="L74" s="524">
        <f t="shared" si="22"/>
        <v>284.99199999999996</v>
      </c>
      <c r="M74" s="170"/>
      <c r="N74" s="524">
        <f t="shared" si="18"/>
        <v>0</v>
      </c>
      <c r="O74" s="524">
        <f t="shared" si="18"/>
        <v>-596.48119196738116</v>
      </c>
      <c r="P74" s="524">
        <f t="shared" si="18"/>
        <v>-33.988999999999976</v>
      </c>
      <c r="Q74" s="322">
        <f t="shared" si="18"/>
        <v>-4</v>
      </c>
      <c r="R74" s="611">
        <f>O74+P74+Q74</f>
        <v>-634.4701919673812</v>
      </c>
      <c r="S74" s="524"/>
    </row>
    <row r="75" spans="1:29">
      <c r="A75" s="169">
        <f t="shared" si="15"/>
        <v>2029</v>
      </c>
      <c r="B75" s="1401">
        <f t="shared" si="21"/>
        <v>-1964</v>
      </c>
      <c r="C75" s="524">
        <f t="shared" si="21"/>
        <v>50</v>
      </c>
      <c r="D75" s="1401">
        <f t="shared" si="21"/>
        <v>-1914</v>
      </c>
      <c r="E75" s="1401">
        <f t="shared" si="21"/>
        <v>951.51441803261889</v>
      </c>
      <c r="F75" s="524">
        <f t="shared" si="21"/>
        <v>-962.48558196738122</v>
      </c>
      <c r="G75" s="170"/>
      <c r="H75" s="524">
        <f t="shared" si="22"/>
        <v>300</v>
      </c>
      <c r="I75" s="524">
        <f t="shared" si="22"/>
        <v>0</v>
      </c>
      <c r="J75" s="524">
        <f t="shared" si="22"/>
        <v>3.0000000000001137E-3</v>
      </c>
      <c r="K75" s="524">
        <f t="shared" si="22"/>
        <v>-15.010999999999999</v>
      </c>
      <c r="L75" s="524">
        <f t="shared" si="22"/>
        <v>284.99199999999996</v>
      </c>
      <c r="M75" s="170"/>
      <c r="N75" s="524">
        <f t="shared" si="18"/>
        <v>0</v>
      </c>
      <c r="O75" s="524">
        <f t="shared" si="18"/>
        <v>-677.49358196738103</v>
      </c>
      <c r="P75" s="524">
        <f t="shared" si="18"/>
        <v>-34.988999999999976</v>
      </c>
      <c r="Q75" s="322">
        <f t="shared" si="18"/>
        <v>-3</v>
      </c>
      <c r="R75" s="611">
        <f>O75+P75+Q75</f>
        <v>-715.48258196738107</v>
      </c>
      <c r="S75" s="524"/>
    </row>
    <row r="76" spans="1:29">
      <c r="A76" s="168">
        <f t="shared" si="15"/>
        <v>2030</v>
      </c>
      <c r="B76" s="1402">
        <f t="shared" si="21"/>
        <v>-2049</v>
      </c>
      <c r="C76" s="525">
        <f t="shared" si="21"/>
        <v>50</v>
      </c>
      <c r="D76" s="1402">
        <f t="shared" si="21"/>
        <v>-1999</v>
      </c>
      <c r="E76" s="1402">
        <f t="shared" si="21"/>
        <v>951.50202803261902</v>
      </c>
      <c r="F76" s="525">
        <f t="shared" si="21"/>
        <v>-1047.4979719673793</v>
      </c>
      <c r="G76" s="519"/>
      <c r="H76" s="525">
        <f t="shared" si="22"/>
        <v>300</v>
      </c>
      <c r="I76" s="525">
        <f t="shared" si="22"/>
        <v>2.0000000000024443E-3</v>
      </c>
      <c r="J76" s="525">
        <f t="shared" si="22"/>
        <v>3.0000000000001137E-3</v>
      </c>
      <c r="K76" s="525">
        <f t="shared" si="22"/>
        <v>-15.010999999999999</v>
      </c>
      <c r="L76" s="525">
        <f t="shared" si="22"/>
        <v>284.99399999999991</v>
      </c>
      <c r="M76" s="519"/>
      <c r="N76" s="525">
        <f t="shared" si="18"/>
        <v>0</v>
      </c>
      <c r="O76" s="525">
        <f t="shared" si="18"/>
        <v>-762.50397196737867</v>
      </c>
      <c r="P76" s="525">
        <f t="shared" si="18"/>
        <v>-34.988999999999976</v>
      </c>
      <c r="Q76" s="597">
        <f t="shared" si="18"/>
        <v>-2</v>
      </c>
      <c r="R76" s="615">
        <f>O76+P76+Q76</f>
        <v>-799.49297196737871</v>
      </c>
      <c r="S76" s="524"/>
    </row>
    <row r="77" spans="1:29">
      <c r="A77" s="170"/>
      <c r="B77" s="171"/>
      <c r="C77" s="171"/>
      <c r="D77" s="171"/>
      <c r="E77" s="588"/>
      <c r="F77" s="171"/>
      <c r="G77" s="28"/>
      <c r="H77" s="171"/>
      <c r="I77" s="171"/>
      <c r="J77" s="171"/>
      <c r="K77" s="171"/>
      <c r="L77" s="171"/>
      <c r="M77" s="28"/>
      <c r="N77" s="524"/>
      <c r="O77" s="171"/>
      <c r="P77" s="171"/>
      <c r="Q77" s="171"/>
      <c r="R77" s="171"/>
      <c r="S77" s="171"/>
    </row>
    <row r="78" spans="1:29">
      <c r="A78" s="170"/>
      <c r="B78" s="171"/>
      <c r="C78" s="171"/>
      <c r="D78" s="171"/>
      <c r="E78" s="171"/>
      <c r="F78" s="171"/>
      <c r="G78" s="28"/>
      <c r="H78" s="171"/>
      <c r="I78" s="171"/>
      <c r="J78" s="171"/>
      <c r="K78" s="171"/>
      <c r="L78" s="171"/>
      <c r="M78" s="28"/>
      <c r="N78" s="524"/>
      <c r="O78" s="171"/>
      <c r="P78" s="171"/>
      <c r="Q78" s="171"/>
      <c r="R78" s="171"/>
      <c r="S78" s="171"/>
    </row>
    <row r="79" spans="1:29" ht="13.5" thickBot="1">
      <c r="A79" s="1621" t="s">
        <v>366</v>
      </c>
      <c r="B79" s="1622"/>
      <c r="C79" s="1622"/>
      <c r="D79" s="1622"/>
      <c r="E79" s="1622"/>
      <c r="F79" s="1622"/>
      <c r="G79" s="1622"/>
      <c r="H79" s="1622"/>
      <c r="I79" s="1622"/>
      <c r="J79" s="1622"/>
      <c r="K79" s="1622"/>
      <c r="L79" s="1622"/>
      <c r="M79" s="1622"/>
      <c r="N79" s="1622"/>
      <c r="O79" s="1622"/>
      <c r="P79" s="1622"/>
      <c r="Q79" s="1622"/>
      <c r="R79" s="1622"/>
      <c r="S79" s="171"/>
    </row>
    <row r="80" spans="1:29">
      <c r="S80" s="171"/>
    </row>
    <row r="81" spans="1:25">
      <c r="A81" s="1659" t="str">
        <f>A3</f>
        <v>FALL 2013</v>
      </c>
      <c r="B81" s="1660"/>
      <c r="C81" s="1660"/>
      <c r="D81" s="1660"/>
      <c r="E81" s="1660"/>
      <c r="F81" s="1660"/>
      <c r="G81" s="1660"/>
      <c r="H81" s="1660"/>
      <c r="I81" s="1660"/>
      <c r="J81" s="1660"/>
      <c r="K81" s="1660"/>
      <c r="L81" s="1660"/>
      <c r="M81" s="1660"/>
      <c r="N81" s="1660"/>
      <c r="O81" s="1660"/>
      <c r="P81" s="1660"/>
      <c r="Q81" s="1660"/>
      <c r="R81" s="1661"/>
      <c r="S81" s="171"/>
    </row>
    <row r="82" spans="1:25">
      <c r="A82" s="736"/>
      <c r="B82" s="520"/>
      <c r="C82" s="737"/>
      <c r="D82" s="737"/>
      <c r="F82" s="737" t="s">
        <v>21</v>
      </c>
      <c r="G82" s="737"/>
      <c r="H82" s="738"/>
      <c r="I82" s="738"/>
      <c r="J82" s="738"/>
      <c r="K82" s="738"/>
      <c r="L82" s="738"/>
      <c r="M82" s="738"/>
      <c r="N82" s="728"/>
      <c r="O82" s="737" t="str">
        <f>F82</f>
        <v>Total</v>
      </c>
      <c r="P82" s="738"/>
      <c r="Q82" s="738"/>
      <c r="R82" s="755"/>
      <c r="S82" s="171"/>
    </row>
    <row r="83" spans="1:25">
      <c r="A83" s="740"/>
      <c r="B83" s="170" t="s">
        <v>116</v>
      </c>
      <c r="C83" s="741"/>
      <c r="D83" s="591" t="s">
        <v>120</v>
      </c>
      <c r="E83" s="28"/>
      <c r="F83" s="591" t="s">
        <v>118</v>
      </c>
      <c r="G83" s="741"/>
      <c r="H83" s="1618" t="s">
        <v>123</v>
      </c>
      <c r="I83" s="1619"/>
      <c r="J83" s="1619"/>
      <c r="K83" s="1619"/>
      <c r="L83" s="1620"/>
      <c r="M83" s="590"/>
      <c r="N83" s="729"/>
      <c r="O83" s="741" t="s">
        <v>125</v>
      </c>
      <c r="P83" s="590"/>
      <c r="Q83" s="590"/>
      <c r="R83" s="742" t="s">
        <v>21</v>
      </c>
      <c r="S83" s="171"/>
    </row>
    <row r="84" spans="1:25">
      <c r="A84" s="740"/>
      <c r="B84" s="170" t="s">
        <v>117</v>
      </c>
      <c r="C84" s="741" t="s">
        <v>118</v>
      </c>
      <c r="D84" s="591" t="s">
        <v>21</v>
      </c>
      <c r="E84" s="591" t="s">
        <v>121</v>
      </c>
      <c r="F84" s="591" t="s">
        <v>122</v>
      </c>
      <c r="G84" s="741"/>
      <c r="H84" s="728" t="s">
        <v>21</v>
      </c>
      <c r="I84" s="728" t="s">
        <v>288</v>
      </c>
      <c r="J84" s="728"/>
      <c r="K84" s="730" t="s">
        <v>349</v>
      </c>
      <c r="L84" s="728"/>
      <c r="M84" s="591"/>
      <c r="N84" s="591" t="s">
        <v>264</v>
      </c>
      <c r="O84" s="741" t="str">
        <f>F84</f>
        <v>before</v>
      </c>
      <c r="P84" s="741" t="s">
        <v>21</v>
      </c>
      <c r="Q84" s="756" t="s">
        <v>147</v>
      </c>
      <c r="R84" s="742" t="s">
        <v>125</v>
      </c>
      <c r="S84" s="171"/>
    </row>
    <row r="85" spans="1:25">
      <c r="A85" s="743" t="s">
        <v>126</v>
      </c>
      <c r="B85" s="519" t="s">
        <v>118</v>
      </c>
      <c r="C85" s="744" t="s">
        <v>66</v>
      </c>
      <c r="D85" s="731" t="s">
        <v>118</v>
      </c>
      <c r="E85" s="731" t="s">
        <v>59</v>
      </c>
      <c r="F85" s="731" t="s">
        <v>62</v>
      </c>
      <c r="G85" s="744"/>
      <c r="H85" s="732" t="s">
        <v>154</v>
      </c>
      <c r="I85" s="732" t="s">
        <v>286</v>
      </c>
      <c r="J85" s="731" t="s">
        <v>287</v>
      </c>
      <c r="K85" s="733" t="s">
        <v>117</v>
      </c>
      <c r="L85" s="731" t="s">
        <v>0</v>
      </c>
      <c r="M85" s="744"/>
      <c r="N85" s="731" t="s">
        <v>124</v>
      </c>
      <c r="O85" s="744" t="str">
        <f>F85</f>
        <v>DLC</v>
      </c>
      <c r="P85" s="744" t="s">
        <v>66</v>
      </c>
      <c r="Q85" s="744" t="s">
        <v>131</v>
      </c>
      <c r="R85" s="745" t="s">
        <v>117</v>
      </c>
      <c r="S85" s="171"/>
    </row>
    <row r="86" spans="1:25" hidden="1">
      <c r="A86" s="746">
        <f t="shared" ref="A86:A104" si="23">A8</f>
        <v>2009</v>
      </c>
      <c r="B86" s="749" t="e">
        <f>'FALL13 vs TYSP13'!#REF!</f>
        <v>#REF!</v>
      </c>
      <c r="C86" s="757" t="e">
        <f>'FALL13 vs TYSP13'!#REF!</f>
        <v>#REF!</v>
      </c>
      <c r="D86" s="758" t="e">
        <f t="shared" ref="D86:D96" si="24">C86+B86</f>
        <v>#REF!</v>
      </c>
      <c r="E86" s="322" t="e">
        <f>'FALL13 vs TYSP13'!#REF!</f>
        <v>#REF!</v>
      </c>
      <c r="F86" s="758" t="e">
        <f t="shared" ref="F86:F96" si="25">E86+D86</f>
        <v>#REF!</v>
      </c>
      <c r="G86" s="591"/>
      <c r="H86" s="322" t="e">
        <f>'FALL13 vs TYSP13'!#REF!</f>
        <v>#REF!</v>
      </c>
      <c r="I86" s="322" t="e">
        <f>'FALL13 vs TYSP13'!#REF!</f>
        <v>#REF!</v>
      </c>
      <c r="J86" s="322" t="e">
        <f>'FALL13 vs TYSP13'!#REF!</f>
        <v>#REF!</v>
      </c>
      <c r="K86" s="322" t="e">
        <f>'FALL13 vs TYSP13'!#REF!</f>
        <v>#REF!</v>
      </c>
      <c r="L86" s="758" t="e">
        <f t="shared" ref="L86:L96" si="26">SUM(H86:K86)</f>
        <v>#REF!</v>
      </c>
      <c r="M86" s="591"/>
      <c r="N86" s="322" t="e">
        <f>'FALL13 vs TYSP13'!#REF!</f>
        <v>#REF!</v>
      </c>
      <c r="O86" s="589" t="e">
        <f t="shared" ref="O86:O96" si="27">N86+L86+F86</f>
        <v>#REF!</v>
      </c>
      <c r="P86" s="322" t="e">
        <f t="shared" ref="P86:P96" si="28">(C86+K86)*-1</f>
        <v>#REF!</v>
      </c>
      <c r="Q86" s="322" t="e">
        <f>'FALL13 vs TYSP13'!#REF!</f>
        <v>#REF!</v>
      </c>
      <c r="R86" s="759" t="e">
        <f t="shared" ref="R86:R96" si="29">O86+Q86+P86</f>
        <v>#REF!</v>
      </c>
      <c r="S86" s="171"/>
    </row>
    <row r="87" spans="1:25" hidden="1">
      <c r="A87" s="746">
        <f t="shared" si="23"/>
        <v>2013</v>
      </c>
      <c r="B87" s="749">
        <f>'FALL13 vs TYSP13'!B83</f>
        <v>8211</v>
      </c>
      <c r="C87" s="757">
        <f>'FALL13 vs TYSP13'!C83</f>
        <v>234</v>
      </c>
      <c r="D87" s="758">
        <f t="shared" si="24"/>
        <v>8445</v>
      </c>
      <c r="E87" s="322">
        <f>'FALL13 vs TYSP13'!E83</f>
        <v>0</v>
      </c>
      <c r="F87" s="758">
        <f t="shared" si="25"/>
        <v>8445</v>
      </c>
      <c r="G87" s="591"/>
      <c r="H87" s="322">
        <f>'FALL13 vs TYSP13'!H83</f>
        <v>600</v>
      </c>
      <c r="I87" s="322">
        <f>'FALL13 vs TYSP13'!I83</f>
        <v>41.75</v>
      </c>
      <c r="J87" s="322">
        <f>'FALL13 vs TYSP13'!J83</f>
        <v>288.09999999999997</v>
      </c>
      <c r="K87" s="322">
        <f>'FALL13 vs TYSP13'!K83</f>
        <v>15.01</v>
      </c>
      <c r="L87" s="758">
        <f t="shared" si="26"/>
        <v>944.8599999999999</v>
      </c>
      <c r="M87" s="591"/>
      <c r="N87" s="322">
        <f>'FALL13 vs TYSP13'!N83</f>
        <v>25</v>
      </c>
      <c r="O87" s="589">
        <f t="shared" si="27"/>
        <v>9414.86</v>
      </c>
      <c r="P87" s="322">
        <f t="shared" si="28"/>
        <v>-249.01</v>
      </c>
      <c r="Q87" s="322">
        <f>'FALL13 vs TYSP13'!Q83</f>
        <v>-438</v>
      </c>
      <c r="R87" s="759">
        <f t="shared" si="29"/>
        <v>8727.85</v>
      </c>
      <c r="S87" s="171"/>
      <c r="V87" s="582"/>
      <c r="X87" s="320"/>
      <c r="Y87" s="219"/>
    </row>
    <row r="88" spans="1:25">
      <c r="A88" s="746">
        <f t="shared" si="23"/>
        <v>2014</v>
      </c>
      <c r="B88" s="749">
        <f>'FALL13 vs TYSP13'!B84</f>
        <v>8476</v>
      </c>
      <c r="C88" s="757">
        <f>'FALL13 vs TYSP13'!C84</f>
        <v>249</v>
      </c>
      <c r="D88" s="758">
        <f t="shared" si="24"/>
        <v>8725</v>
      </c>
      <c r="E88" s="322">
        <f>'FALL13 vs TYSP13'!E84</f>
        <v>-45.08925304429556</v>
      </c>
      <c r="F88" s="758">
        <f t="shared" si="25"/>
        <v>8679.9107469557039</v>
      </c>
      <c r="G88" s="591"/>
      <c r="H88" s="322">
        <f>'FALL13 vs TYSP13'!H84</f>
        <v>550</v>
      </c>
      <c r="I88" s="322">
        <f>'FALL13 vs TYSP13'!I84</f>
        <v>41.93</v>
      </c>
      <c r="J88" s="322">
        <f>'FALL13 vs TYSP13'!J84</f>
        <v>212.04999999999998</v>
      </c>
      <c r="K88" s="322">
        <f>'FALL13 vs TYSP13'!K84</f>
        <v>0</v>
      </c>
      <c r="L88" s="758">
        <f t="shared" si="26"/>
        <v>803.9799999999999</v>
      </c>
      <c r="M88" s="591"/>
      <c r="N88" s="322">
        <f>'FALL13 vs TYSP13'!N84</f>
        <v>25</v>
      </c>
      <c r="O88" s="589">
        <f t="shared" si="27"/>
        <v>9508.8907469557034</v>
      </c>
      <c r="P88" s="322">
        <f t="shared" si="28"/>
        <v>-249</v>
      </c>
      <c r="Q88" s="322">
        <f>'FALL13 vs TYSP13'!Q84</f>
        <v>-448</v>
      </c>
      <c r="R88" s="759">
        <f t="shared" si="29"/>
        <v>8811.8907469557034</v>
      </c>
      <c r="S88" s="171"/>
      <c r="V88" s="582"/>
      <c r="X88" s="320"/>
      <c r="Y88" s="219"/>
    </row>
    <row r="89" spans="1:25">
      <c r="A89" s="746">
        <f t="shared" si="23"/>
        <v>2015</v>
      </c>
      <c r="B89" s="749">
        <f>'FALL13 vs TYSP13'!B85</f>
        <v>8744</v>
      </c>
      <c r="C89" s="757">
        <f>'FALL13 vs TYSP13'!C85</f>
        <v>251</v>
      </c>
      <c r="D89" s="758">
        <f t="shared" si="24"/>
        <v>8995</v>
      </c>
      <c r="E89" s="322">
        <f>'FALL13 vs TYSP13'!E85</f>
        <v>-76.258011385726263</v>
      </c>
      <c r="F89" s="758">
        <f t="shared" si="25"/>
        <v>8918.7419886142743</v>
      </c>
      <c r="G89" s="591"/>
      <c r="H89" s="322">
        <f>'FALL13 vs TYSP13'!H85</f>
        <v>550</v>
      </c>
      <c r="I89" s="322">
        <f>'FALL13 vs TYSP13'!I85</f>
        <v>42.010000000000005</v>
      </c>
      <c r="J89" s="322">
        <f>'FALL13 vs TYSP13'!J85</f>
        <v>214.04999999999998</v>
      </c>
      <c r="K89" s="322">
        <f>'FALL13 vs TYSP13'!K85</f>
        <v>0</v>
      </c>
      <c r="L89" s="758">
        <f t="shared" si="26"/>
        <v>806.06</v>
      </c>
      <c r="M89" s="591"/>
      <c r="N89" s="322">
        <f>'FALL13 vs TYSP13'!N85</f>
        <v>25</v>
      </c>
      <c r="O89" s="589">
        <f t="shared" si="27"/>
        <v>9749.8019886142738</v>
      </c>
      <c r="P89" s="322">
        <f t="shared" si="28"/>
        <v>-251</v>
      </c>
      <c r="Q89" s="322">
        <f>'FALL13 vs TYSP13'!Q85</f>
        <v>-457</v>
      </c>
      <c r="R89" s="759">
        <f t="shared" si="29"/>
        <v>9041.8019886142738</v>
      </c>
      <c r="S89" s="171"/>
      <c r="V89" s="582"/>
      <c r="X89" s="320"/>
      <c r="Y89" s="219"/>
    </row>
    <row r="90" spans="1:25">
      <c r="A90" s="746">
        <f t="shared" si="23"/>
        <v>2016</v>
      </c>
      <c r="B90" s="749">
        <f>'FALL13 vs TYSP13'!B86</f>
        <v>9036</v>
      </c>
      <c r="C90" s="757">
        <f>'FALL13 vs TYSP13'!C86</f>
        <v>250</v>
      </c>
      <c r="D90" s="758">
        <f t="shared" si="24"/>
        <v>9286</v>
      </c>
      <c r="E90" s="322">
        <f>'FALL13 vs TYSP13'!E86</f>
        <v>-104.46434847675221</v>
      </c>
      <c r="F90" s="758">
        <f t="shared" si="25"/>
        <v>9181.535651523247</v>
      </c>
      <c r="G90" s="591"/>
      <c r="H90" s="322">
        <f>'FALL13 vs TYSP13'!H86</f>
        <v>400</v>
      </c>
      <c r="I90" s="322">
        <f>'FALL13 vs TYSP13'!I86</f>
        <v>42.180000000000007</v>
      </c>
      <c r="J90" s="322">
        <f>'FALL13 vs TYSP13'!J86</f>
        <v>216.04999999999998</v>
      </c>
      <c r="K90" s="322">
        <f>'FALL13 vs TYSP13'!K86</f>
        <v>0</v>
      </c>
      <c r="L90" s="758">
        <f t="shared" si="26"/>
        <v>658.23</v>
      </c>
      <c r="M90" s="591"/>
      <c r="N90" s="322">
        <f>'FALL13 vs TYSP13'!N86</f>
        <v>25</v>
      </c>
      <c r="O90" s="589">
        <f t="shared" si="27"/>
        <v>9864.7656515232466</v>
      </c>
      <c r="P90" s="322">
        <f t="shared" si="28"/>
        <v>-250</v>
      </c>
      <c r="Q90" s="322">
        <f>'FALL13 vs TYSP13'!Q86</f>
        <v>-466</v>
      </c>
      <c r="R90" s="759">
        <f t="shared" si="29"/>
        <v>9148.7656515232466</v>
      </c>
      <c r="S90" s="171"/>
      <c r="V90" s="582"/>
      <c r="X90" s="320"/>
      <c r="Y90" s="219"/>
    </row>
    <row r="91" spans="1:25">
      <c r="A91" s="746">
        <f t="shared" si="23"/>
        <v>2017</v>
      </c>
      <c r="B91" s="749">
        <f>'FALL13 vs TYSP13'!B87</f>
        <v>9330</v>
      </c>
      <c r="C91" s="757">
        <f>'FALL13 vs TYSP13'!C87</f>
        <v>251</v>
      </c>
      <c r="D91" s="758">
        <f t="shared" si="24"/>
        <v>9581</v>
      </c>
      <c r="E91" s="322">
        <f>'FALL13 vs TYSP13'!E87</f>
        <v>-129.18061290106868</v>
      </c>
      <c r="F91" s="758">
        <f t="shared" si="25"/>
        <v>9451.8193870989307</v>
      </c>
      <c r="G91" s="591"/>
      <c r="H91" s="322">
        <f>'FALL13 vs TYSP13'!H87</f>
        <v>500</v>
      </c>
      <c r="I91" s="322">
        <f>'FALL13 vs TYSP13'!I87</f>
        <v>22.13</v>
      </c>
      <c r="J91" s="322">
        <f>'FALL13 vs TYSP13'!J87</f>
        <v>65.05</v>
      </c>
      <c r="K91" s="322">
        <f>'FALL13 vs TYSP13'!K87</f>
        <v>0</v>
      </c>
      <c r="L91" s="758">
        <f t="shared" si="26"/>
        <v>587.17999999999995</v>
      </c>
      <c r="M91" s="591"/>
      <c r="N91" s="322">
        <f>'FALL13 vs TYSP13'!N87</f>
        <v>25</v>
      </c>
      <c r="O91" s="589">
        <f t="shared" si="27"/>
        <v>10063.999387098931</v>
      </c>
      <c r="P91" s="322">
        <f t="shared" si="28"/>
        <v>-251</v>
      </c>
      <c r="Q91" s="322">
        <f>'FALL13 vs TYSP13'!Q87</f>
        <v>-506</v>
      </c>
      <c r="R91" s="759">
        <f t="shared" si="29"/>
        <v>9306.999387098931</v>
      </c>
      <c r="S91" s="171"/>
      <c r="V91" s="582"/>
      <c r="X91" s="320"/>
      <c r="Y91" s="219"/>
    </row>
    <row r="92" spans="1:25">
      <c r="A92" s="746">
        <f t="shared" si="23"/>
        <v>2018</v>
      </c>
      <c r="B92" s="749">
        <f>'FALL13 vs TYSP13'!B88</f>
        <v>9494</v>
      </c>
      <c r="C92" s="757">
        <f>'FALL13 vs TYSP13'!C88</f>
        <v>258</v>
      </c>
      <c r="D92" s="758">
        <f t="shared" si="24"/>
        <v>9752</v>
      </c>
      <c r="E92" s="322">
        <f>'FALL13 vs TYSP13'!E88</f>
        <v>-151.10558733358027</v>
      </c>
      <c r="F92" s="758">
        <f t="shared" si="25"/>
        <v>9600.8944126664192</v>
      </c>
      <c r="G92" s="591"/>
      <c r="H92" s="322">
        <f>'FALL13 vs TYSP13'!H88</f>
        <v>500</v>
      </c>
      <c r="I92" s="322">
        <f>'FALL13 vs TYSP13'!I88</f>
        <v>22.17</v>
      </c>
      <c r="J92" s="322">
        <f>'FALL13 vs TYSP13'!J88</f>
        <v>65.05</v>
      </c>
      <c r="K92" s="322">
        <f>'FALL13 vs TYSP13'!K88</f>
        <v>0</v>
      </c>
      <c r="L92" s="758">
        <f t="shared" si="26"/>
        <v>587.21999999999991</v>
      </c>
      <c r="M92" s="591"/>
      <c r="N92" s="322">
        <f>'FALL13 vs TYSP13'!N88</f>
        <v>25</v>
      </c>
      <c r="O92" s="589">
        <f t="shared" si="27"/>
        <v>10213.114412666419</v>
      </c>
      <c r="P92" s="322">
        <f t="shared" si="28"/>
        <v>-258</v>
      </c>
      <c r="Q92" s="322">
        <f>'FALL13 vs TYSP13'!Q88</f>
        <v>-516</v>
      </c>
      <c r="R92" s="759">
        <f t="shared" si="29"/>
        <v>9439.1144126664185</v>
      </c>
      <c r="S92" s="171"/>
      <c r="V92" s="582"/>
      <c r="X92" s="320"/>
      <c r="Y92" s="219"/>
    </row>
    <row r="93" spans="1:25">
      <c r="A93" s="746">
        <f t="shared" si="23"/>
        <v>2019</v>
      </c>
      <c r="B93" s="749">
        <f>'FALL13 vs TYSP13'!B89</f>
        <v>9648</v>
      </c>
      <c r="C93" s="757">
        <f>'FALL13 vs TYSP13'!C89</f>
        <v>305</v>
      </c>
      <c r="D93" s="758">
        <f t="shared" si="24"/>
        <v>9953</v>
      </c>
      <c r="E93" s="322">
        <f>'FALL13 vs TYSP13'!E89</f>
        <v>-171.93647971113307</v>
      </c>
      <c r="F93" s="758">
        <f t="shared" si="25"/>
        <v>9781.0635202888661</v>
      </c>
      <c r="G93" s="591"/>
      <c r="H93" s="322">
        <f>'FALL13 vs TYSP13'!H89</f>
        <v>750</v>
      </c>
      <c r="I93" s="322">
        <f>'FALL13 vs TYSP13'!I89</f>
        <v>22.220000000000002</v>
      </c>
      <c r="J93" s="322">
        <f>'FALL13 vs TYSP13'!J89</f>
        <v>65.05</v>
      </c>
      <c r="K93" s="322">
        <f>'FALL13 vs TYSP13'!K89</f>
        <v>0</v>
      </c>
      <c r="L93" s="758">
        <f t="shared" si="26"/>
        <v>837.27</v>
      </c>
      <c r="M93" s="591"/>
      <c r="N93" s="322">
        <f>'FALL13 vs TYSP13'!N89</f>
        <v>25</v>
      </c>
      <c r="O93" s="589">
        <f t="shared" si="27"/>
        <v>10643.333520288867</v>
      </c>
      <c r="P93" s="322">
        <f t="shared" si="28"/>
        <v>-305</v>
      </c>
      <c r="Q93" s="322">
        <f>'FALL13 vs TYSP13'!Q89</f>
        <v>-525</v>
      </c>
      <c r="R93" s="759">
        <f t="shared" si="29"/>
        <v>9813.3335202888666</v>
      </c>
      <c r="S93" s="171"/>
      <c r="V93" s="582"/>
      <c r="X93" s="320"/>
      <c r="Y93" s="219"/>
    </row>
    <row r="94" spans="1:25">
      <c r="A94" s="746">
        <f t="shared" si="23"/>
        <v>2020</v>
      </c>
      <c r="B94" s="749">
        <f>'FALL13 vs TYSP13'!B90</f>
        <v>9800</v>
      </c>
      <c r="C94" s="757">
        <f>'FALL13 vs TYSP13'!C90</f>
        <v>327</v>
      </c>
      <c r="D94" s="758">
        <f t="shared" si="24"/>
        <v>10127</v>
      </c>
      <c r="E94" s="322">
        <f>'FALL13 vs TYSP13'!E90</f>
        <v>-193.47947653224503</v>
      </c>
      <c r="F94" s="758">
        <f t="shared" si="25"/>
        <v>9933.5205234677542</v>
      </c>
      <c r="G94" s="591"/>
      <c r="H94" s="322">
        <f>'FALL13 vs TYSP13'!H90</f>
        <v>750</v>
      </c>
      <c r="I94" s="322">
        <f>'FALL13 vs TYSP13'!I90</f>
        <v>22.36</v>
      </c>
      <c r="J94" s="322">
        <f>'FALL13 vs TYSP13'!J90</f>
        <v>65.05</v>
      </c>
      <c r="K94" s="322">
        <f>'FALL13 vs TYSP13'!K90</f>
        <v>0</v>
      </c>
      <c r="L94" s="758">
        <f t="shared" si="26"/>
        <v>837.41</v>
      </c>
      <c r="M94" s="591"/>
      <c r="N94" s="322">
        <f>'FALL13 vs TYSP13'!N90</f>
        <v>25</v>
      </c>
      <c r="O94" s="589">
        <f t="shared" si="27"/>
        <v>10795.930523467754</v>
      </c>
      <c r="P94" s="322">
        <f t="shared" si="28"/>
        <v>-327</v>
      </c>
      <c r="Q94" s="322">
        <f>'FALL13 vs TYSP13'!Q90</f>
        <v>-534</v>
      </c>
      <c r="R94" s="759">
        <f t="shared" si="29"/>
        <v>9934.930523467754</v>
      </c>
      <c r="S94" s="171"/>
      <c r="V94" s="582"/>
      <c r="X94" s="320"/>
      <c r="Y94" s="219"/>
    </row>
    <row r="95" spans="1:25">
      <c r="A95" s="746">
        <f t="shared" si="23"/>
        <v>2021</v>
      </c>
      <c r="B95" s="749">
        <f>'FALL13 vs TYSP13'!B91</f>
        <v>9946</v>
      </c>
      <c r="C95" s="757">
        <f>'FALL13 vs TYSP13'!C91</f>
        <v>328</v>
      </c>
      <c r="D95" s="758">
        <f t="shared" si="24"/>
        <v>10274</v>
      </c>
      <c r="E95" s="322">
        <f>'FALL13 vs TYSP13'!E91</f>
        <v>-213.24726338500761</v>
      </c>
      <c r="F95" s="758">
        <f t="shared" si="25"/>
        <v>10060.752736614992</v>
      </c>
      <c r="G95" s="591"/>
      <c r="H95" s="322">
        <f>'FALL13 vs TYSP13'!H91</f>
        <v>650</v>
      </c>
      <c r="I95" s="322">
        <f>'FALL13 vs TYSP13'!I91</f>
        <v>22.4</v>
      </c>
      <c r="J95" s="322">
        <f>'FALL13 vs TYSP13'!J91</f>
        <v>65.05</v>
      </c>
      <c r="K95" s="322">
        <f>'FALL13 vs TYSP13'!K91</f>
        <v>0</v>
      </c>
      <c r="L95" s="758">
        <f t="shared" si="26"/>
        <v>737.44999999999993</v>
      </c>
      <c r="M95" s="591"/>
      <c r="N95" s="322">
        <f>'FALL13 vs TYSP13'!N91</f>
        <v>25</v>
      </c>
      <c r="O95" s="589">
        <f t="shared" si="27"/>
        <v>10823.202736614992</v>
      </c>
      <c r="P95" s="322">
        <f t="shared" si="28"/>
        <v>-328</v>
      </c>
      <c r="Q95" s="322">
        <f>'FALL13 vs TYSP13'!Q91</f>
        <v>-543</v>
      </c>
      <c r="R95" s="759">
        <f t="shared" si="29"/>
        <v>9952.2027366149923</v>
      </c>
      <c r="S95" s="171"/>
      <c r="V95" s="582"/>
      <c r="X95" s="320"/>
      <c r="Y95" s="219"/>
    </row>
    <row r="96" spans="1:25">
      <c r="A96" s="746">
        <f t="shared" si="23"/>
        <v>2022</v>
      </c>
      <c r="B96" s="749">
        <f>'FALL13 vs TYSP13'!B92</f>
        <v>10089</v>
      </c>
      <c r="C96" s="757">
        <f>'FALL13 vs TYSP13'!C92</f>
        <v>328</v>
      </c>
      <c r="D96" s="758">
        <f t="shared" si="24"/>
        <v>10417</v>
      </c>
      <c r="E96" s="322">
        <f>'FALL13 vs TYSP13'!E92</f>
        <v>-232.07538266340975</v>
      </c>
      <c r="F96" s="758">
        <f t="shared" si="25"/>
        <v>10184.92461733659</v>
      </c>
      <c r="G96" s="591"/>
      <c r="H96" s="322">
        <f>'FALL13 vs TYSP13'!H92</f>
        <v>650</v>
      </c>
      <c r="I96" s="322">
        <f>'FALL13 vs TYSP13'!I92</f>
        <v>22.54</v>
      </c>
      <c r="J96" s="322">
        <f>'FALL13 vs TYSP13'!J92</f>
        <v>65.05</v>
      </c>
      <c r="K96" s="322">
        <f>'FALL13 vs TYSP13'!K92</f>
        <v>0</v>
      </c>
      <c r="L96" s="758">
        <f t="shared" si="26"/>
        <v>737.58999999999992</v>
      </c>
      <c r="M96" s="591"/>
      <c r="N96" s="322">
        <f>'FALL13 vs TYSP13'!N92</f>
        <v>25</v>
      </c>
      <c r="O96" s="589">
        <f t="shared" si="27"/>
        <v>10947.51461733659</v>
      </c>
      <c r="P96" s="322">
        <f t="shared" si="28"/>
        <v>-328</v>
      </c>
      <c r="Q96" s="322">
        <f>'FALL13 vs TYSP13'!Q92</f>
        <v>-553</v>
      </c>
      <c r="R96" s="759">
        <f t="shared" si="29"/>
        <v>10066.51461733659</v>
      </c>
      <c r="S96" s="171"/>
      <c r="V96" s="582"/>
      <c r="X96" s="320"/>
      <c r="Y96" s="219"/>
    </row>
    <row r="97" spans="1:25">
      <c r="A97" s="746">
        <f t="shared" si="23"/>
        <v>2023</v>
      </c>
      <c r="B97" s="749">
        <f>'FALL13 vs TYSP13'!B93</f>
        <v>10222</v>
      </c>
      <c r="C97" s="757">
        <f>'FALL13 vs TYSP13'!C93</f>
        <v>328</v>
      </c>
      <c r="D97" s="758">
        <f t="shared" ref="D97:D104" si="30">C97+B97</f>
        <v>10550</v>
      </c>
      <c r="E97" s="322">
        <f>'FALL13 vs TYSP13'!E93</f>
        <v>-250.28935373436445</v>
      </c>
      <c r="F97" s="758">
        <f t="shared" ref="F97:F104" si="31">E97+D97</f>
        <v>10299.710646265636</v>
      </c>
      <c r="G97" s="591"/>
      <c r="H97" s="322">
        <f>'FALL13 vs TYSP13'!H93</f>
        <v>650</v>
      </c>
      <c r="I97" s="322">
        <f>'FALL13 vs TYSP13'!I93</f>
        <v>22.68</v>
      </c>
      <c r="J97" s="322">
        <f>'FALL13 vs TYSP13'!J93</f>
        <v>65.05</v>
      </c>
      <c r="K97" s="322">
        <f>'FALL13 vs TYSP13'!K93</f>
        <v>0</v>
      </c>
      <c r="L97" s="758">
        <f t="shared" ref="L97:L104" si="32">SUM(H97:K97)</f>
        <v>737.7299999999999</v>
      </c>
      <c r="M97" s="591"/>
      <c r="N97" s="322">
        <f>'FALL13 vs TYSP13'!N93</f>
        <v>25</v>
      </c>
      <c r="O97" s="589">
        <f t="shared" ref="O97:O104" si="33">N97+L97+F97</f>
        <v>11062.440646265635</v>
      </c>
      <c r="P97" s="322">
        <f t="shared" ref="P97:P104" si="34">(C97+K97)*-1</f>
        <v>-328</v>
      </c>
      <c r="Q97" s="322">
        <f>'FALL13 vs TYSP13'!Q93</f>
        <v>-562</v>
      </c>
      <c r="R97" s="759">
        <f t="shared" ref="R97:R104" si="35">O97+Q97+P97</f>
        <v>10172.440646265635</v>
      </c>
      <c r="S97" s="171"/>
      <c r="V97" s="582"/>
      <c r="X97" s="320"/>
      <c r="Y97" s="219"/>
    </row>
    <row r="98" spans="1:25">
      <c r="A98" s="746">
        <f t="shared" si="23"/>
        <v>2024</v>
      </c>
      <c r="B98" s="749">
        <f>'FALL13 vs TYSP13'!B94</f>
        <v>10353</v>
      </c>
      <c r="C98" s="757">
        <f>'FALL13 vs TYSP13'!C94</f>
        <v>327</v>
      </c>
      <c r="D98" s="758">
        <f t="shared" si="30"/>
        <v>10680</v>
      </c>
      <c r="E98" s="322">
        <f>'FALL13 vs TYSP13'!E94</f>
        <v>-268.17320954291267</v>
      </c>
      <c r="F98" s="758">
        <f t="shared" si="31"/>
        <v>10411.826790457088</v>
      </c>
      <c r="G98" s="591"/>
      <c r="H98" s="322">
        <f>'FALL13 vs TYSP13'!H94</f>
        <v>650</v>
      </c>
      <c r="I98" s="322">
        <f>'FALL13 vs TYSP13'!I94</f>
        <v>22.81</v>
      </c>
      <c r="J98" s="322">
        <f>'FALL13 vs TYSP13'!J94</f>
        <v>65.05</v>
      </c>
      <c r="K98" s="322">
        <f>'FALL13 vs TYSP13'!K94</f>
        <v>0</v>
      </c>
      <c r="L98" s="758">
        <f t="shared" si="32"/>
        <v>737.8599999999999</v>
      </c>
      <c r="M98" s="591"/>
      <c r="N98" s="322">
        <f>'FALL13 vs TYSP13'!N94</f>
        <v>25</v>
      </c>
      <c r="O98" s="589">
        <f t="shared" si="33"/>
        <v>11174.686790457088</v>
      </c>
      <c r="P98" s="322">
        <f t="shared" si="34"/>
        <v>-327</v>
      </c>
      <c r="Q98" s="322">
        <f>'FALL13 vs TYSP13'!Q94</f>
        <v>-571</v>
      </c>
      <c r="R98" s="759">
        <f t="shared" si="35"/>
        <v>10276.686790457088</v>
      </c>
      <c r="S98" s="171"/>
      <c r="V98" s="582"/>
      <c r="X98" s="320"/>
      <c r="Y98" s="219"/>
    </row>
    <row r="99" spans="1:25">
      <c r="A99" s="746">
        <f t="shared" si="23"/>
        <v>2025</v>
      </c>
      <c r="B99" s="749">
        <f>'FALL13 vs TYSP13'!B95</f>
        <v>10477</v>
      </c>
      <c r="C99" s="757">
        <f>'FALL13 vs TYSP13'!C95</f>
        <v>328</v>
      </c>
      <c r="D99" s="758">
        <f t="shared" si="30"/>
        <v>10805</v>
      </c>
      <c r="E99" s="322">
        <f>'FALL13 vs TYSP13'!E95</f>
        <v>-285.80956240458011</v>
      </c>
      <c r="F99" s="758">
        <f t="shared" si="31"/>
        <v>10519.19043759542</v>
      </c>
      <c r="G99" s="591"/>
      <c r="H99" s="322">
        <f>'FALL13 vs TYSP13'!H95</f>
        <v>650</v>
      </c>
      <c r="I99" s="322">
        <f>'FALL13 vs TYSP13'!I95</f>
        <v>22.95</v>
      </c>
      <c r="J99" s="322">
        <f>'FALL13 vs TYSP13'!J95</f>
        <v>65.05</v>
      </c>
      <c r="K99" s="322">
        <f>'FALL13 vs TYSP13'!K95</f>
        <v>0</v>
      </c>
      <c r="L99" s="758">
        <f t="shared" si="32"/>
        <v>738</v>
      </c>
      <c r="M99" s="591"/>
      <c r="N99" s="322">
        <f>'FALL13 vs TYSP13'!N95</f>
        <v>25</v>
      </c>
      <c r="O99" s="589">
        <f t="shared" si="33"/>
        <v>11282.19043759542</v>
      </c>
      <c r="P99" s="322">
        <f t="shared" si="34"/>
        <v>-328</v>
      </c>
      <c r="Q99" s="322">
        <f>'FALL13 vs TYSP13'!Q95</f>
        <v>-580</v>
      </c>
      <c r="R99" s="759">
        <f t="shared" si="35"/>
        <v>10374.19043759542</v>
      </c>
      <c r="S99" s="171"/>
      <c r="V99" s="582"/>
      <c r="X99" s="320"/>
      <c r="Y99" s="219"/>
    </row>
    <row r="100" spans="1:25">
      <c r="A100" s="746">
        <f t="shared" si="23"/>
        <v>2026</v>
      </c>
      <c r="B100" s="749">
        <f>'FALL13 vs TYSP13'!B96</f>
        <v>10594</v>
      </c>
      <c r="C100" s="757">
        <f>'FALL13 vs TYSP13'!C96</f>
        <v>328</v>
      </c>
      <c r="D100" s="758">
        <f t="shared" si="30"/>
        <v>10922</v>
      </c>
      <c r="E100" s="322">
        <f>'FALL13 vs TYSP13'!E96</f>
        <v>-302.85129386160054</v>
      </c>
      <c r="F100" s="758">
        <f t="shared" si="31"/>
        <v>10619.1487061384</v>
      </c>
      <c r="G100" s="591"/>
      <c r="H100" s="322">
        <f>'FALL13 vs TYSP13'!H96</f>
        <v>650</v>
      </c>
      <c r="I100" s="322">
        <f>'FALL13 vs TYSP13'!I96</f>
        <v>23.1</v>
      </c>
      <c r="J100" s="322">
        <f>'FALL13 vs TYSP13'!J96</f>
        <v>65.05</v>
      </c>
      <c r="K100" s="322">
        <f>'FALL13 vs TYSP13'!K96</f>
        <v>0</v>
      </c>
      <c r="L100" s="758">
        <f t="shared" si="32"/>
        <v>738.15</v>
      </c>
      <c r="M100" s="591"/>
      <c r="N100" s="322">
        <f>'FALL13 vs TYSP13'!N96</f>
        <v>25</v>
      </c>
      <c r="O100" s="589">
        <f t="shared" si="33"/>
        <v>11382.298706138399</v>
      </c>
      <c r="P100" s="322">
        <f t="shared" si="34"/>
        <v>-328</v>
      </c>
      <c r="Q100" s="322">
        <f>'FALL13 vs TYSP13'!Q96</f>
        <v>-590</v>
      </c>
      <c r="R100" s="759">
        <f t="shared" si="35"/>
        <v>10464.298706138399</v>
      </c>
      <c r="S100" s="171"/>
      <c r="V100" s="582"/>
      <c r="X100" s="320"/>
      <c r="Y100" s="219"/>
    </row>
    <row r="101" spans="1:25">
      <c r="A101" s="746">
        <f t="shared" si="23"/>
        <v>2027</v>
      </c>
      <c r="B101" s="749">
        <f>'FALL13 vs TYSP13'!B97</f>
        <v>10710</v>
      </c>
      <c r="C101" s="757">
        <f>'FALL13 vs TYSP13'!C97</f>
        <v>328</v>
      </c>
      <c r="D101" s="758">
        <f t="shared" si="30"/>
        <v>11038</v>
      </c>
      <c r="E101" s="322">
        <f>'FALL13 vs TYSP13'!E97</f>
        <v>-319.40233534738729</v>
      </c>
      <c r="F101" s="758">
        <f t="shared" si="31"/>
        <v>10718.597664652612</v>
      </c>
      <c r="G101" s="591"/>
      <c r="H101" s="322">
        <f>'FALL13 vs TYSP13'!H97</f>
        <v>650</v>
      </c>
      <c r="I101" s="322">
        <f>'FALL13 vs TYSP13'!I97</f>
        <v>23.23</v>
      </c>
      <c r="J101" s="322">
        <f>'FALL13 vs TYSP13'!J97</f>
        <v>65.05</v>
      </c>
      <c r="K101" s="322">
        <f>'FALL13 vs TYSP13'!K97</f>
        <v>0</v>
      </c>
      <c r="L101" s="758">
        <f t="shared" si="32"/>
        <v>738.28</v>
      </c>
      <c r="M101" s="591"/>
      <c r="N101" s="322">
        <f>'FALL13 vs TYSP13'!N97</f>
        <v>25</v>
      </c>
      <c r="O101" s="589">
        <f t="shared" si="33"/>
        <v>11481.877664652613</v>
      </c>
      <c r="P101" s="322">
        <f t="shared" si="34"/>
        <v>-328</v>
      </c>
      <c r="Q101" s="322">
        <f>'FALL13 vs TYSP13'!Q97</f>
        <v>-599</v>
      </c>
      <c r="R101" s="759">
        <f t="shared" si="35"/>
        <v>10554.877664652613</v>
      </c>
      <c r="S101" s="171"/>
      <c r="V101" s="582"/>
      <c r="X101" s="320"/>
      <c r="Y101" s="219"/>
    </row>
    <row r="102" spans="1:25">
      <c r="A102" s="746">
        <f t="shared" si="23"/>
        <v>2028</v>
      </c>
      <c r="B102" s="749">
        <f>'FALL13 vs TYSP13'!B98</f>
        <v>10823</v>
      </c>
      <c r="C102" s="757">
        <f>'FALL13 vs TYSP13'!C98</f>
        <v>327</v>
      </c>
      <c r="D102" s="758">
        <f t="shared" si="30"/>
        <v>11150</v>
      </c>
      <c r="E102" s="322">
        <f>'FALL13 vs TYSP13'!E98</f>
        <v>-335.54350283050314</v>
      </c>
      <c r="F102" s="758">
        <f t="shared" si="31"/>
        <v>10814.456497169496</v>
      </c>
      <c r="G102" s="591"/>
      <c r="H102" s="322">
        <f>'FALL13 vs TYSP13'!H98</f>
        <v>650</v>
      </c>
      <c r="I102" s="322">
        <f>'FALL13 vs TYSP13'!I98</f>
        <v>23.28</v>
      </c>
      <c r="J102" s="322">
        <f>'FALL13 vs TYSP13'!J98</f>
        <v>65.05</v>
      </c>
      <c r="K102" s="322">
        <f>'FALL13 vs TYSP13'!K98</f>
        <v>0</v>
      </c>
      <c r="L102" s="758">
        <f t="shared" si="32"/>
        <v>738.32999999999993</v>
      </c>
      <c r="M102" s="591"/>
      <c r="N102" s="322">
        <f>'FALL13 vs TYSP13'!N98</f>
        <v>25</v>
      </c>
      <c r="O102" s="589">
        <f t="shared" si="33"/>
        <v>11577.786497169496</v>
      </c>
      <c r="P102" s="322">
        <f t="shared" si="34"/>
        <v>-327</v>
      </c>
      <c r="Q102" s="322">
        <f>'FALL13 vs TYSP13'!Q98</f>
        <v>-608</v>
      </c>
      <c r="R102" s="759">
        <f t="shared" si="35"/>
        <v>10642.786497169496</v>
      </c>
      <c r="S102" s="171"/>
      <c r="V102" s="582"/>
      <c r="X102" s="320"/>
      <c r="Y102" s="219"/>
    </row>
    <row r="103" spans="1:25">
      <c r="A103" s="746">
        <f t="shared" si="23"/>
        <v>2029</v>
      </c>
      <c r="B103" s="749">
        <f>'FALL13 vs TYSP13'!B99</f>
        <v>10933</v>
      </c>
      <c r="C103" s="757">
        <f>'FALL13 vs TYSP13'!C99</f>
        <v>328</v>
      </c>
      <c r="D103" s="758">
        <f t="shared" si="30"/>
        <v>11261</v>
      </c>
      <c r="E103" s="322">
        <f>'FALL13 vs TYSP13'!E99</f>
        <v>-351.31156566780817</v>
      </c>
      <c r="F103" s="758">
        <f t="shared" si="31"/>
        <v>10909.688434332193</v>
      </c>
      <c r="G103" s="591"/>
      <c r="H103" s="322">
        <f>'FALL13 vs TYSP13'!H99</f>
        <v>650</v>
      </c>
      <c r="I103" s="322">
        <f>'FALL13 vs TYSP13'!I99</f>
        <v>23.42</v>
      </c>
      <c r="J103" s="322">
        <f>'FALL13 vs TYSP13'!J99</f>
        <v>65.05</v>
      </c>
      <c r="K103" s="322">
        <f>'FALL13 vs TYSP13'!K99</f>
        <v>0</v>
      </c>
      <c r="L103" s="758">
        <f t="shared" si="32"/>
        <v>738.46999999999991</v>
      </c>
      <c r="M103" s="591"/>
      <c r="N103" s="322">
        <f>'FALL13 vs TYSP13'!N99</f>
        <v>25</v>
      </c>
      <c r="O103" s="589">
        <f t="shared" si="33"/>
        <v>11673.158434332192</v>
      </c>
      <c r="P103" s="322">
        <f t="shared" si="34"/>
        <v>-328</v>
      </c>
      <c r="Q103" s="322">
        <f>'FALL13 vs TYSP13'!Q99</f>
        <v>-617</v>
      </c>
      <c r="R103" s="759">
        <f t="shared" si="35"/>
        <v>10728.158434332192</v>
      </c>
      <c r="S103" s="171"/>
      <c r="V103" s="582"/>
      <c r="X103" s="320"/>
      <c r="Y103" s="219"/>
    </row>
    <row r="104" spans="1:25">
      <c r="A104" s="743">
        <f t="shared" si="23"/>
        <v>2030</v>
      </c>
      <c r="B104" s="751">
        <f>'FALL13 vs TYSP13'!B100</f>
        <v>11037</v>
      </c>
      <c r="C104" s="788">
        <f>'FALL13 vs TYSP13'!C100</f>
        <v>328</v>
      </c>
      <c r="D104" s="789">
        <f t="shared" si="30"/>
        <v>11365</v>
      </c>
      <c r="E104" s="597">
        <f>'FALL13 vs TYSP13'!E100</f>
        <v>-366.69878577028942</v>
      </c>
      <c r="F104" s="789">
        <f t="shared" si="31"/>
        <v>10998.30121422971</v>
      </c>
      <c r="G104" s="731"/>
      <c r="H104" s="597">
        <f>'FALL13 vs TYSP13'!H100</f>
        <v>650</v>
      </c>
      <c r="I104" s="597">
        <f>'FALL13 vs TYSP13'!I100</f>
        <v>23.55</v>
      </c>
      <c r="J104" s="597">
        <f>'FALL13 vs TYSP13'!J100</f>
        <v>65.05</v>
      </c>
      <c r="K104" s="597">
        <f>'FALL13 vs TYSP13'!K100</f>
        <v>0</v>
      </c>
      <c r="L104" s="789">
        <f t="shared" si="32"/>
        <v>738.59999999999991</v>
      </c>
      <c r="M104" s="731"/>
      <c r="N104" s="597">
        <f>'FALL13 vs TYSP13'!N100</f>
        <v>25</v>
      </c>
      <c r="O104" s="786">
        <f t="shared" si="33"/>
        <v>11761.901214229711</v>
      </c>
      <c r="P104" s="597">
        <f t="shared" si="34"/>
        <v>-328</v>
      </c>
      <c r="Q104" s="597">
        <f>'FALL13 vs TYSP13'!Q100</f>
        <v>-626</v>
      </c>
      <c r="R104" s="790">
        <f t="shared" si="35"/>
        <v>10807.901214229711</v>
      </c>
      <c r="S104" s="171"/>
      <c r="V104" s="582"/>
      <c r="X104" s="320"/>
      <c r="Y104" s="219"/>
    </row>
    <row r="105" spans="1:25">
      <c r="A105" s="726"/>
      <c r="B105" s="1405" t="s">
        <v>625</v>
      </c>
      <c r="C105" s="1397"/>
      <c r="D105" s="1397"/>
      <c r="E105" s="1397"/>
      <c r="F105" s="726"/>
      <c r="G105" s="726"/>
      <c r="H105" s="726"/>
      <c r="I105" s="726"/>
      <c r="J105" s="726"/>
      <c r="K105" s="726"/>
      <c r="L105" s="726"/>
      <c r="M105" s="726"/>
      <c r="N105" s="725"/>
      <c r="O105" s="726"/>
      <c r="P105" s="726"/>
      <c r="Q105" s="726"/>
      <c r="R105" s="726"/>
      <c r="S105" s="171"/>
    </row>
    <row r="106" spans="1:25">
      <c r="A106" s="1656" t="str">
        <f>A28</f>
        <v>SPRING 2013</v>
      </c>
      <c r="B106" s="1624"/>
      <c r="C106" s="1624"/>
      <c r="D106" s="1624"/>
      <c r="E106" s="1624"/>
      <c r="F106" s="1624"/>
      <c r="G106" s="1624"/>
      <c r="H106" s="1624"/>
      <c r="I106" s="1624"/>
      <c r="J106" s="1624"/>
      <c r="K106" s="1624"/>
      <c r="L106" s="1624"/>
      <c r="M106" s="1624"/>
      <c r="N106" s="1624"/>
      <c r="O106" s="1624"/>
      <c r="P106" s="1624"/>
      <c r="Q106" s="1624"/>
      <c r="R106" s="1625"/>
      <c r="S106" s="1407"/>
    </row>
    <row r="107" spans="1:25">
      <c r="A107" s="736"/>
      <c r="B107" s="728" t="s">
        <v>116</v>
      </c>
      <c r="C107" s="728"/>
      <c r="D107" s="728"/>
      <c r="F107" s="728" t="s">
        <v>21</v>
      </c>
      <c r="G107" s="737"/>
      <c r="H107" s="738"/>
      <c r="I107" s="738"/>
      <c r="J107" s="738"/>
      <c r="K107" s="738"/>
      <c r="L107" s="738"/>
      <c r="M107" s="738"/>
      <c r="N107" s="728"/>
      <c r="O107" s="737" t="str">
        <f>F107</f>
        <v>Total</v>
      </c>
      <c r="P107" s="738"/>
      <c r="Q107" s="738"/>
      <c r="R107" s="755"/>
      <c r="S107" s="590"/>
    </row>
    <row r="108" spans="1:25">
      <c r="A108" s="740"/>
      <c r="B108" s="591" t="s">
        <v>117</v>
      </c>
      <c r="C108" s="591"/>
      <c r="D108" s="591" t="s">
        <v>120</v>
      </c>
      <c r="E108" s="28"/>
      <c r="F108" s="591" t="s">
        <v>118</v>
      </c>
      <c r="G108" s="741"/>
      <c r="H108" s="1618" t="s">
        <v>123</v>
      </c>
      <c r="I108" s="1619"/>
      <c r="J108" s="1619"/>
      <c r="K108" s="1619"/>
      <c r="L108" s="1620"/>
      <c r="M108" s="590"/>
      <c r="N108" s="729"/>
      <c r="O108" s="741" t="s">
        <v>125</v>
      </c>
      <c r="P108" s="590"/>
      <c r="Q108" s="590"/>
      <c r="R108" s="742" t="s">
        <v>21</v>
      </c>
      <c r="S108" s="591"/>
    </row>
    <row r="109" spans="1:25">
      <c r="A109" s="740"/>
      <c r="B109" s="591" t="s">
        <v>118</v>
      </c>
      <c r="C109" s="591" t="s">
        <v>118</v>
      </c>
      <c r="D109" s="591" t="s">
        <v>21</v>
      </c>
      <c r="E109" s="591" t="s">
        <v>121</v>
      </c>
      <c r="F109" s="591" t="s">
        <v>122</v>
      </c>
      <c r="G109" s="741"/>
      <c r="H109" s="737" t="s">
        <v>21</v>
      </c>
      <c r="I109" s="737" t="s">
        <v>288</v>
      </c>
      <c r="J109" s="728"/>
      <c r="K109" s="730" t="s">
        <v>349</v>
      </c>
      <c r="L109" s="728"/>
      <c r="M109" s="591"/>
      <c r="N109" s="591" t="s">
        <v>264</v>
      </c>
      <c r="O109" s="741" t="str">
        <f>F109</f>
        <v>before</v>
      </c>
      <c r="P109" s="591" t="s">
        <v>21</v>
      </c>
      <c r="Q109" s="756" t="s">
        <v>147</v>
      </c>
      <c r="R109" s="742" t="s">
        <v>125</v>
      </c>
      <c r="S109" s="591"/>
    </row>
    <row r="110" spans="1:25">
      <c r="A110" s="743" t="s">
        <v>126</v>
      </c>
      <c r="B110" s="731" t="s">
        <v>119</v>
      </c>
      <c r="C110" s="731" t="s">
        <v>66</v>
      </c>
      <c r="D110" s="731" t="s">
        <v>118</v>
      </c>
      <c r="E110" s="731" t="s">
        <v>59</v>
      </c>
      <c r="F110" s="731" t="s">
        <v>62</v>
      </c>
      <c r="G110" s="744"/>
      <c r="H110" s="760" t="s">
        <v>154</v>
      </c>
      <c r="I110" s="760" t="s">
        <v>286</v>
      </c>
      <c r="J110" s="731" t="s">
        <v>287</v>
      </c>
      <c r="K110" s="733" t="s">
        <v>117</v>
      </c>
      <c r="L110" s="744" t="s">
        <v>0</v>
      </c>
      <c r="M110" s="744"/>
      <c r="N110" s="731" t="s">
        <v>124</v>
      </c>
      <c r="O110" s="744" t="str">
        <f>F110</f>
        <v>DLC</v>
      </c>
      <c r="P110" s="744" t="s">
        <v>66</v>
      </c>
      <c r="Q110" s="760" t="s">
        <v>131</v>
      </c>
      <c r="R110" s="745" t="s">
        <v>117</v>
      </c>
      <c r="S110" s="591"/>
    </row>
    <row r="111" spans="1:25" hidden="1">
      <c r="A111" s="746">
        <f>A86</f>
        <v>2009</v>
      </c>
      <c r="B111" s="322">
        <v>8864.3876889456678</v>
      </c>
      <c r="C111" s="322">
        <v>245</v>
      </c>
      <c r="D111" s="588">
        <v>9109.3876889456678</v>
      </c>
      <c r="E111" s="322">
        <v>-488</v>
      </c>
      <c r="F111" s="589">
        <v>8621.3876889456678</v>
      </c>
      <c r="G111" s="590"/>
      <c r="H111" s="322">
        <v>693</v>
      </c>
      <c r="I111" s="322">
        <v>219.9</v>
      </c>
      <c r="J111" s="322">
        <v>506.05405847474952</v>
      </c>
      <c r="K111" s="322">
        <v>16.143937845021469</v>
      </c>
      <c r="L111" s="322">
        <v>1435.097996319771</v>
      </c>
      <c r="M111" s="591"/>
      <c r="N111" s="322">
        <v>0</v>
      </c>
      <c r="O111" s="592">
        <v>10056.485685265439</v>
      </c>
      <c r="P111" s="322">
        <v>-261.14393784502147</v>
      </c>
      <c r="Q111" s="322">
        <v>-382.25</v>
      </c>
      <c r="R111" s="593">
        <v>9413.091747420418</v>
      </c>
      <c r="S111" s="592"/>
      <c r="T111" s="172"/>
      <c r="U111" s="320"/>
      <c r="V111" s="320"/>
    </row>
    <row r="112" spans="1:25" hidden="1">
      <c r="A112" s="746">
        <v>2013</v>
      </c>
      <c r="B112" s="1401">
        <v>9125</v>
      </c>
      <c r="C112" s="322">
        <v>251</v>
      </c>
      <c r="D112" s="1403">
        <v>9376</v>
      </c>
      <c r="E112" s="1401">
        <v>-678.48081980580582</v>
      </c>
      <c r="F112" s="589">
        <v>8697.5191801941946</v>
      </c>
      <c r="G112" s="590"/>
      <c r="H112" s="322">
        <v>600</v>
      </c>
      <c r="I112" s="322">
        <v>41.746000000000002</v>
      </c>
      <c r="J112" s="322">
        <v>269.08300000000003</v>
      </c>
      <c r="K112" s="322">
        <v>15.010999999999999</v>
      </c>
      <c r="L112" s="322">
        <v>925.83999999999992</v>
      </c>
      <c r="M112" s="591"/>
      <c r="N112" s="322">
        <v>25</v>
      </c>
      <c r="O112" s="592">
        <v>9648.3591801941948</v>
      </c>
      <c r="P112" s="322">
        <v>-266.01100000000002</v>
      </c>
      <c r="Q112" s="322">
        <v>-439</v>
      </c>
      <c r="R112" s="593">
        <v>8943.3481801941944</v>
      </c>
      <c r="S112" s="592"/>
      <c r="T112" s="172"/>
    </row>
    <row r="113" spans="1:20">
      <c r="A113" s="746">
        <v>2014</v>
      </c>
      <c r="B113" s="1401">
        <v>9299</v>
      </c>
      <c r="C113" s="322">
        <v>254</v>
      </c>
      <c r="D113" s="1403">
        <v>9553</v>
      </c>
      <c r="E113" s="1401">
        <v>-715.57007285010138</v>
      </c>
      <c r="F113" s="589">
        <v>8837.4299271498985</v>
      </c>
      <c r="G113" s="590"/>
      <c r="H113" s="322">
        <v>550</v>
      </c>
      <c r="I113" s="322">
        <v>41.929000000000002</v>
      </c>
      <c r="J113" s="322">
        <v>212.047</v>
      </c>
      <c r="K113" s="322">
        <v>15.010999999999999</v>
      </c>
      <c r="L113" s="322">
        <v>818.98699999999997</v>
      </c>
      <c r="M113" s="591"/>
      <c r="N113" s="322">
        <v>25</v>
      </c>
      <c r="O113" s="592">
        <v>9681.4169271498977</v>
      </c>
      <c r="P113" s="322">
        <v>-269.01100000000002</v>
      </c>
      <c r="Q113" s="322">
        <v>-448</v>
      </c>
      <c r="R113" s="593">
        <v>8964.4059271498973</v>
      </c>
      <c r="S113" s="592"/>
      <c r="T113" s="172"/>
    </row>
    <row r="114" spans="1:20">
      <c r="A114" s="746">
        <v>2015</v>
      </c>
      <c r="B114" s="1401">
        <v>9495</v>
      </c>
      <c r="C114" s="322">
        <v>257</v>
      </c>
      <c r="D114" s="1403">
        <v>9752</v>
      </c>
      <c r="E114" s="1401">
        <v>-746.7388311915322</v>
      </c>
      <c r="F114" s="589">
        <v>9005.2611688084671</v>
      </c>
      <c r="G114" s="590"/>
      <c r="H114" s="322">
        <v>550</v>
      </c>
      <c r="I114" s="322">
        <v>42.006</v>
      </c>
      <c r="J114" s="322">
        <v>214.047</v>
      </c>
      <c r="K114" s="322">
        <v>15.010999999999999</v>
      </c>
      <c r="L114" s="322">
        <v>821.06399999999996</v>
      </c>
      <c r="M114" s="591"/>
      <c r="N114" s="322">
        <v>25</v>
      </c>
      <c r="O114" s="592">
        <v>9851.3251688084674</v>
      </c>
      <c r="P114" s="322">
        <v>-272.01100000000002</v>
      </c>
      <c r="Q114" s="322">
        <v>-456</v>
      </c>
      <c r="R114" s="593">
        <v>9123.314168808467</v>
      </c>
      <c r="S114" s="592"/>
      <c r="T114" s="172"/>
    </row>
    <row r="115" spans="1:20">
      <c r="A115" s="746">
        <v>2016</v>
      </c>
      <c r="B115" s="1401">
        <v>9684</v>
      </c>
      <c r="C115" s="322">
        <v>256</v>
      </c>
      <c r="D115" s="1403">
        <v>9940</v>
      </c>
      <c r="E115" s="1401">
        <v>-774.94516828255814</v>
      </c>
      <c r="F115" s="589">
        <v>9165.0548317174416</v>
      </c>
      <c r="G115" s="590"/>
      <c r="H115" s="322">
        <v>650</v>
      </c>
      <c r="I115" s="322">
        <v>42.173999999999999</v>
      </c>
      <c r="J115" s="322">
        <v>216.047</v>
      </c>
      <c r="K115" s="322">
        <v>15.010999999999999</v>
      </c>
      <c r="L115" s="322">
        <v>923.23199999999997</v>
      </c>
      <c r="M115" s="591"/>
      <c r="N115" s="322">
        <v>25</v>
      </c>
      <c r="O115" s="592">
        <v>10113.286831717442</v>
      </c>
      <c r="P115" s="322">
        <v>-271.01100000000002</v>
      </c>
      <c r="Q115" s="322">
        <v>-464</v>
      </c>
      <c r="R115" s="593">
        <v>9378.2758317174412</v>
      </c>
      <c r="S115" s="592"/>
      <c r="T115" s="172"/>
    </row>
    <row r="116" spans="1:20">
      <c r="A116" s="746">
        <v>2017</v>
      </c>
      <c r="B116" s="1401">
        <v>9880</v>
      </c>
      <c r="C116" s="322">
        <v>266</v>
      </c>
      <c r="D116" s="1403">
        <v>10146</v>
      </c>
      <c r="E116" s="1401">
        <v>-799.66143270687462</v>
      </c>
      <c r="F116" s="589">
        <v>9346.3385672931254</v>
      </c>
      <c r="G116" s="590"/>
      <c r="H116" s="322">
        <v>750</v>
      </c>
      <c r="I116" s="322">
        <v>22.125</v>
      </c>
      <c r="J116" s="322">
        <v>65.046999999999997</v>
      </c>
      <c r="K116" s="322">
        <v>15.010999999999999</v>
      </c>
      <c r="L116" s="322">
        <v>852.18299999999999</v>
      </c>
      <c r="M116" s="591"/>
      <c r="N116" s="322">
        <v>25</v>
      </c>
      <c r="O116" s="592">
        <v>10223.521567293126</v>
      </c>
      <c r="P116" s="322">
        <v>-281.01100000000002</v>
      </c>
      <c r="Q116" s="322">
        <v>-503</v>
      </c>
      <c r="R116" s="593">
        <v>9439.5105672931259</v>
      </c>
      <c r="S116" s="592"/>
      <c r="T116" s="172"/>
    </row>
    <row r="117" spans="1:20">
      <c r="A117" s="746">
        <v>2018</v>
      </c>
      <c r="B117" s="1401">
        <v>10080</v>
      </c>
      <c r="C117" s="322">
        <v>268</v>
      </c>
      <c r="D117" s="1403">
        <v>10348</v>
      </c>
      <c r="E117" s="1401">
        <v>-821.58640713938621</v>
      </c>
      <c r="F117" s="589">
        <v>9526.4135928606138</v>
      </c>
      <c r="G117" s="590"/>
      <c r="H117" s="322">
        <v>750</v>
      </c>
      <c r="I117" s="322">
        <v>22.172000000000001</v>
      </c>
      <c r="J117" s="322">
        <v>65.046999999999997</v>
      </c>
      <c r="K117" s="322">
        <v>15.010999999999999</v>
      </c>
      <c r="L117" s="322">
        <v>852.23</v>
      </c>
      <c r="M117" s="591"/>
      <c r="N117" s="322">
        <v>25</v>
      </c>
      <c r="O117" s="592">
        <v>10403.643592860613</v>
      </c>
      <c r="P117" s="322">
        <v>-283.01100000000002</v>
      </c>
      <c r="Q117" s="322">
        <v>-511</v>
      </c>
      <c r="R117" s="593">
        <v>9609.6325928606129</v>
      </c>
      <c r="S117" s="592"/>
      <c r="T117" s="172"/>
    </row>
    <row r="118" spans="1:20">
      <c r="A118" s="746">
        <v>2019</v>
      </c>
      <c r="B118" s="1401">
        <v>10281</v>
      </c>
      <c r="C118" s="322">
        <v>283</v>
      </c>
      <c r="D118" s="1403">
        <v>10564</v>
      </c>
      <c r="E118" s="1401">
        <v>-842.41729951693901</v>
      </c>
      <c r="F118" s="589">
        <v>9721.5827004830608</v>
      </c>
      <c r="G118" s="590"/>
      <c r="H118" s="322">
        <v>750</v>
      </c>
      <c r="I118" s="322">
        <v>22.218</v>
      </c>
      <c r="J118" s="322">
        <v>65.046999999999997</v>
      </c>
      <c r="K118" s="322">
        <v>15.010999999999999</v>
      </c>
      <c r="L118" s="322">
        <v>852.27599999999995</v>
      </c>
      <c r="M118" s="591"/>
      <c r="N118" s="322">
        <v>25</v>
      </c>
      <c r="O118" s="592">
        <v>10598.858700483061</v>
      </c>
      <c r="P118" s="322">
        <v>-298.01100000000002</v>
      </c>
      <c r="Q118" s="322">
        <v>-519</v>
      </c>
      <c r="R118" s="593">
        <v>9781.8477004830602</v>
      </c>
      <c r="S118" s="592"/>
      <c r="T118" s="172"/>
    </row>
    <row r="119" spans="1:20">
      <c r="A119" s="746">
        <v>2020</v>
      </c>
      <c r="B119" s="1401">
        <v>10482</v>
      </c>
      <c r="C119" s="322">
        <v>298</v>
      </c>
      <c r="D119" s="1403">
        <v>10780</v>
      </c>
      <c r="E119" s="1401">
        <v>-863.9506596713843</v>
      </c>
      <c r="F119" s="589">
        <v>9916.0493403286164</v>
      </c>
      <c r="G119" s="590"/>
      <c r="H119" s="322">
        <v>750</v>
      </c>
      <c r="I119" s="322">
        <v>22.355</v>
      </c>
      <c r="J119" s="322">
        <v>65.046999999999997</v>
      </c>
      <c r="K119" s="322">
        <v>15.010999999999999</v>
      </c>
      <c r="L119" s="322">
        <v>852.41300000000001</v>
      </c>
      <c r="M119" s="591"/>
      <c r="N119" s="322">
        <v>25</v>
      </c>
      <c r="O119" s="592">
        <v>10793.462340328617</v>
      </c>
      <c r="P119" s="322">
        <v>-313.01100000000002</v>
      </c>
      <c r="Q119" s="322">
        <v>-527</v>
      </c>
      <c r="R119" s="593">
        <v>9953.4513403286164</v>
      </c>
      <c r="S119" s="592"/>
      <c r="T119" s="172"/>
    </row>
    <row r="120" spans="1:20">
      <c r="A120" s="746">
        <v>2021</v>
      </c>
      <c r="B120" s="1401">
        <v>10679</v>
      </c>
      <c r="C120" s="322">
        <v>306</v>
      </c>
      <c r="D120" s="1403">
        <v>10985</v>
      </c>
      <c r="E120" s="1401">
        <v>-883.70192652414698</v>
      </c>
      <c r="F120" s="589">
        <v>10101.298073475853</v>
      </c>
      <c r="G120" s="590"/>
      <c r="H120" s="322">
        <v>650</v>
      </c>
      <c r="I120" s="322">
        <v>22.402000000000001</v>
      </c>
      <c r="J120" s="322">
        <v>65.046999999999997</v>
      </c>
      <c r="K120" s="322">
        <v>15.010999999999999</v>
      </c>
      <c r="L120" s="322">
        <v>752.46</v>
      </c>
      <c r="M120" s="590"/>
      <c r="N120" s="322">
        <v>25</v>
      </c>
      <c r="O120" s="592">
        <v>10878.758073475852</v>
      </c>
      <c r="P120" s="322">
        <v>-321.01100000000002</v>
      </c>
      <c r="Q120" s="322">
        <v>-535</v>
      </c>
      <c r="R120" s="593">
        <v>10022.747073475852</v>
      </c>
      <c r="S120" s="592"/>
      <c r="T120" s="172"/>
    </row>
    <row r="121" spans="1:20">
      <c r="A121" s="746">
        <v>2022</v>
      </c>
      <c r="B121" s="1401">
        <v>10872</v>
      </c>
      <c r="C121" s="322">
        <v>306</v>
      </c>
      <c r="D121" s="1403">
        <v>11178</v>
      </c>
      <c r="E121" s="1401">
        <v>-902.51352580254911</v>
      </c>
      <c r="F121" s="589">
        <v>10275.486474197451</v>
      </c>
      <c r="G121" s="590"/>
      <c r="H121" s="322">
        <v>650</v>
      </c>
      <c r="I121" s="322">
        <v>22.54</v>
      </c>
      <c r="J121" s="322">
        <v>65.046999999999997</v>
      </c>
      <c r="K121" s="322">
        <v>15.010999999999999</v>
      </c>
      <c r="L121" s="322">
        <v>752.59799999999996</v>
      </c>
      <c r="M121" s="590"/>
      <c r="N121" s="322">
        <v>25</v>
      </c>
      <c r="O121" s="592">
        <v>11053.084474197451</v>
      </c>
      <c r="P121" s="322">
        <v>-321.01100000000002</v>
      </c>
      <c r="Q121" s="322">
        <v>-544</v>
      </c>
      <c r="R121" s="593">
        <v>10188.07347419745</v>
      </c>
      <c r="S121" s="592"/>
      <c r="T121" s="172"/>
    </row>
    <row r="122" spans="1:20">
      <c r="A122" s="746">
        <v>2023</v>
      </c>
      <c r="B122" s="1401">
        <v>11064</v>
      </c>
      <c r="C122" s="322">
        <v>306</v>
      </c>
      <c r="D122" s="1403">
        <v>11370</v>
      </c>
      <c r="E122" s="1401">
        <v>-920.7109768735038</v>
      </c>
      <c r="F122" s="589">
        <v>10449.289023126496</v>
      </c>
      <c r="G122" s="590"/>
      <c r="H122" s="322">
        <v>650</v>
      </c>
      <c r="I122" s="322">
        <v>22.678000000000001</v>
      </c>
      <c r="J122" s="322">
        <v>65.046999999999997</v>
      </c>
      <c r="K122" s="322">
        <v>15.010999999999999</v>
      </c>
      <c r="L122" s="322">
        <v>752.73599999999999</v>
      </c>
      <c r="M122" s="590"/>
      <c r="N122" s="322">
        <v>25</v>
      </c>
      <c r="O122" s="592">
        <v>11227.025023126496</v>
      </c>
      <c r="P122" s="322">
        <v>-321.01100000000002</v>
      </c>
      <c r="Q122" s="322">
        <v>-552</v>
      </c>
      <c r="R122" s="593">
        <v>10354.014023126496</v>
      </c>
      <c r="S122" s="592"/>
      <c r="T122" s="172"/>
    </row>
    <row r="123" spans="1:20">
      <c r="A123" s="746">
        <v>2024</v>
      </c>
      <c r="B123" s="1401">
        <v>11253</v>
      </c>
      <c r="C123" s="322">
        <v>305</v>
      </c>
      <c r="D123" s="1403">
        <v>11558</v>
      </c>
      <c r="E123" s="1401">
        <v>-938.578312682052</v>
      </c>
      <c r="F123" s="589">
        <v>10619.421687317948</v>
      </c>
      <c r="G123" s="590"/>
      <c r="H123" s="322">
        <v>500</v>
      </c>
      <c r="I123" s="322">
        <v>22.815999999999999</v>
      </c>
      <c r="J123" s="322">
        <v>65.046999999999997</v>
      </c>
      <c r="K123" s="322">
        <v>15.010999999999999</v>
      </c>
      <c r="L123" s="322">
        <v>602.87400000000002</v>
      </c>
      <c r="M123" s="590"/>
      <c r="N123" s="322">
        <v>25</v>
      </c>
      <c r="O123" s="592">
        <v>11247.295687317948</v>
      </c>
      <c r="P123" s="322">
        <v>-320.01100000000002</v>
      </c>
      <c r="Q123" s="322">
        <v>-560</v>
      </c>
      <c r="R123" s="593">
        <v>10367.284687317948</v>
      </c>
      <c r="S123" s="592"/>
      <c r="T123" s="172"/>
    </row>
    <row r="124" spans="1:20">
      <c r="A124" s="746">
        <v>2025</v>
      </c>
      <c r="B124" s="1401">
        <v>11440</v>
      </c>
      <c r="C124" s="322">
        <v>291</v>
      </c>
      <c r="D124" s="1403">
        <v>11731</v>
      </c>
      <c r="E124" s="1401">
        <v>-956.19814554371942</v>
      </c>
      <c r="F124" s="589">
        <v>10774.80185445628</v>
      </c>
      <c r="G124" s="590"/>
      <c r="H124" s="322">
        <v>500</v>
      </c>
      <c r="I124" s="322">
        <v>22.954000000000001</v>
      </c>
      <c r="J124" s="322">
        <v>65.046999999999997</v>
      </c>
      <c r="K124" s="322">
        <v>15.010999999999999</v>
      </c>
      <c r="L124" s="322">
        <v>603.01199999999994</v>
      </c>
      <c r="M124" s="590"/>
      <c r="N124" s="322">
        <v>25</v>
      </c>
      <c r="O124" s="592">
        <v>11402.813854456281</v>
      </c>
      <c r="P124" s="322">
        <v>-306.01100000000002</v>
      </c>
      <c r="Q124" s="322">
        <v>-568</v>
      </c>
      <c r="R124" s="593">
        <v>10528.80285445628</v>
      </c>
      <c r="S124" s="592"/>
      <c r="T124" s="172"/>
    </row>
    <row r="125" spans="1:20">
      <c r="A125" s="746">
        <v>2026</v>
      </c>
      <c r="B125" s="1401">
        <v>11627</v>
      </c>
      <c r="C125" s="322">
        <v>275</v>
      </c>
      <c r="D125" s="1403">
        <v>11902</v>
      </c>
      <c r="E125" s="1401">
        <v>-973.22335700073972</v>
      </c>
      <c r="F125" s="589">
        <v>10928.776642999261</v>
      </c>
      <c r="G125" s="590"/>
      <c r="H125" s="322">
        <v>350</v>
      </c>
      <c r="I125" s="322">
        <v>23.091000000000001</v>
      </c>
      <c r="J125" s="322">
        <v>65.046999999999997</v>
      </c>
      <c r="K125" s="322">
        <v>15.010999999999999</v>
      </c>
      <c r="L125" s="322">
        <v>453.14900000000006</v>
      </c>
      <c r="M125" s="590"/>
      <c r="N125" s="322">
        <v>25</v>
      </c>
      <c r="O125" s="592">
        <v>11406.92564299926</v>
      </c>
      <c r="P125" s="322">
        <v>-290.01100000000002</v>
      </c>
      <c r="Q125" s="322">
        <v>-577</v>
      </c>
      <c r="R125" s="593">
        <v>10539.91464299926</v>
      </c>
      <c r="S125" s="592"/>
      <c r="T125" s="172"/>
    </row>
    <row r="126" spans="1:20">
      <c r="A126" s="746">
        <v>2027</v>
      </c>
      <c r="B126" s="1401">
        <v>11811</v>
      </c>
      <c r="C126" s="322">
        <v>275</v>
      </c>
      <c r="D126" s="1403">
        <v>12086</v>
      </c>
      <c r="E126" s="1401">
        <v>-989.75787848652658</v>
      </c>
      <c r="F126" s="589">
        <v>11096.242121513473</v>
      </c>
      <c r="G126" s="590"/>
      <c r="H126" s="322">
        <v>350</v>
      </c>
      <c r="I126" s="322">
        <v>23.228999999999999</v>
      </c>
      <c r="J126" s="322">
        <v>65.046999999999997</v>
      </c>
      <c r="K126" s="322">
        <v>15.010999999999999</v>
      </c>
      <c r="L126" s="322">
        <v>453.28699999999998</v>
      </c>
      <c r="M126" s="590"/>
      <c r="N126" s="322">
        <v>25</v>
      </c>
      <c r="O126" s="592">
        <v>11574.529121513473</v>
      </c>
      <c r="P126" s="322">
        <v>-290.01100000000002</v>
      </c>
      <c r="Q126" s="322">
        <v>-585</v>
      </c>
      <c r="R126" s="593">
        <v>10699.518121513473</v>
      </c>
      <c r="S126" s="592"/>
      <c r="T126" s="172"/>
    </row>
    <row r="127" spans="1:20">
      <c r="A127" s="746">
        <v>2028</v>
      </c>
      <c r="B127" s="1401">
        <v>11995</v>
      </c>
      <c r="C127" s="322">
        <v>275</v>
      </c>
      <c r="D127" s="1403">
        <v>12270</v>
      </c>
      <c r="E127" s="1401">
        <v>-1005.8825259696425</v>
      </c>
      <c r="F127" s="589">
        <v>11264.117474030358</v>
      </c>
      <c r="G127" s="590"/>
      <c r="H127" s="322">
        <v>350</v>
      </c>
      <c r="I127" s="322">
        <v>23.276</v>
      </c>
      <c r="J127" s="322">
        <v>65.046999999999997</v>
      </c>
      <c r="K127" s="322">
        <v>15.010999999999999</v>
      </c>
      <c r="L127" s="322">
        <v>453.334</v>
      </c>
      <c r="M127" s="590"/>
      <c r="N127" s="322">
        <v>25</v>
      </c>
      <c r="O127" s="592">
        <v>11742.451474030358</v>
      </c>
      <c r="P127" s="322">
        <v>-290.01100000000002</v>
      </c>
      <c r="Q127" s="322">
        <v>-593</v>
      </c>
      <c r="R127" s="593">
        <v>10859.440474030358</v>
      </c>
      <c r="S127" s="592"/>
      <c r="T127" s="172"/>
    </row>
    <row r="128" spans="1:20">
      <c r="A128" s="746">
        <v>2029</v>
      </c>
      <c r="B128" s="1401">
        <v>12176</v>
      </c>
      <c r="C128" s="322">
        <v>275</v>
      </c>
      <c r="D128" s="1403">
        <v>12451</v>
      </c>
      <c r="E128" s="1401">
        <v>-1021.6340688069475</v>
      </c>
      <c r="F128" s="589">
        <v>11429.365931193053</v>
      </c>
      <c r="G128" s="590"/>
      <c r="H128" s="322">
        <v>350</v>
      </c>
      <c r="I128" s="322">
        <v>23.414000000000001</v>
      </c>
      <c r="J128" s="322">
        <v>65.046999999999997</v>
      </c>
      <c r="K128" s="322">
        <v>15.010999999999999</v>
      </c>
      <c r="L128" s="322">
        <v>453.47200000000004</v>
      </c>
      <c r="M128" s="590"/>
      <c r="N128" s="322">
        <v>25</v>
      </c>
      <c r="O128" s="592">
        <v>11907.837931193053</v>
      </c>
      <c r="P128" s="322">
        <v>-290.01100000000002</v>
      </c>
      <c r="Q128" s="322">
        <v>-601</v>
      </c>
      <c r="R128" s="593">
        <v>11016.826931193053</v>
      </c>
      <c r="S128" s="592"/>
      <c r="T128" s="172"/>
    </row>
    <row r="129" spans="1:20">
      <c r="A129" s="743">
        <v>2030</v>
      </c>
      <c r="B129" s="1402">
        <v>12356</v>
      </c>
      <c r="C129" s="597">
        <v>275</v>
      </c>
      <c r="D129" s="1404">
        <v>12631</v>
      </c>
      <c r="E129" s="1402">
        <v>-1037.0047689094288</v>
      </c>
      <c r="F129" s="786">
        <v>11593.995231090572</v>
      </c>
      <c r="G129" s="787"/>
      <c r="H129" s="597">
        <v>350</v>
      </c>
      <c r="I129" s="597">
        <v>23.552</v>
      </c>
      <c r="J129" s="597">
        <v>65.046999999999997</v>
      </c>
      <c r="K129" s="597">
        <v>15.010999999999999</v>
      </c>
      <c r="L129" s="597">
        <v>453.61000000000007</v>
      </c>
      <c r="M129" s="787"/>
      <c r="N129" s="597">
        <v>25</v>
      </c>
      <c r="O129" s="598">
        <v>12072.605231090572</v>
      </c>
      <c r="P129" s="597">
        <v>-290.01100000000002</v>
      </c>
      <c r="Q129" s="597">
        <v>-610</v>
      </c>
      <c r="R129" s="599">
        <v>11172.594231090572</v>
      </c>
      <c r="S129" s="592"/>
      <c r="T129" s="172"/>
    </row>
    <row r="130" spans="1:20">
      <c r="A130" s="726"/>
      <c r="B130" s="726"/>
      <c r="C130" s="726"/>
      <c r="D130" s="726"/>
      <c r="E130" s="726"/>
      <c r="F130" s="726"/>
      <c r="G130" s="726"/>
      <c r="H130" s="726"/>
      <c r="I130" s="726"/>
      <c r="J130" s="726"/>
      <c r="K130" s="726"/>
      <c r="L130" s="726"/>
      <c r="M130" s="726"/>
      <c r="N130" s="725"/>
      <c r="O130" s="726"/>
      <c r="P130" s="726"/>
      <c r="Q130" s="726"/>
      <c r="R130" s="726"/>
      <c r="S130" s="726"/>
    </row>
    <row r="131" spans="1:20">
      <c r="A131" s="1623" t="str">
        <f>CONCATENATE(A81,"   vs   ",A106)</f>
        <v>FALL 2013   vs   SPRING 2013</v>
      </c>
      <c r="B131" s="1624"/>
      <c r="C131" s="1624"/>
      <c r="D131" s="1624"/>
      <c r="E131" s="1624"/>
      <c r="F131" s="1624"/>
      <c r="G131" s="1624"/>
      <c r="H131" s="1624"/>
      <c r="I131" s="1624"/>
      <c r="J131" s="1624"/>
      <c r="K131" s="1624"/>
      <c r="L131" s="1624"/>
      <c r="M131" s="1624"/>
      <c r="N131" s="1624"/>
      <c r="O131" s="1624"/>
      <c r="P131" s="1624"/>
      <c r="Q131" s="1624"/>
      <c r="R131" s="1625"/>
      <c r="S131" s="1407"/>
    </row>
    <row r="132" spans="1:20">
      <c r="A132" s="736"/>
      <c r="B132" s="520"/>
      <c r="C132" s="728"/>
      <c r="D132" s="728"/>
      <c r="F132" s="728" t="s">
        <v>21</v>
      </c>
      <c r="G132" s="737"/>
      <c r="H132" s="738"/>
      <c r="I132" s="738"/>
      <c r="J132" s="738"/>
      <c r="K132" s="738"/>
      <c r="L132" s="738"/>
      <c r="M132" s="738"/>
      <c r="N132" s="761"/>
      <c r="O132" s="761" t="str">
        <f>F132</f>
        <v>Total</v>
      </c>
      <c r="P132" s="761"/>
      <c r="Q132" s="761"/>
      <c r="R132" s="762"/>
      <c r="S132" s="1"/>
    </row>
    <row r="133" spans="1:20">
      <c r="A133" s="740"/>
      <c r="B133" s="170" t="s">
        <v>116</v>
      </c>
      <c r="C133" s="591"/>
      <c r="D133" s="591" t="s">
        <v>120</v>
      </c>
      <c r="E133" s="28"/>
      <c r="F133" s="591" t="s">
        <v>118</v>
      </c>
      <c r="G133" s="741"/>
      <c r="H133" s="1618" t="s">
        <v>123</v>
      </c>
      <c r="I133" s="1619"/>
      <c r="J133" s="1619"/>
      <c r="K133" s="1619"/>
      <c r="L133" s="1620"/>
      <c r="M133" s="590"/>
      <c r="N133" s="763"/>
      <c r="O133" s="1" t="s">
        <v>125</v>
      </c>
      <c r="P133" s="1"/>
      <c r="Q133" s="1"/>
      <c r="R133" s="742" t="s">
        <v>21</v>
      </c>
      <c r="S133" s="591"/>
    </row>
    <row r="134" spans="1:20">
      <c r="A134" s="740"/>
      <c r="B134" s="170" t="s">
        <v>117</v>
      </c>
      <c r="C134" s="591" t="s">
        <v>118</v>
      </c>
      <c r="D134" s="591" t="s">
        <v>21</v>
      </c>
      <c r="E134" s="591" t="s">
        <v>121</v>
      </c>
      <c r="F134" s="591" t="s">
        <v>122</v>
      </c>
      <c r="G134" s="741"/>
      <c r="H134" s="728" t="s">
        <v>21</v>
      </c>
      <c r="I134" s="728" t="s">
        <v>288</v>
      </c>
      <c r="J134" s="728"/>
      <c r="K134" s="730" t="s">
        <v>349</v>
      </c>
      <c r="L134" s="728"/>
      <c r="M134" s="591"/>
      <c r="N134" s="591" t="s">
        <v>264</v>
      </c>
      <c r="O134" s="591" t="str">
        <f>F134</f>
        <v>before</v>
      </c>
      <c r="P134" s="591" t="s">
        <v>21</v>
      </c>
      <c r="Q134" s="729" t="s">
        <v>147</v>
      </c>
      <c r="R134" s="742" t="s">
        <v>125</v>
      </c>
      <c r="S134" s="591"/>
    </row>
    <row r="135" spans="1:20">
      <c r="A135" s="743" t="s">
        <v>126</v>
      </c>
      <c r="B135" s="519" t="s">
        <v>118</v>
      </c>
      <c r="C135" s="731" t="s">
        <v>66</v>
      </c>
      <c r="D135" s="731" t="s">
        <v>118</v>
      </c>
      <c r="E135" s="731" t="s">
        <v>59</v>
      </c>
      <c r="F135" s="731" t="s">
        <v>62</v>
      </c>
      <c r="G135" s="744"/>
      <c r="H135" s="732" t="s">
        <v>154</v>
      </c>
      <c r="I135" s="732" t="s">
        <v>286</v>
      </c>
      <c r="J135" s="731" t="s">
        <v>287</v>
      </c>
      <c r="K135" s="733" t="s">
        <v>117</v>
      </c>
      <c r="L135" s="731" t="s">
        <v>0</v>
      </c>
      <c r="M135" s="731"/>
      <c r="N135" s="731" t="s">
        <v>124</v>
      </c>
      <c r="O135" s="731" t="str">
        <f>F135</f>
        <v>DLC</v>
      </c>
      <c r="P135" s="731" t="s">
        <v>66</v>
      </c>
      <c r="Q135" s="732" t="s">
        <v>131</v>
      </c>
      <c r="R135" s="745" t="s">
        <v>117</v>
      </c>
      <c r="S135" s="591"/>
    </row>
    <row r="136" spans="1:20" hidden="1">
      <c r="A136" s="746">
        <f t="shared" ref="A136:A154" si="36">A111</f>
        <v>2009</v>
      </c>
      <c r="B136" s="322" t="e">
        <f t="shared" ref="B136:F145" si="37">B86-B111</f>
        <v>#REF!</v>
      </c>
      <c r="C136" s="322" t="e">
        <f t="shared" si="37"/>
        <v>#REF!</v>
      </c>
      <c r="D136" s="322" t="e">
        <f t="shared" si="37"/>
        <v>#REF!</v>
      </c>
      <c r="E136" s="322" t="e">
        <f t="shared" si="37"/>
        <v>#REF!</v>
      </c>
      <c r="F136" s="322" t="e">
        <f t="shared" si="37"/>
        <v>#REF!</v>
      </c>
      <c r="G136" s="591"/>
      <c r="H136" s="322" t="e">
        <f t="shared" ref="H136:L145" si="38">H86-H111</f>
        <v>#REF!</v>
      </c>
      <c r="I136" s="322" t="e">
        <f t="shared" si="38"/>
        <v>#REF!</v>
      </c>
      <c r="J136" s="322" t="e">
        <f t="shared" si="38"/>
        <v>#REF!</v>
      </c>
      <c r="K136" s="322" t="e">
        <f t="shared" si="38"/>
        <v>#REF!</v>
      </c>
      <c r="L136" s="322" t="e">
        <f t="shared" si="38"/>
        <v>#REF!</v>
      </c>
      <c r="M136" s="591"/>
      <c r="N136" s="322" t="e">
        <f t="shared" ref="N136:Q154" si="39">N86-N111</f>
        <v>#REF!</v>
      </c>
      <c r="O136" s="322" t="e">
        <f t="shared" si="39"/>
        <v>#REF!</v>
      </c>
      <c r="P136" s="322" t="e">
        <f t="shared" si="39"/>
        <v>#REF!</v>
      </c>
      <c r="Q136" s="322" t="e">
        <f t="shared" si="39"/>
        <v>#REF!</v>
      </c>
      <c r="R136" s="747" t="e">
        <f t="shared" ref="R136:R144" si="40">O136+P136+Q136</f>
        <v>#REF!</v>
      </c>
      <c r="S136" s="322"/>
    </row>
    <row r="137" spans="1:20" hidden="1">
      <c r="A137" s="746">
        <f t="shared" si="36"/>
        <v>2013</v>
      </c>
      <c r="B137" s="1401">
        <f t="shared" si="37"/>
        <v>-914</v>
      </c>
      <c r="C137" s="322">
        <f t="shared" si="37"/>
        <v>-17</v>
      </c>
      <c r="D137" s="1401">
        <f t="shared" si="37"/>
        <v>-931</v>
      </c>
      <c r="E137" s="1401">
        <f t="shared" si="37"/>
        <v>678.48081980580582</v>
      </c>
      <c r="F137" s="322">
        <f t="shared" si="37"/>
        <v>-252.51918019419463</v>
      </c>
      <c r="G137" s="591"/>
      <c r="H137" s="322">
        <f t="shared" si="38"/>
        <v>0</v>
      </c>
      <c r="I137" s="322">
        <f t="shared" si="38"/>
        <v>3.9999999999977831E-3</v>
      </c>
      <c r="J137" s="322">
        <f t="shared" si="38"/>
        <v>19.016999999999939</v>
      </c>
      <c r="K137" s="322">
        <f t="shared" si="38"/>
        <v>-9.9999999999944578E-4</v>
      </c>
      <c r="L137" s="322">
        <f t="shared" si="38"/>
        <v>19.019999999999982</v>
      </c>
      <c r="M137" s="591"/>
      <c r="N137" s="322">
        <f t="shared" si="39"/>
        <v>0</v>
      </c>
      <c r="O137" s="322">
        <f t="shared" si="39"/>
        <v>-233.4991801941942</v>
      </c>
      <c r="P137" s="322">
        <f t="shared" si="39"/>
        <v>17.001000000000033</v>
      </c>
      <c r="Q137" s="322">
        <f t="shared" si="39"/>
        <v>1</v>
      </c>
      <c r="R137" s="747">
        <f t="shared" si="40"/>
        <v>-215.49818019419416</v>
      </c>
      <c r="S137" s="322"/>
    </row>
    <row r="138" spans="1:20">
      <c r="A138" s="746">
        <f t="shared" si="36"/>
        <v>2014</v>
      </c>
      <c r="B138" s="1401">
        <f t="shared" si="37"/>
        <v>-823</v>
      </c>
      <c r="C138" s="322">
        <f t="shared" si="37"/>
        <v>-5</v>
      </c>
      <c r="D138" s="1401">
        <f t="shared" si="37"/>
        <v>-828</v>
      </c>
      <c r="E138" s="1401">
        <f t="shared" si="37"/>
        <v>670.48081980580582</v>
      </c>
      <c r="F138" s="322">
        <f t="shared" si="37"/>
        <v>-157.51918019419463</v>
      </c>
      <c r="G138" s="591"/>
      <c r="H138" s="322">
        <f t="shared" si="38"/>
        <v>0</v>
      </c>
      <c r="I138" s="322">
        <f t="shared" si="38"/>
        <v>9.9999999999766942E-4</v>
      </c>
      <c r="J138" s="322">
        <f t="shared" si="38"/>
        <v>2.9999999999859028E-3</v>
      </c>
      <c r="K138" s="322">
        <f t="shared" si="38"/>
        <v>-15.010999999999999</v>
      </c>
      <c r="L138" s="322">
        <f t="shared" si="38"/>
        <v>-15.007000000000062</v>
      </c>
      <c r="M138" s="591"/>
      <c r="N138" s="322">
        <f t="shared" si="39"/>
        <v>0</v>
      </c>
      <c r="O138" s="322">
        <f t="shared" si="39"/>
        <v>-172.52618019419424</v>
      </c>
      <c r="P138" s="322">
        <f t="shared" si="39"/>
        <v>20.011000000000024</v>
      </c>
      <c r="Q138" s="322">
        <f t="shared" si="39"/>
        <v>0</v>
      </c>
      <c r="R138" s="747">
        <f t="shared" si="40"/>
        <v>-152.51518019419422</v>
      </c>
      <c r="S138" s="322"/>
    </row>
    <row r="139" spans="1:20">
      <c r="A139" s="746">
        <f t="shared" si="36"/>
        <v>2015</v>
      </c>
      <c r="B139" s="1401">
        <f t="shared" si="37"/>
        <v>-751</v>
      </c>
      <c r="C139" s="322">
        <f t="shared" si="37"/>
        <v>-6</v>
      </c>
      <c r="D139" s="1401">
        <f t="shared" si="37"/>
        <v>-757</v>
      </c>
      <c r="E139" s="1401">
        <f t="shared" si="37"/>
        <v>670.48081980580594</v>
      </c>
      <c r="F139" s="322">
        <f t="shared" si="37"/>
        <v>-86.519180194192813</v>
      </c>
      <c r="G139" s="591"/>
      <c r="H139" s="322">
        <f t="shared" si="38"/>
        <v>0</v>
      </c>
      <c r="I139" s="322">
        <f t="shared" si="38"/>
        <v>4.0000000000048885E-3</v>
      </c>
      <c r="J139" s="322">
        <f t="shared" si="38"/>
        <v>2.9999999999859028E-3</v>
      </c>
      <c r="K139" s="322">
        <f t="shared" si="38"/>
        <v>-15.010999999999999</v>
      </c>
      <c r="L139" s="322">
        <f t="shared" si="38"/>
        <v>-15.004000000000019</v>
      </c>
      <c r="M139" s="591"/>
      <c r="N139" s="322">
        <f t="shared" si="39"/>
        <v>0</v>
      </c>
      <c r="O139" s="322">
        <f t="shared" si="39"/>
        <v>-101.52318019419363</v>
      </c>
      <c r="P139" s="322">
        <f t="shared" si="39"/>
        <v>21.011000000000024</v>
      </c>
      <c r="Q139" s="322">
        <f t="shared" si="39"/>
        <v>-1</v>
      </c>
      <c r="R139" s="747">
        <f t="shared" si="40"/>
        <v>-81.512180194193604</v>
      </c>
      <c r="S139" s="322"/>
    </row>
    <row r="140" spans="1:20">
      <c r="A140" s="746">
        <f t="shared" si="36"/>
        <v>2016</v>
      </c>
      <c r="B140" s="1401">
        <f t="shared" si="37"/>
        <v>-648</v>
      </c>
      <c r="C140" s="322">
        <f t="shared" si="37"/>
        <v>-6</v>
      </c>
      <c r="D140" s="1401">
        <f t="shared" si="37"/>
        <v>-654</v>
      </c>
      <c r="E140" s="1401">
        <f t="shared" si="37"/>
        <v>670.48081980580594</v>
      </c>
      <c r="F140" s="322">
        <f t="shared" si="37"/>
        <v>16.480819805805368</v>
      </c>
      <c r="G140" s="591"/>
      <c r="H140" s="322">
        <f t="shared" si="38"/>
        <v>-250</v>
      </c>
      <c r="I140" s="322">
        <f t="shared" si="38"/>
        <v>6.0000000000073328E-3</v>
      </c>
      <c r="J140" s="322">
        <f t="shared" si="38"/>
        <v>2.9999999999859028E-3</v>
      </c>
      <c r="K140" s="322">
        <f t="shared" si="38"/>
        <v>-15.010999999999999</v>
      </c>
      <c r="L140" s="322">
        <f t="shared" si="38"/>
        <v>-265.00199999999995</v>
      </c>
      <c r="M140" s="591"/>
      <c r="N140" s="322">
        <f t="shared" si="39"/>
        <v>0</v>
      </c>
      <c r="O140" s="322">
        <f t="shared" si="39"/>
        <v>-248.52118019419504</v>
      </c>
      <c r="P140" s="322">
        <f t="shared" si="39"/>
        <v>21.011000000000024</v>
      </c>
      <c r="Q140" s="322">
        <f t="shared" si="39"/>
        <v>-2</v>
      </c>
      <c r="R140" s="747">
        <f t="shared" si="40"/>
        <v>-229.51018019419502</v>
      </c>
      <c r="S140" s="322"/>
    </row>
    <row r="141" spans="1:20">
      <c r="A141" s="746">
        <f t="shared" si="36"/>
        <v>2017</v>
      </c>
      <c r="B141" s="1401">
        <f t="shared" si="37"/>
        <v>-550</v>
      </c>
      <c r="C141" s="322">
        <f t="shared" si="37"/>
        <v>-15</v>
      </c>
      <c r="D141" s="1401">
        <f t="shared" si="37"/>
        <v>-565</v>
      </c>
      <c r="E141" s="1401">
        <f t="shared" si="37"/>
        <v>670.48081980580594</v>
      </c>
      <c r="F141" s="322">
        <f t="shared" si="37"/>
        <v>105.48081980580537</v>
      </c>
      <c r="G141" s="591"/>
      <c r="H141" s="322">
        <f t="shared" si="38"/>
        <v>-250</v>
      </c>
      <c r="I141" s="322">
        <f t="shared" si="38"/>
        <v>4.9999999999990052E-3</v>
      </c>
      <c r="J141" s="322">
        <f t="shared" si="38"/>
        <v>3.0000000000001137E-3</v>
      </c>
      <c r="K141" s="322">
        <f t="shared" si="38"/>
        <v>-15.010999999999999</v>
      </c>
      <c r="L141" s="322">
        <f t="shared" si="38"/>
        <v>-265.00300000000004</v>
      </c>
      <c r="M141" s="591"/>
      <c r="N141" s="322">
        <f t="shared" si="39"/>
        <v>0</v>
      </c>
      <c r="O141" s="322">
        <f t="shared" si="39"/>
        <v>-159.52218019419524</v>
      </c>
      <c r="P141" s="322">
        <f t="shared" si="39"/>
        <v>30.011000000000024</v>
      </c>
      <c r="Q141" s="322">
        <f t="shared" si="39"/>
        <v>-3</v>
      </c>
      <c r="R141" s="747">
        <f t="shared" si="40"/>
        <v>-132.51118019419522</v>
      </c>
      <c r="S141" s="322"/>
    </row>
    <row r="142" spans="1:20">
      <c r="A142" s="746">
        <f t="shared" si="36"/>
        <v>2018</v>
      </c>
      <c r="B142" s="1401">
        <f t="shared" si="37"/>
        <v>-586</v>
      </c>
      <c r="C142" s="322">
        <f t="shared" si="37"/>
        <v>-10</v>
      </c>
      <c r="D142" s="1401">
        <f t="shared" si="37"/>
        <v>-596</v>
      </c>
      <c r="E142" s="1401">
        <f t="shared" si="37"/>
        <v>670.48081980580594</v>
      </c>
      <c r="F142" s="322">
        <f t="shared" si="37"/>
        <v>74.480819805805368</v>
      </c>
      <c r="G142" s="591"/>
      <c r="H142" s="322">
        <f t="shared" si="38"/>
        <v>-250</v>
      </c>
      <c r="I142" s="322">
        <f t="shared" si="38"/>
        <v>-1.9999999999988916E-3</v>
      </c>
      <c r="J142" s="322">
        <f t="shared" si="38"/>
        <v>3.0000000000001137E-3</v>
      </c>
      <c r="K142" s="322">
        <f t="shared" si="38"/>
        <v>-15.010999999999999</v>
      </c>
      <c r="L142" s="322">
        <f t="shared" si="38"/>
        <v>-265.0100000000001</v>
      </c>
      <c r="M142" s="591"/>
      <c r="N142" s="322">
        <f t="shared" si="39"/>
        <v>0</v>
      </c>
      <c r="O142" s="322">
        <f t="shared" si="39"/>
        <v>-190.52918019419485</v>
      </c>
      <c r="P142" s="322">
        <f t="shared" si="39"/>
        <v>25.011000000000024</v>
      </c>
      <c r="Q142" s="322">
        <f t="shared" si="39"/>
        <v>-5</v>
      </c>
      <c r="R142" s="747">
        <f t="shared" si="40"/>
        <v>-170.51818019419483</v>
      </c>
      <c r="S142" s="322"/>
    </row>
    <row r="143" spans="1:20">
      <c r="A143" s="746">
        <f t="shared" si="36"/>
        <v>2019</v>
      </c>
      <c r="B143" s="1401">
        <f t="shared" si="37"/>
        <v>-633</v>
      </c>
      <c r="C143" s="322">
        <f t="shared" si="37"/>
        <v>22</v>
      </c>
      <c r="D143" s="1401">
        <f t="shared" si="37"/>
        <v>-611</v>
      </c>
      <c r="E143" s="1401">
        <f t="shared" si="37"/>
        <v>670.48081980580594</v>
      </c>
      <c r="F143" s="322">
        <f t="shared" si="37"/>
        <v>59.480819805805368</v>
      </c>
      <c r="G143" s="591"/>
      <c r="H143" s="322">
        <f t="shared" si="38"/>
        <v>0</v>
      </c>
      <c r="I143" s="322">
        <f t="shared" si="38"/>
        <v>2.0000000000024443E-3</v>
      </c>
      <c r="J143" s="322">
        <f t="shared" si="38"/>
        <v>3.0000000000001137E-3</v>
      </c>
      <c r="K143" s="322">
        <f t="shared" si="38"/>
        <v>-15.010999999999999</v>
      </c>
      <c r="L143" s="322">
        <f t="shared" si="38"/>
        <v>-15.005999999999972</v>
      </c>
      <c r="M143" s="591"/>
      <c r="N143" s="322">
        <f t="shared" si="39"/>
        <v>0</v>
      </c>
      <c r="O143" s="322">
        <f t="shared" si="39"/>
        <v>44.474819805805964</v>
      </c>
      <c r="P143" s="322">
        <f t="shared" si="39"/>
        <v>-6.9889999999999759</v>
      </c>
      <c r="Q143" s="322">
        <f t="shared" si="39"/>
        <v>-6</v>
      </c>
      <c r="R143" s="747">
        <f t="shared" si="40"/>
        <v>31.485819805805988</v>
      </c>
      <c r="S143" s="322"/>
    </row>
    <row r="144" spans="1:20">
      <c r="A144" s="746">
        <f t="shared" si="36"/>
        <v>2020</v>
      </c>
      <c r="B144" s="1401">
        <f t="shared" si="37"/>
        <v>-682</v>
      </c>
      <c r="C144" s="322">
        <f t="shared" si="37"/>
        <v>29</v>
      </c>
      <c r="D144" s="1401">
        <f t="shared" si="37"/>
        <v>-653</v>
      </c>
      <c r="E144" s="1401">
        <f t="shared" si="37"/>
        <v>670.47118313913927</v>
      </c>
      <c r="F144" s="322">
        <f t="shared" si="37"/>
        <v>17.471183139137793</v>
      </c>
      <c r="G144" s="591"/>
      <c r="H144" s="322">
        <f t="shared" si="38"/>
        <v>0</v>
      </c>
      <c r="I144" s="322">
        <f t="shared" si="38"/>
        <v>4.9999999999990052E-3</v>
      </c>
      <c r="J144" s="322">
        <f t="shared" si="38"/>
        <v>3.0000000000001137E-3</v>
      </c>
      <c r="K144" s="322">
        <f t="shared" si="38"/>
        <v>-15.010999999999999</v>
      </c>
      <c r="L144" s="322">
        <f t="shared" si="38"/>
        <v>-15.003000000000043</v>
      </c>
      <c r="M144" s="591"/>
      <c r="N144" s="322">
        <f t="shared" si="39"/>
        <v>0</v>
      </c>
      <c r="O144" s="322">
        <f t="shared" si="39"/>
        <v>2.4681831391371816</v>
      </c>
      <c r="P144" s="322">
        <f t="shared" si="39"/>
        <v>-13.988999999999976</v>
      </c>
      <c r="Q144" s="322">
        <f t="shared" si="39"/>
        <v>-7</v>
      </c>
      <c r="R144" s="747">
        <f t="shared" si="40"/>
        <v>-18.520816860862794</v>
      </c>
      <c r="S144" s="322"/>
    </row>
    <row r="145" spans="1:19">
      <c r="A145" s="746">
        <f t="shared" si="36"/>
        <v>2021</v>
      </c>
      <c r="B145" s="1401">
        <f t="shared" si="37"/>
        <v>-733</v>
      </c>
      <c r="C145" s="322">
        <f t="shared" si="37"/>
        <v>22</v>
      </c>
      <c r="D145" s="1401">
        <f t="shared" si="37"/>
        <v>-711</v>
      </c>
      <c r="E145" s="1401">
        <f t="shared" si="37"/>
        <v>670.45466313913937</v>
      </c>
      <c r="F145" s="322">
        <f t="shared" si="37"/>
        <v>-40.545336860861426</v>
      </c>
      <c r="G145" s="591"/>
      <c r="H145" s="322">
        <f t="shared" si="38"/>
        <v>0</v>
      </c>
      <c r="I145" s="322">
        <f t="shared" si="38"/>
        <v>-2.0000000000024443E-3</v>
      </c>
      <c r="J145" s="322">
        <f t="shared" si="38"/>
        <v>3.0000000000001137E-3</v>
      </c>
      <c r="K145" s="322">
        <f t="shared" si="38"/>
        <v>-15.010999999999999</v>
      </c>
      <c r="L145" s="322">
        <f t="shared" si="38"/>
        <v>-15.010000000000105</v>
      </c>
      <c r="M145" s="591"/>
      <c r="N145" s="322">
        <f t="shared" si="39"/>
        <v>0</v>
      </c>
      <c r="O145" s="322">
        <f t="shared" si="39"/>
        <v>-55.555336860859825</v>
      </c>
      <c r="P145" s="322">
        <f t="shared" si="39"/>
        <v>-6.9889999999999759</v>
      </c>
      <c r="Q145" s="322">
        <f t="shared" si="39"/>
        <v>-8</v>
      </c>
      <c r="R145" s="747">
        <f t="shared" ref="R145:R151" si="41">O145+P145+Q145</f>
        <v>-70.544336860859801</v>
      </c>
      <c r="S145" s="322"/>
    </row>
    <row r="146" spans="1:19">
      <c r="A146" s="746">
        <f t="shared" si="36"/>
        <v>2022</v>
      </c>
      <c r="B146" s="1401">
        <f t="shared" ref="B146:F154" si="42">B96-B121</f>
        <v>-783</v>
      </c>
      <c r="C146" s="322">
        <f t="shared" si="42"/>
        <v>22</v>
      </c>
      <c r="D146" s="1401">
        <f t="shared" si="42"/>
        <v>-761</v>
      </c>
      <c r="E146" s="1401">
        <f t="shared" si="42"/>
        <v>670.43814313913936</v>
      </c>
      <c r="F146" s="322">
        <f t="shared" si="42"/>
        <v>-90.561856860860644</v>
      </c>
      <c r="G146" s="591"/>
      <c r="H146" s="322">
        <f t="shared" ref="H146:L154" si="43">H96-H121</f>
        <v>0</v>
      </c>
      <c r="I146" s="322">
        <f t="shared" si="43"/>
        <v>0</v>
      </c>
      <c r="J146" s="322">
        <f t="shared" si="43"/>
        <v>3.0000000000001137E-3</v>
      </c>
      <c r="K146" s="322">
        <f t="shared" si="43"/>
        <v>-15.010999999999999</v>
      </c>
      <c r="L146" s="322">
        <f t="shared" si="43"/>
        <v>-15.008000000000038</v>
      </c>
      <c r="M146" s="591"/>
      <c r="N146" s="322">
        <f t="shared" si="39"/>
        <v>0</v>
      </c>
      <c r="O146" s="322">
        <f t="shared" si="39"/>
        <v>-105.56985686086045</v>
      </c>
      <c r="P146" s="322">
        <f t="shared" si="39"/>
        <v>-6.9889999999999759</v>
      </c>
      <c r="Q146" s="322">
        <f t="shared" si="39"/>
        <v>-9</v>
      </c>
      <c r="R146" s="747">
        <f t="shared" si="41"/>
        <v>-121.55885686086043</v>
      </c>
      <c r="S146" s="322"/>
    </row>
    <row r="147" spans="1:19">
      <c r="A147" s="746">
        <f t="shared" si="36"/>
        <v>2023</v>
      </c>
      <c r="B147" s="1401">
        <f t="shared" si="42"/>
        <v>-842</v>
      </c>
      <c r="C147" s="322">
        <f t="shared" si="42"/>
        <v>22</v>
      </c>
      <c r="D147" s="1401">
        <f t="shared" si="42"/>
        <v>-820</v>
      </c>
      <c r="E147" s="1401">
        <f t="shared" si="42"/>
        <v>670.42162313913934</v>
      </c>
      <c r="F147" s="322">
        <f t="shared" si="42"/>
        <v>-149.57837686085986</v>
      </c>
      <c r="G147" s="591"/>
      <c r="H147" s="322">
        <f t="shared" si="43"/>
        <v>0</v>
      </c>
      <c r="I147" s="322">
        <f t="shared" si="43"/>
        <v>1.9999999999988916E-3</v>
      </c>
      <c r="J147" s="322">
        <f t="shared" si="43"/>
        <v>3.0000000000001137E-3</v>
      </c>
      <c r="K147" s="322">
        <f t="shared" si="43"/>
        <v>-15.010999999999999</v>
      </c>
      <c r="L147" s="322">
        <f t="shared" si="43"/>
        <v>-15.006000000000085</v>
      </c>
      <c r="M147" s="591"/>
      <c r="N147" s="322">
        <f t="shared" si="39"/>
        <v>0</v>
      </c>
      <c r="O147" s="322">
        <f t="shared" si="39"/>
        <v>-164.58437686086108</v>
      </c>
      <c r="P147" s="322">
        <f t="shared" si="39"/>
        <v>-6.9889999999999759</v>
      </c>
      <c r="Q147" s="322">
        <f t="shared" si="39"/>
        <v>-10</v>
      </c>
      <c r="R147" s="747">
        <f t="shared" si="41"/>
        <v>-181.57337686086106</v>
      </c>
      <c r="S147" s="322"/>
    </row>
    <row r="148" spans="1:19">
      <c r="A148" s="746">
        <f t="shared" si="36"/>
        <v>2024</v>
      </c>
      <c r="B148" s="1401">
        <f t="shared" si="42"/>
        <v>-900</v>
      </c>
      <c r="C148" s="322">
        <f t="shared" si="42"/>
        <v>22</v>
      </c>
      <c r="D148" s="1401">
        <f t="shared" si="42"/>
        <v>-878</v>
      </c>
      <c r="E148" s="1401">
        <f t="shared" si="42"/>
        <v>670.40510313913933</v>
      </c>
      <c r="F148" s="322">
        <f t="shared" si="42"/>
        <v>-207.5948968608609</v>
      </c>
      <c r="G148" s="591"/>
      <c r="H148" s="322">
        <f t="shared" si="43"/>
        <v>150</v>
      </c>
      <c r="I148" s="322">
        <f t="shared" si="43"/>
        <v>-6.0000000000002274E-3</v>
      </c>
      <c r="J148" s="322">
        <f t="shared" si="43"/>
        <v>3.0000000000001137E-3</v>
      </c>
      <c r="K148" s="322">
        <f t="shared" si="43"/>
        <v>-15.010999999999999</v>
      </c>
      <c r="L148" s="322">
        <f t="shared" si="43"/>
        <v>134.98599999999988</v>
      </c>
      <c r="M148" s="591"/>
      <c r="N148" s="322">
        <f t="shared" si="39"/>
        <v>0</v>
      </c>
      <c r="O148" s="322">
        <f t="shared" si="39"/>
        <v>-72.608896860860114</v>
      </c>
      <c r="P148" s="322">
        <f t="shared" si="39"/>
        <v>-6.9889999999999759</v>
      </c>
      <c r="Q148" s="322">
        <f t="shared" si="39"/>
        <v>-11</v>
      </c>
      <c r="R148" s="747">
        <f t="shared" si="41"/>
        <v>-90.597896860860089</v>
      </c>
      <c r="S148" s="322"/>
    </row>
    <row r="149" spans="1:19">
      <c r="A149" s="746">
        <f t="shared" si="36"/>
        <v>2025</v>
      </c>
      <c r="B149" s="1401">
        <f t="shared" si="42"/>
        <v>-963</v>
      </c>
      <c r="C149" s="322">
        <f t="shared" si="42"/>
        <v>37</v>
      </c>
      <c r="D149" s="1401">
        <f t="shared" si="42"/>
        <v>-926</v>
      </c>
      <c r="E149" s="1401">
        <f t="shared" si="42"/>
        <v>670.38858313913931</v>
      </c>
      <c r="F149" s="322">
        <f t="shared" si="42"/>
        <v>-255.61141686086012</v>
      </c>
      <c r="G149" s="591"/>
      <c r="H149" s="322">
        <f t="shared" si="43"/>
        <v>150</v>
      </c>
      <c r="I149" s="322">
        <f t="shared" si="43"/>
        <v>-4.0000000000013358E-3</v>
      </c>
      <c r="J149" s="322">
        <f t="shared" si="43"/>
        <v>3.0000000000001137E-3</v>
      </c>
      <c r="K149" s="322">
        <f t="shared" si="43"/>
        <v>-15.010999999999999</v>
      </c>
      <c r="L149" s="322">
        <f t="shared" si="43"/>
        <v>134.98800000000006</v>
      </c>
      <c r="M149" s="591"/>
      <c r="N149" s="322">
        <f t="shared" si="39"/>
        <v>0</v>
      </c>
      <c r="O149" s="322">
        <f t="shared" si="39"/>
        <v>-120.62341686086074</v>
      </c>
      <c r="P149" s="322">
        <f t="shared" si="39"/>
        <v>-21.988999999999976</v>
      </c>
      <c r="Q149" s="322">
        <f t="shared" si="39"/>
        <v>-12</v>
      </c>
      <c r="R149" s="747">
        <f t="shared" si="41"/>
        <v>-154.61241686086072</v>
      </c>
      <c r="S149" s="322"/>
    </row>
    <row r="150" spans="1:19">
      <c r="A150" s="746">
        <f t="shared" si="36"/>
        <v>2026</v>
      </c>
      <c r="B150" s="1401">
        <f t="shared" si="42"/>
        <v>-1033</v>
      </c>
      <c r="C150" s="322">
        <f t="shared" si="42"/>
        <v>53</v>
      </c>
      <c r="D150" s="1401">
        <f t="shared" si="42"/>
        <v>-980</v>
      </c>
      <c r="E150" s="1401">
        <f t="shared" si="42"/>
        <v>670.37206313913919</v>
      </c>
      <c r="F150" s="322">
        <f t="shared" si="42"/>
        <v>-309.62793686086115</v>
      </c>
      <c r="G150" s="591"/>
      <c r="H150" s="322">
        <f t="shared" si="43"/>
        <v>300</v>
      </c>
      <c r="I150" s="322">
        <f t="shared" si="43"/>
        <v>9.0000000000003411E-3</v>
      </c>
      <c r="J150" s="322">
        <f t="shared" si="43"/>
        <v>3.0000000000001137E-3</v>
      </c>
      <c r="K150" s="322">
        <f t="shared" si="43"/>
        <v>-15.010999999999999</v>
      </c>
      <c r="L150" s="322">
        <f t="shared" si="43"/>
        <v>285.00099999999992</v>
      </c>
      <c r="M150" s="591"/>
      <c r="N150" s="322">
        <f t="shared" si="39"/>
        <v>0</v>
      </c>
      <c r="O150" s="322">
        <f t="shared" si="39"/>
        <v>-24.626936860860951</v>
      </c>
      <c r="P150" s="322">
        <f t="shared" si="39"/>
        <v>-37.988999999999976</v>
      </c>
      <c r="Q150" s="322">
        <f t="shared" si="39"/>
        <v>-13</v>
      </c>
      <c r="R150" s="747">
        <f t="shared" si="41"/>
        <v>-75.615936860860927</v>
      </c>
      <c r="S150" s="322"/>
    </row>
    <row r="151" spans="1:19">
      <c r="A151" s="746">
        <f t="shared" si="36"/>
        <v>2027</v>
      </c>
      <c r="B151" s="1401">
        <f t="shared" si="42"/>
        <v>-1101</v>
      </c>
      <c r="C151" s="322">
        <f t="shared" si="42"/>
        <v>53</v>
      </c>
      <c r="D151" s="1401">
        <f t="shared" si="42"/>
        <v>-1048</v>
      </c>
      <c r="E151" s="1401">
        <f t="shared" si="42"/>
        <v>670.35554313913929</v>
      </c>
      <c r="F151" s="322">
        <f t="shared" si="42"/>
        <v>-377.64445686086037</v>
      </c>
      <c r="G151" s="591"/>
      <c r="H151" s="322">
        <f t="shared" si="43"/>
        <v>300</v>
      </c>
      <c r="I151" s="322">
        <f t="shared" si="43"/>
        <v>1.0000000000012221E-3</v>
      </c>
      <c r="J151" s="322">
        <f t="shared" si="43"/>
        <v>3.0000000000001137E-3</v>
      </c>
      <c r="K151" s="322">
        <f t="shared" si="43"/>
        <v>-15.010999999999999</v>
      </c>
      <c r="L151" s="322">
        <f t="shared" si="43"/>
        <v>284.99299999999999</v>
      </c>
      <c r="M151" s="591"/>
      <c r="N151" s="322">
        <f t="shared" si="39"/>
        <v>0</v>
      </c>
      <c r="O151" s="322">
        <f t="shared" si="39"/>
        <v>-92.65145686085998</v>
      </c>
      <c r="P151" s="322">
        <f t="shared" si="39"/>
        <v>-37.988999999999976</v>
      </c>
      <c r="Q151" s="322">
        <f t="shared" si="39"/>
        <v>-14</v>
      </c>
      <c r="R151" s="747">
        <f t="shared" si="41"/>
        <v>-144.64045686085996</v>
      </c>
      <c r="S151" s="322"/>
    </row>
    <row r="152" spans="1:19">
      <c r="A152" s="746">
        <f t="shared" si="36"/>
        <v>2028</v>
      </c>
      <c r="B152" s="1401">
        <f t="shared" si="42"/>
        <v>-1172</v>
      </c>
      <c r="C152" s="322">
        <f t="shared" si="42"/>
        <v>52</v>
      </c>
      <c r="D152" s="1401">
        <f t="shared" si="42"/>
        <v>-1120</v>
      </c>
      <c r="E152" s="1401">
        <f t="shared" si="42"/>
        <v>670.33902313913939</v>
      </c>
      <c r="F152" s="322">
        <f t="shared" si="42"/>
        <v>-449.66097686086141</v>
      </c>
      <c r="G152" s="591"/>
      <c r="H152" s="322">
        <f t="shared" si="43"/>
        <v>300</v>
      </c>
      <c r="I152" s="322">
        <f t="shared" si="43"/>
        <v>4.0000000000013358E-3</v>
      </c>
      <c r="J152" s="322">
        <f t="shared" si="43"/>
        <v>3.0000000000001137E-3</v>
      </c>
      <c r="K152" s="322">
        <f t="shared" si="43"/>
        <v>-15.010999999999999</v>
      </c>
      <c r="L152" s="322">
        <f t="shared" si="43"/>
        <v>284.99599999999992</v>
      </c>
      <c r="M152" s="591"/>
      <c r="N152" s="322">
        <f t="shared" si="39"/>
        <v>0</v>
      </c>
      <c r="O152" s="322">
        <f t="shared" si="39"/>
        <v>-164.66497686086223</v>
      </c>
      <c r="P152" s="322">
        <f t="shared" si="39"/>
        <v>-36.988999999999976</v>
      </c>
      <c r="Q152" s="322">
        <f t="shared" si="39"/>
        <v>-15</v>
      </c>
      <c r="R152" s="747">
        <f>O152+P152+Q152</f>
        <v>-216.6539768608622</v>
      </c>
      <c r="S152" s="322"/>
    </row>
    <row r="153" spans="1:19">
      <c r="A153" s="746">
        <f t="shared" si="36"/>
        <v>2029</v>
      </c>
      <c r="B153" s="1401">
        <f t="shared" si="42"/>
        <v>-1243</v>
      </c>
      <c r="C153" s="322">
        <f t="shared" si="42"/>
        <v>53</v>
      </c>
      <c r="D153" s="1401">
        <f t="shared" si="42"/>
        <v>-1190</v>
      </c>
      <c r="E153" s="1401">
        <f t="shared" si="42"/>
        <v>670.32250313913937</v>
      </c>
      <c r="F153" s="322">
        <f t="shared" si="42"/>
        <v>-519.67749686086063</v>
      </c>
      <c r="G153" s="591"/>
      <c r="H153" s="322">
        <f t="shared" si="43"/>
        <v>300</v>
      </c>
      <c r="I153" s="322">
        <f t="shared" si="43"/>
        <v>6.0000000000002274E-3</v>
      </c>
      <c r="J153" s="322">
        <f t="shared" si="43"/>
        <v>3.0000000000001137E-3</v>
      </c>
      <c r="K153" s="322">
        <f t="shared" si="43"/>
        <v>-15.010999999999999</v>
      </c>
      <c r="L153" s="322">
        <f t="shared" si="43"/>
        <v>284.99799999999988</v>
      </c>
      <c r="M153" s="591"/>
      <c r="N153" s="322">
        <f t="shared" si="39"/>
        <v>0</v>
      </c>
      <c r="O153" s="322">
        <f t="shared" si="39"/>
        <v>-234.67949686086104</v>
      </c>
      <c r="P153" s="322">
        <f t="shared" si="39"/>
        <v>-37.988999999999976</v>
      </c>
      <c r="Q153" s="322">
        <f t="shared" si="39"/>
        <v>-16</v>
      </c>
      <c r="R153" s="747">
        <f>O153+P153+Q153</f>
        <v>-288.66849686086101</v>
      </c>
      <c r="S153" s="322"/>
    </row>
    <row r="154" spans="1:19">
      <c r="A154" s="743">
        <f t="shared" si="36"/>
        <v>2030</v>
      </c>
      <c r="B154" s="1402">
        <f t="shared" si="42"/>
        <v>-1319</v>
      </c>
      <c r="C154" s="597">
        <f t="shared" si="42"/>
        <v>53</v>
      </c>
      <c r="D154" s="1402">
        <f t="shared" si="42"/>
        <v>-1266</v>
      </c>
      <c r="E154" s="1402">
        <f t="shared" si="42"/>
        <v>670.30598313913936</v>
      </c>
      <c r="F154" s="597">
        <f t="shared" si="42"/>
        <v>-595.69401686086167</v>
      </c>
      <c r="G154" s="731"/>
      <c r="H154" s="597">
        <f t="shared" si="43"/>
        <v>300</v>
      </c>
      <c r="I154" s="597">
        <f t="shared" si="43"/>
        <v>-1.9999999999988916E-3</v>
      </c>
      <c r="J154" s="597">
        <f t="shared" si="43"/>
        <v>3.0000000000001137E-3</v>
      </c>
      <c r="K154" s="597">
        <f t="shared" si="43"/>
        <v>-15.010999999999999</v>
      </c>
      <c r="L154" s="597">
        <f t="shared" si="43"/>
        <v>284.98999999999984</v>
      </c>
      <c r="M154" s="731"/>
      <c r="N154" s="597">
        <f t="shared" si="39"/>
        <v>0</v>
      </c>
      <c r="O154" s="597">
        <f t="shared" si="39"/>
        <v>-310.70401686086188</v>
      </c>
      <c r="P154" s="597">
        <f t="shared" si="39"/>
        <v>-37.988999999999976</v>
      </c>
      <c r="Q154" s="597">
        <f t="shared" si="39"/>
        <v>-16</v>
      </c>
      <c r="R154" s="748">
        <f>O154+P154+Q154</f>
        <v>-364.69301686086186</v>
      </c>
      <c r="S154" s="322"/>
    </row>
    <row r="156" spans="1:19">
      <c r="B156" s="320"/>
    </row>
    <row r="157" spans="1:19">
      <c r="B157" s="320"/>
    </row>
    <row r="158" spans="1:19">
      <c r="B158" s="320"/>
    </row>
    <row r="159" spans="1:19">
      <c r="B159" s="320"/>
    </row>
    <row r="160" spans="1:19">
      <c r="B160" s="320"/>
    </row>
  </sheetData>
  <mergeCells count="22">
    <mergeCell ref="U29:Y29"/>
    <mergeCell ref="U4:Y4"/>
    <mergeCell ref="A1:R1"/>
    <mergeCell ref="A28:R28"/>
    <mergeCell ref="A3:R3"/>
    <mergeCell ref="H5:L5"/>
    <mergeCell ref="H30:L30"/>
    <mergeCell ref="H133:L133"/>
    <mergeCell ref="H83:L83"/>
    <mergeCell ref="H108:L108"/>
    <mergeCell ref="A79:R79"/>
    <mergeCell ref="H55:L55"/>
    <mergeCell ref="A53:R53"/>
    <mergeCell ref="A131:R131"/>
    <mergeCell ref="A81:R81"/>
    <mergeCell ref="A106:R106"/>
    <mergeCell ref="AA55:AC55"/>
    <mergeCell ref="AA2:AO2"/>
    <mergeCell ref="AA4:AC4"/>
    <mergeCell ref="AE4:AG4"/>
    <mergeCell ref="AI4:AK4"/>
    <mergeCell ref="AM4:AO4"/>
  </mergeCells>
  <phoneticPr fontId="52" type="noConversion"/>
  <printOptions horizontalCentered="1"/>
  <pageMargins left="0.25" right="0.25" top="0.5" bottom="0.75" header="0" footer="0.25"/>
  <pageSetup scale="29" orientation="landscape" verticalDpi="300" r:id="rId1"/>
  <headerFooter alignWithMargins="0">
    <oddFooter>&amp;LLoad Forecasting : &amp;D&amp;R14LGBRA-NRGPOD1-6-DOC 38
14BGBRA-STAFFROG1-19A-DOC 38</oddFooter>
  </headerFooter>
  <rowBreaks count="1" manualBreakCount="1">
    <brk id="77" max="17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201"/>
  <sheetViews>
    <sheetView workbookViewId="0">
      <selection activeCell="A105" sqref="A105"/>
    </sheetView>
  </sheetViews>
  <sheetFormatPr defaultColWidth="9.140625" defaultRowHeight="12.75"/>
  <cols>
    <col min="1" max="1" width="13.42578125" style="198" customWidth="1"/>
    <col min="2" max="4" width="9.140625" style="199"/>
    <col min="5" max="5" width="10" style="199" bestFit="1" customWidth="1"/>
    <col min="6" max="6" width="11.5703125" style="199" bestFit="1" customWidth="1"/>
    <col min="7" max="9" width="9.140625" style="199"/>
    <col min="10" max="10" width="2.5703125" style="199" customWidth="1"/>
    <col min="11" max="11" width="9.140625" style="200"/>
    <col min="12" max="12" width="11.7109375" style="200" bestFit="1" customWidth="1"/>
    <col min="13" max="13" width="2.7109375" style="199" customWidth="1"/>
    <col min="14" max="15" width="9.140625" style="201"/>
    <col min="16" max="20" width="9.140625" style="199"/>
    <col min="21" max="21" width="10.28515625" style="199" bestFit="1" customWidth="1"/>
    <col min="22" max="16384" width="9.140625" style="199"/>
  </cols>
  <sheetData>
    <row r="1" spans="1:39" s="195" customFormat="1" ht="13.5" thickBot="1">
      <c r="A1" s="979" t="s">
        <v>459</v>
      </c>
      <c r="K1" s="196"/>
      <c r="L1" s="196"/>
      <c r="N1" s="197"/>
      <c r="O1" s="197"/>
    </row>
    <row r="2" spans="1:39">
      <c r="B2" s="198"/>
      <c r="C2" s="198"/>
      <c r="D2" s="198"/>
      <c r="E2" s="198"/>
      <c r="F2" s="198"/>
      <c r="G2" s="198"/>
      <c r="H2" s="198"/>
      <c r="I2" s="198"/>
      <c r="Q2" s="202" t="s">
        <v>148</v>
      </c>
    </row>
    <row r="3" spans="1:39">
      <c r="B3" s="203" t="s">
        <v>21</v>
      </c>
      <c r="C3" s="198"/>
      <c r="D3" s="198"/>
      <c r="E3" s="203" t="s">
        <v>118</v>
      </c>
      <c r="F3" s="203"/>
      <c r="G3" s="198"/>
      <c r="H3" s="198"/>
      <c r="I3" s="198"/>
      <c r="K3" s="1674" t="s">
        <v>149</v>
      </c>
      <c r="L3" s="1673"/>
      <c r="AH3" s="552" t="s">
        <v>150</v>
      </c>
      <c r="AI3" s="198"/>
      <c r="AJ3" s="198"/>
      <c r="AK3" s="552" t="s">
        <v>151</v>
      </c>
      <c r="AL3" s="198"/>
    </row>
    <row r="4" spans="1:39" ht="15">
      <c r="B4" s="198" t="s">
        <v>152</v>
      </c>
      <c r="C4" s="203" t="s">
        <v>21</v>
      </c>
      <c r="D4" s="198"/>
      <c r="E4" s="198" t="s">
        <v>153</v>
      </c>
      <c r="F4" s="552" t="s">
        <v>154</v>
      </c>
      <c r="G4" s="1675" t="s">
        <v>289</v>
      </c>
      <c r="H4" s="1672"/>
      <c r="I4" s="203" t="s">
        <v>155</v>
      </c>
      <c r="J4" s="205"/>
      <c r="K4" s="1673" t="s">
        <v>156</v>
      </c>
      <c r="L4" s="1673"/>
      <c r="M4" s="198"/>
      <c r="N4" s="201" t="s">
        <v>157</v>
      </c>
      <c r="R4" s="1670" t="s">
        <v>158</v>
      </c>
      <c r="S4" s="1670"/>
      <c r="T4" s="1670" t="s">
        <v>159</v>
      </c>
      <c r="U4" s="1670"/>
      <c r="AH4" s="552" t="s">
        <v>160</v>
      </c>
      <c r="AI4" s="552" t="s">
        <v>160</v>
      </c>
      <c r="AJ4" s="198"/>
      <c r="AK4" s="552" t="s">
        <v>160</v>
      </c>
      <c r="AL4" s="552" t="s">
        <v>160</v>
      </c>
    </row>
    <row r="5" spans="1:39" s="209" customFormat="1">
      <c r="A5" s="206"/>
      <c r="B5" s="207" t="s">
        <v>161</v>
      </c>
      <c r="C5" s="206" t="s">
        <v>162</v>
      </c>
      <c r="D5" s="206" t="s">
        <v>66</v>
      </c>
      <c r="E5" s="206" t="s">
        <v>163</v>
      </c>
      <c r="F5" s="550" t="s">
        <v>291</v>
      </c>
      <c r="G5" s="550" t="s">
        <v>290</v>
      </c>
      <c r="H5" s="551" t="s">
        <v>324</v>
      </c>
      <c r="I5" s="206" t="s">
        <v>162</v>
      </c>
      <c r="J5" s="208"/>
      <c r="K5" s="1671" t="s">
        <v>161</v>
      </c>
      <c r="L5" s="1671"/>
      <c r="N5" s="210" t="s">
        <v>164</v>
      </c>
      <c r="O5" s="210"/>
      <c r="Q5" s="206" t="s">
        <v>126</v>
      </c>
      <c r="R5" s="206" t="s">
        <v>155</v>
      </c>
      <c r="S5" s="206" t="s">
        <v>165</v>
      </c>
      <c r="T5" s="206" t="str">
        <f>R5</f>
        <v>Other</v>
      </c>
      <c r="U5" s="206" t="str">
        <f>S5</f>
        <v>Suncoast</v>
      </c>
      <c r="AH5" s="550" t="s">
        <v>166</v>
      </c>
      <c r="AI5" s="551" t="s">
        <v>293</v>
      </c>
      <c r="AJ5" s="550" t="s">
        <v>292</v>
      </c>
      <c r="AK5" s="550" t="s">
        <v>166</v>
      </c>
      <c r="AL5" s="551" t="s">
        <v>293</v>
      </c>
      <c r="AM5" s="550" t="s">
        <v>292</v>
      </c>
    </row>
    <row r="6" spans="1:39" s="200" customFormat="1">
      <c r="A6" s="236" t="s">
        <v>165</v>
      </c>
      <c r="B6" s="236"/>
      <c r="C6" s="237"/>
      <c r="D6" s="235"/>
      <c r="E6" s="235"/>
      <c r="F6" s="235"/>
      <c r="G6" s="235"/>
      <c r="H6" s="235"/>
      <c r="I6" s="235"/>
      <c r="J6" s="238"/>
      <c r="K6" s="237"/>
      <c r="L6" s="239"/>
      <c r="M6" s="240"/>
      <c r="N6" s="241"/>
      <c r="O6" s="242"/>
      <c r="Q6" s="213">
        <v>2001</v>
      </c>
      <c r="R6" s="215" t="e">
        <f>1-S6</f>
        <v>#REF!</v>
      </c>
      <c r="S6" s="215" t="e">
        <f>L9</f>
        <v>#REF!</v>
      </c>
      <c r="T6" s="214" t="e">
        <f>1-U6</f>
        <v>#REF!</v>
      </c>
      <c r="U6" s="215" t="e">
        <f>L113</f>
        <v>#REF!</v>
      </c>
      <c r="V6" s="216"/>
      <c r="X6" s="216"/>
      <c r="AG6" s="217">
        <v>2001</v>
      </c>
      <c r="AH6" s="218">
        <f>[32]sheet1!S14</f>
        <v>1111.6993684210527</v>
      </c>
      <c r="AI6" s="218">
        <f>[32]sheet1!T14</f>
        <v>825.7</v>
      </c>
      <c r="AJ6" s="219">
        <f>AI6/SUM(AH6:AI6)</f>
        <v>0.42618987776017053</v>
      </c>
      <c r="AK6" s="218">
        <f>[32]sheet1!S35</f>
        <v>955.40336842105273</v>
      </c>
      <c r="AL6" s="218">
        <f>[32]sheet1!T35</f>
        <v>610.97372654155504</v>
      </c>
      <c r="AM6" s="219">
        <f>AL6/SUM(AK6:AL6)</f>
        <v>0.39005532480423566</v>
      </c>
    </row>
    <row r="7" spans="1:39" s="231" customFormat="1">
      <c r="A7" s="226">
        <v>2001</v>
      </c>
      <c r="B7" s="227">
        <f>'Monthly Peaks'!$B$8</f>
        <v>10257.049999999999</v>
      </c>
      <c r="C7" s="227" t="e">
        <f>'Monthly Peaks'!#REF!</f>
        <v>#REF!</v>
      </c>
      <c r="D7" s="228" t="e">
        <f>'Monthly Peaks'!#REF!</f>
        <v>#REF!</v>
      </c>
      <c r="E7" s="228" t="e">
        <f>B7-C7-D7</f>
        <v>#REF!</v>
      </c>
      <c r="F7" s="228" t="e">
        <f>'Monthly Peaks'!#REF!+'Monthly Peaks'!#REF!</f>
        <v>#REF!</v>
      </c>
      <c r="G7" s="228" t="e">
        <f>'Monthly Peaks'!#REF!+'Monthly Peaks'!#REF!+'Monthly Peaks'!#REF!</f>
        <v>#REF!</v>
      </c>
      <c r="H7" s="228" t="e">
        <f>'Monthly Peaks'!#REF!+'Monthly Peaks'!#REF!</f>
        <v>#REF!</v>
      </c>
      <c r="I7" s="228" t="e">
        <f>C7-F7-G7-H7</f>
        <v>#REF!</v>
      </c>
      <c r="J7" s="229"/>
      <c r="K7" s="230"/>
      <c r="L7" s="230"/>
      <c r="N7" s="232"/>
      <c r="O7" s="233"/>
      <c r="Q7" s="213">
        <v>2002</v>
      </c>
      <c r="R7" s="215" t="e">
        <f t="shared" ref="R7:R18" si="0">1-S7</f>
        <v>#REF!</v>
      </c>
      <c r="S7" s="215" t="e">
        <f>L13</f>
        <v>#REF!</v>
      </c>
      <c r="T7" s="214" t="e">
        <f t="shared" ref="T7:T17" si="1">1-U7</f>
        <v>#REF!</v>
      </c>
      <c r="U7" s="215" t="e">
        <f>L117</f>
        <v>#REF!</v>
      </c>
      <c r="V7" s="216"/>
      <c r="X7" s="216"/>
      <c r="AA7" s="229" t="e">
        <f>SUM(F7:I7)</f>
        <v>#REF!</v>
      </c>
      <c r="AG7" s="217">
        <v>2002</v>
      </c>
      <c r="AH7" s="218">
        <f>[32]sheet1!S15</f>
        <v>1150.7343157894736</v>
      </c>
      <c r="AI7" s="218">
        <f>[32]sheet1!T15</f>
        <v>848.3</v>
      </c>
      <c r="AJ7" s="219">
        <f t="shared" ref="AJ7:AJ17" si="2">AI7/SUM(AH7:AI7)</f>
        <v>0.4243548964115621</v>
      </c>
      <c r="AK7" s="218">
        <f>[32]sheet1!S36</f>
        <v>988.95031578947362</v>
      </c>
      <c r="AL7" s="218">
        <f>[32]sheet1!T36</f>
        <v>627.69651474530826</v>
      </c>
      <c r="AM7" s="219">
        <f t="shared" ref="AM7:AM17" si="3">AL7/SUM(AK7:AL7)</f>
        <v>0.3882706494019279</v>
      </c>
    </row>
    <row r="8" spans="1:39" s="200" customFormat="1">
      <c r="A8" s="204" t="s">
        <v>155</v>
      </c>
      <c r="B8" s="204"/>
      <c r="C8" s="220"/>
      <c r="D8" s="221" t="e">
        <f>D7</f>
        <v>#REF!</v>
      </c>
      <c r="E8" s="221" t="e">
        <f>E7*O8</f>
        <v>#REF!</v>
      </c>
      <c r="F8" s="221" t="e">
        <f>F7-F9</f>
        <v>#REF!</v>
      </c>
      <c r="G8" s="221" t="e">
        <f>G7</f>
        <v>#REF!</v>
      </c>
      <c r="H8" s="221" t="e">
        <f>H7</f>
        <v>#REF!</v>
      </c>
      <c r="I8" s="221" t="e">
        <f>I7</f>
        <v>#REF!</v>
      </c>
      <c r="J8" s="222"/>
      <c r="K8" s="220" t="e">
        <f>SUM(D8:I8)</f>
        <v>#REF!</v>
      </c>
      <c r="L8" s="223" t="e">
        <f>K8/B7</f>
        <v>#REF!</v>
      </c>
      <c r="N8" s="224">
        <f>[32]sheet1!$F$14</f>
        <v>4870</v>
      </c>
      <c r="O8" s="225">
        <f>N8/SUM(N8:N9)</f>
        <v>0.63034727345681407</v>
      </c>
      <c r="Q8" s="213">
        <v>2003</v>
      </c>
      <c r="R8" s="215" t="e">
        <f t="shared" si="0"/>
        <v>#REF!</v>
      </c>
      <c r="S8" s="215" t="e">
        <f>L17</f>
        <v>#REF!</v>
      </c>
      <c r="T8" s="214" t="e">
        <f t="shared" si="1"/>
        <v>#REF!</v>
      </c>
      <c r="U8" s="215" t="e">
        <f>L121</f>
        <v>#REF!</v>
      </c>
      <c r="V8" s="216"/>
      <c r="X8" s="216"/>
      <c r="AG8" s="217">
        <v>2003</v>
      </c>
      <c r="AH8" s="218">
        <f>[32]sheet1!S16</f>
        <v>1189.6696842105264</v>
      </c>
      <c r="AI8" s="218">
        <f>[32]sheet1!T16</f>
        <v>871</v>
      </c>
      <c r="AJ8" s="219">
        <f t="shared" si="2"/>
        <v>0.42267812579272895</v>
      </c>
      <c r="AK8" s="218">
        <f>[32]sheet1!S37</f>
        <v>1022.4116842105263</v>
      </c>
      <c r="AL8" s="218">
        <f>[32]sheet1!T37</f>
        <v>644.49329758713145</v>
      </c>
      <c r="AM8" s="219">
        <f t="shared" si="3"/>
        <v>0.38664069315581728</v>
      </c>
    </row>
    <row r="9" spans="1:39" s="200" customFormat="1">
      <c r="A9" s="204" t="s">
        <v>165</v>
      </c>
      <c r="B9" s="204"/>
      <c r="C9" s="220"/>
      <c r="D9" s="221"/>
      <c r="E9" s="221" t="e">
        <f>E7*O9</f>
        <v>#REF!</v>
      </c>
      <c r="F9" s="221" t="e">
        <f>ROUND(F7*AJ6,0)</f>
        <v>#REF!</v>
      </c>
      <c r="G9" s="221"/>
      <c r="H9" s="221"/>
      <c r="I9" s="221"/>
      <c r="J9" s="222"/>
      <c r="K9" s="220" t="e">
        <f>SUM(D9:I9)</f>
        <v>#REF!</v>
      </c>
      <c r="L9" s="223" t="e">
        <f>K9/B7</f>
        <v>#REF!</v>
      </c>
      <c r="N9" s="224">
        <f>[32]sheet1!$G$14</f>
        <v>2855.9</v>
      </c>
      <c r="O9" s="225">
        <f>N9/SUM(N8:N9)</f>
        <v>0.36965272654318593</v>
      </c>
      <c r="Q9" s="213">
        <v>2004</v>
      </c>
      <c r="R9" s="215" t="e">
        <f t="shared" si="0"/>
        <v>#REF!</v>
      </c>
      <c r="S9" s="215" t="e">
        <f>L21</f>
        <v>#REF!</v>
      </c>
      <c r="T9" s="214" t="e">
        <f t="shared" si="1"/>
        <v>#REF!</v>
      </c>
      <c r="U9" s="215" t="e">
        <f>L125</f>
        <v>#REF!</v>
      </c>
      <c r="V9" s="216"/>
      <c r="X9" s="216"/>
      <c r="AG9" s="217">
        <v>2004</v>
      </c>
      <c r="AH9" s="218">
        <f>[32]sheet1!S17</f>
        <v>1229.0033684210528</v>
      </c>
      <c r="AI9" s="218">
        <f>[32]sheet1!T17</f>
        <v>893.7</v>
      </c>
      <c r="AJ9" s="219">
        <f t="shared" si="2"/>
        <v>0.42101973045097107</v>
      </c>
      <c r="AK9" s="218">
        <f>[32]sheet1!S38</f>
        <v>1056.2153684210527</v>
      </c>
      <c r="AL9" s="218">
        <f>[32]sheet1!T38</f>
        <v>661.29008042895452</v>
      </c>
      <c r="AM9" s="219">
        <f t="shared" si="3"/>
        <v>0.3850293929907096</v>
      </c>
    </row>
    <row r="10" spans="1:39">
      <c r="B10" s="198"/>
      <c r="C10" s="211"/>
      <c r="D10" s="221"/>
      <c r="E10" s="221"/>
      <c r="F10" s="221"/>
      <c r="G10" s="221"/>
      <c r="H10" s="221"/>
      <c r="I10" s="221"/>
      <c r="J10" s="212"/>
      <c r="K10" s="204"/>
      <c r="L10" s="204"/>
      <c r="N10" s="224"/>
      <c r="O10" s="225"/>
      <c r="Q10" s="213">
        <v>2005</v>
      </c>
      <c r="R10" s="215" t="e">
        <f t="shared" si="0"/>
        <v>#REF!</v>
      </c>
      <c r="S10" s="215" t="e">
        <f>L25</f>
        <v>#REF!</v>
      </c>
      <c r="T10" s="214" t="e">
        <f t="shared" si="1"/>
        <v>#REF!</v>
      </c>
      <c r="U10" s="215" t="e">
        <f>L129</f>
        <v>#REF!</v>
      </c>
      <c r="V10" s="216"/>
      <c r="X10" s="216"/>
      <c r="AG10" s="217">
        <v>2005</v>
      </c>
      <c r="AH10" s="218">
        <f>[32]sheet1!S18</f>
        <v>1267.0425263157897</v>
      </c>
      <c r="AI10" s="218">
        <f>[32]sheet1!T18</f>
        <v>916.4</v>
      </c>
      <c r="AJ10" s="219">
        <f t="shared" si="2"/>
        <v>0.41970420057095736</v>
      </c>
      <c r="AK10" s="218">
        <f>[32]sheet1!S39</f>
        <v>1088.9065263157895</v>
      </c>
      <c r="AL10" s="218">
        <f>[32]sheet1!T39</f>
        <v>678.08686327077749</v>
      </c>
      <c r="AM10" s="219">
        <f t="shared" si="3"/>
        <v>0.38375178269876442</v>
      </c>
    </row>
    <row r="11" spans="1:39" s="231" customFormat="1">
      <c r="A11" s="226">
        <v>2002</v>
      </c>
      <c r="B11" s="227">
        <f>'Monthly Peaks'!$B$9</f>
        <v>10511.27</v>
      </c>
      <c r="C11" s="227" t="e">
        <f>'Monthly Peaks'!#REF!</f>
        <v>#REF!</v>
      </c>
      <c r="D11" s="228" t="e">
        <f>'Monthly Peaks'!#REF!+'Monthly Peaks'!#REF!</f>
        <v>#REF!</v>
      </c>
      <c r="E11" s="228" t="e">
        <f>B11-C11-D11</f>
        <v>#REF!</v>
      </c>
      <c r="F11" s="228" t="e">
        <f>'Monthly Peaks'!#REF!+'Monthly Peaks'!#REF!</f>
        <v>#REF!</v>
      </c>
      <c r="G11" s="228" t="e">
        <f>'Monthly Peaks'!#REF!+'Monthly Peaks'!#REF!+'Monthly Peaks'!#REF!</f>
        <v>#REF!</v>
      </c>
      <c r="H11" s="228" t="e">
        <f>'Monthly Peaks'!#REF!+'Monthly Peaks'!#REF!</f>
        <v>#REF!</v>
      </c>
      <c r="I11" s="228" t="e">
        <f>C11-F11-G11-H11</f>
        <v>#REF!</v>
      </c>
      <c r="J11" s="229"/>
      <c r="K11" s="230"/>
      <c r="L11" s="230"/>
      <c r="N11" s="232"/>
      <c r="O11" s="233"/>
      <c r="Q11" s="213">
        <v>2006</v>
      </c>
      <c r="R11" s="215" t="e">
        <f t="shared" si="0"/>
        <v>#REF!</v>
      </c>
      <c r="S11" s="215" t="e">
        <f>L29</f>
        <v>#REF!</v>
      </c>
      <c r="T11" s="214" t="e">
        <f t="shared" si="1"/>
        <v>#REF!</v>
      </c>
      <c r="U11" s="215" t="e">
        <f>L133</f>
        <v>#REF!</v>
      </c>
      <c r="V11" s="216"/>
      <c r="X11" s="216"/>
      <c r="AA11" s="229" t="e">
        <f>SUM(F11:I11)</f>
        <v>#REF!</v>
      </c>
      <c r="AG11" s="217">
        <v>2006</v>
      </c>
      <c r="AH11" s="218">
        <f>[32]sheet1!S19</f>
        <v>1303.9863157894738</v>
      </c>
      <c r="AI11" s="218">
        <f>[32]sheet1!T19</f>
        <v>939</v>
      </c>
      <c r="AJ11" s="219">
        <f t="shared" si="2"/>
        <v>0.4186383097346254</v>
      </c>
      <c r="AK11" s="218">
        <f>[32]sheet1!S40</f>
        <v>1120.6563157894736</v>
      </c>
      <c r="AL11" s="218">
        <f>[32]sheet1!T40</f>
        <v>694.80965147453082</v>
      </c>
      <c r="AM11" s="219">
        <f t="shared" si="3"/>
        <v>0.38271697955409362</v>
      </c>
    </row>
    <row r="12" spans="1:39" s="200" customFormat="1">
      <c r="A12" s="204" t="s">
        <v>155</v>
      </c>
      <c r="B12" s="204"/>
      <c r="C12" s="220"/>
      <c r="D12" s="221" t="e">
        <f>D11</f>
        <v>#REF!</v>
      </c>
      <c r="E12" s="221" t="e">
        <f>E11*O12</f>
        <v>#REF!</v>
      </c>
      <c r="F12" s="221" t="e">
        <f>F11-F13</f>
        <v>#REF!</v>
      </c>
      <c r="G12" s="221" t="e">
        <f>G11</f>
        <v>#REF!</v>
      </c>
      <c r="H12" s="221" t="e">
        <f>H11</f>
        <v>#REF!</v>
      </c>
      <c r="I12" s="221" t="e">
        <f>I11-I13</f>
        <v>#REF!</v>
      </c>
      <c r="J12" s="222"/>
      <c r="K12" s="220" t="e">
        <f>SUM(D12:I12)</f>
        <v>#REF!</v>
      </c>
      <c r="L12" s="223" t="e">
        <f>K12/B11</f>
        <v>#REF!</v>
      </c>
      <c r="N12" s="224">
        <f>[32]sheet1!$F$15</f>
        <v>4980.8999999999996</v>
      </c>
      <c r="O12" s="225">
        <f>N12/SUM(N12:N13)</f>
        <v>0.6333638513771267</v>
      </c>
      <c r="Q12" s="213">
        <v>2007</v>
      </c>
      <c r="R12" s="215" t="e">
        <f t="shared" si="0"/>
        <v>#REF!</v>
      </c>
      <c r="S12" s="215" t="e">
        <f>L33</f>
        <v>#REF!</v>
      </c>
      <c r="T12" s="214" t="e">
        <f t="shared" si="1"/>
        <v>#REF!</v>
      </c>
      <c r="U12" s="215" t="e">
        <f>L137</f>
        <v>#REF!</v>
      </c>
      <c r="V12" s="216"/>
      <c r="X12" s="216"/>
      <c r="AG12" s="217">
        <v>2007</v>
      </c>
      <c r="AH12" s="218">
        <f>[32]sheet1!S20</f>
        <v>1341.6271578947369</v>
      </c>
      <c r="AI12" s="218">
        <f>[32]sheet1!T20</f>
        <v>961.7</v>
      </c>
      <c r="AJ12" s="219">
        <f t="shared" si="2"/>
        <v>0.41752644504005371</v>
      </c>
      <c r="AK12" s="218">
        <f>[32]sheet1!S41</f>
        <v>1153.0051578947368</v>
      </c>
      <c r="AL12" s="218">
        <f>[32]sheet1!T41</f>
        <v>711.60643431635401</v>
      </c>
      <c r="AM12" s="219">
        <f t="shared" si="3"/>
        <v>0.38163789031930129</v>
      </c>
    </row>
    <row r="13" spans="1:39" s="200" customFormat="1">
      <c r="A13" s="204" t="s">
        <v>165</v>
      </c>
      <c r="B13" s="204"/>
      <c r="C13" s="220"/>
      <c r="D13" s="221"/>
      <c r="E13" s="221" t="e">
        <f>E11*O13</f>
        <v>#REF!</v>
      </c>
      <c r="F13" s="221" t="e">
        <f>ROUND(F11*AJ7,0)</f>
        <v>#REF!</v>
      </c>
      <c r="G13" s="221"/>
      <c r="H13" s="221"/>
      <c r="I13" s="325">
        <f>'Monthly Peaks'!$B$1529</f>
        <v>0</v>
      </c>
      <c r="J13" s="222"/>
      <c r="K13" s="220" t="e">
        <f>SUM(D13:I13)</f>
        <v>#REF!</v>
      </c>
      <c r="L13" s="223" t="e">
        <f>K13/B11</f>
        <v>#REF!</v>
      </c>
      <c r="N13" s="224">
        <f>[32]sheet1!$G$15</f>
        <v>2883.3</v>
      </c>
      <c r="O13" s="225">
        <f>N13/SUM(N12:N13)</f>
        <v>0.3666361486228733</v>
      </c>
      <c r="Q13" s="213">
        <v>2008</v>
      </c>
      <c r="R13" s="215" t="e">
        <f t="shared" si="0"/>
        <v>#REF!</v>
      </c>
      <c r="S13" s="215" t="e">
        <f>L37</f>
        <v>#REF!</v>
      </c>
      <c r="T13" s="214" t="e">
        <f t="shared" si="1"/>
        <v>#REF!</v>
      </c>
      <c r="U13" s="215" t="e">
        <f>L141</f>
        <v>#REF!</v>
      </c>
      <c r="V13" s="216"/>
      <c r="X13" s="216"/>
      <c r="AG13" s="217">
        <v>2008</v>
      </c>
      <c r="AH13" s="218">
        <f>[32]sheet1!S21</f>
        <v>1380.9608421052631</v>
      </c>
      <c r="AI13" s="218">
        <f>[32]sheet1!T21</f>
        <v>984.4</v>
      </c>
      <c r="AJ13" s="219">
        <f t="shared" si="2"/>
        <v>0.41617328843739787</v>
      </c>
      <c r="AK13" s="218">
        <f>[32]sheet1!S42</f>
        <v>1186.8088421052632</v>
      </c>
      <c r="AL13" s="218">
        <f>[32]sheet1!T42</f>
        <v>728.40321715817697</v>
      </c>
      <c r="AM13" s="219">
        <f t="shared" si="3"/>
        <v>0.38032509958104022</v>
      </c>
    </row>
    <row r="14" spans="1:39">
      <c r="B14" s="198"/>
      <c r="C14" s="211"/>
      <c r="D14" s="221"/>
      <c r="E14" s="221"/>
      <c r="F14" s="221"/>
      <c r="G14" s="221"/>
      <c r="H14" s="221"/>
      <c r="I14" s="221"/>
      <c r="J14" s="212"/>
      <c r="K14" s="204"/>
      <c r="L14" s="204"/>
      <c r="N14" s="224"/>
      <c r="O14" s="225"/>
      <c r="Q14" s="213">
        <v>2009</v>
      </c>
      <c r="R14" s="215" t="e">
        <f t="shared" si="0"/>
        <v>#REF!</v>
      </c>
      <c r="S14" s="215" t="e">
        <f>L41</f>
        <v>#REF!</v>
      </c>
      <c r="T14" s="214" t="e">
        <f t="shared" si="1"/>
        <v>#REF!</v>
      </c>
      <c r="U14" s="215" t="e">
        <f>L145</f>
        <v>#REF!</v>
      </c>
      <c r="V14" s="216"/>
      <c r="X14" s="216"/>
      <c r="AG14" s="217">
        <v>2009</v>
      </c>
      <c r="AH14" s="218">
        <f>[32]sheet1!S22</f>
        <v>1418.8008421052632</v>
      </c>
      <c r="AI14" s="218">
        <f>[32]sheet1!T22</f>
        <v>1007.1</v>
      </c>
      <c r="AJ14" s="219">
        <f t="shared" si="2"/>
        <v>0.41514475056862221</v>
      </c>
      <c r="AK14" s="218">
        <f>[32]sheet1!S43</f>
        <v>1219.3288421052632</v>
      </c>
      <c r="AL14" s="218">
        <f>[32]sheet1!T43</f>
        <v>745.2</v>
      </c>
      <c r="AM14" s="219">
        <f t="shared" si="3"/>
        <v>0.3793275944991551</v>
      </c>
    </row>
    <row r="15" spans="1:39" s="231" customFormat="1">
      <c r="A15" s="226">
        <f>A11+1</f>
        <v>2003</v>
      </c>
      <c r="B15" s="227">
        <f>'Monthly Peaks'!$B$10</f>
        <v>10472.66</v>
      </c>
      <c r="C15" s="227" t="e">
        <f>'Monthly Peaks'!#REF!</f>
        <v>#REF!</v>
      </c>
      <c r="D15" s="228" t="e">
        <f>'Monthly Peaks'!#REF!</f>
        <v>#REF!</v>
      </c>
      <c r="E15" s="228" t="e">
        <f>B15-C15-D15</f>
        <v>#REF!</v>
      </c>
      <c r="F15" s="228" t="e">
        <f>'Monthly Peaks'!#REF!+'Monthly Peaks'!#REF!</f>
        <v>#REF!</v>
      </c>
      <c r="G15" s="228" t="e">
        <f>'Monthly Peaks'!#REF!+'Monthly Peaks'!#REF!+'Monthly Peaks'!#REF!</f>
        <v>#REF!</v>
      </c>
      <c r="H15" s="228" t="e">
        <f>'Monthly Peaks'!#REF!+'Monthly Peaks'!#REF!</f>
        <v>#REF!</v>
      </c>
      <c r="I15" s="228" t="e">
        <f>C15-F15-G15-H15</f>
        <v>#REF!</v>
      </c>
      <c r="J15" s="229"/>
      <c r="K15" s="230"/>
      <c r="L15" s="230"/>
      <c r="N15" s="232"/>
      <c r="O15" s="233"/>
      <c r="Q15" s="213">
        <v>2010</v>
      </c>
      <c r="R15" s="215" t="e">
        <f t="shared" si="0"/>
        <v>#REF!</v>
      </c>
      <c r="S15" s="215" t="e">
        <f>L45</f>
        <v>#REF!</v>
      </c>
      <c r="T15" s="214" t="e">
        <f t="shared" si="1"/>
        <v>#REF!</v>
      </c>
      <c r="U15" s="215" t="e">
        <f>L149</f>
        <v>#REF!</v>
      </c>
      <c r="V15" s="216"/>
      <c r="X15" s="216"/>
      <c r="AA15" s="229" t="e">
        <f>SUM(F15:I15)</f>
        <v>#REF!</v>
      </c>
      <c r="AG15" s="554">
        <v>2010</v>
      </c>
      <c r="AH15" s="173">
        <f>[32]sheet1!S23</f>
        <v>1458.0349473684212</v>
      </c>
      <c r="AI15" s="173">
        <f>[32]sheet1!T23</f>
        <v>1029.8</v>
      </c>
      <c r="AJ15" s="555">
        <f t="shared" si="2"/>
        <v>0.41393421259288138</v>
      </c>
      <c r="AK15" s="173">
        <f>[32]sheet1!S44</f>
        <v>1253.0469473684211</v>
      </c>
      <c r="AL15" s="173">
        <f>[32]sheet1!T44</f>
        <v>761.99678284182312</v>
      </c>
      <c r="AM15" s="555">
        <f t="shared" si="3"/>
        <v>0.37815396828252379</v>
      </c>
    </row>
    <row r="16" spans="1:39" s="200" customFormat="1">
      <c r="A16" s="204" t="str">
        <f>A12</f>
        <v>Other</v>
      </c>
      <c r="B16" s="204"/>
      <c r="C16" s="220"/>
      <c r="D16" s="221" t="e">
        <f>D15</f>
        <v>#REF!</v>
      </c>
      <c r="E16" s="221" t="e">
        <f>E15*O16</f>
        <v>#REF!</v>
      </c>
      <c r="F16" s="221" t="e">
        <f>F15-F17</f>
        <v>#REF!</v>
      </c>
      <c r="G16" s="221" t="e">
        <f>G15</f>
        <v>#REF!</v>
      </c>
      <c r="H16" s="221" t="e">
        <f>H15</f>
        <v>#REF!</v>
      </c>
      <c r="I16" s="221" t="e">
        <f>I15-I17</f>
        <v>#REF!</v>
      </c>
      <c r="J16" s="222"/>
      <c r="K16" s="220" t="e">
        <f>SUM(D16:I16)</f>
        <v>#REF!</v>
      </c>
      <c r="L16" s="223" t="e">
        <f>K16/B15</f>
        <v>#REF!</v>
      </c>
      <c r="N16" s="224">
        <f>[32]sheet1!$F$16</f>
        <v>5090.8</v>
      </c>
      <c r="O16" s="225">
        <f>N16/SUM(N16:N17)</f>
        <v>0.63638977436089761</v>
      </c>
      <c r="Q16" s="213">
        <v>2011</v>
      </c>
      <c r="R16" s="215" t="e">
        <f t="shared" si="0"/>
        <v>#REF!</v>
      </c>
      <c r="S16" s="215" t="e">
        <f>L49</f>
        <v>#REF!</v>
      </c>
      <c r="T16" s="214" t="e">
        <f t="shared" si="1"/>
        <v>#REF!</v>
      </c>
      <c r="U16" s="215" t="e">
        <f>L153</f>
        <v>#REF!</v>
      </c>
      <c r="AG16" s="217">
        <v>2011</v>
      </c>
      <c r="AH16" s="553">
        <f t="shared" ref="AH16:AI18" si="4">AH15-AH15/AH14</f>
        <v>1457.0072943644907</v>
      </c>
      <c r="AI16" s="553">
        <f t="shared" si="4"/>
        <v>1028.7774600337602</v>
      </c>
      <c r="AJ16" s="219">
        <f t="shared" si="2"/>
        <v>0.41386425683618883</v>
      </c>
      <c r="AK16" s="553">
        <f t="shared" ref="AK16:AL18" si="5">AK15-AK15/AK14</f>
        <v>1252.0192943644906</v>
      </c>
      <c r="AL16" s="553">
        <f t="shared" si="5"/>
        <v>760.9742428755834</v>
      </c>
      <c r="AM16" s="219">
        <f t="shared" si="3"/>
        <v>0.37803114058623422</v>
      </c>
    </row>
    <row r="17" spans="1:39" s="200" customFormat="1">
      <c r="A17" s="204" t="str">
        <f>A13</f>
        <v>Suncoast</v>
      </c>
      <c r="B17" s="204"/>
      <c r="C17" s="220"/>
      <c r="D17" s="221"/>
      <c r="E17" s="221" t="e">
        <f>E15*O17</f>
        <v>#REF!</v>
      </c>
      <c r="F17" s="221" t="e">
        <f>ROUND(F15*AJ8,0)</f>
        <v>#REF!</v>
      </c>
      <c r="G17" s="221"/>
      <c r="H17" s="221"/>
      <c r="I17" s="325">
        <f>'Monthly Peaks'!$B$1530</f>
        <v>0</v>
      </c>
      <c r="J17" s="222"/>
      <c r="K17" s="220" t="e">
        <f>SUM(D17:I17)</f>
        <v>#REF!</v>
      </c>
      <c r="L17" s="223" t="e">
        <f>K17/B15</f>
        <v>#REF!</v>
      </c>
      <c r="N17" s="224">
        <f>[32]sheet1!$G$16</f>
        <v>2908.7</v>
      </c>
      <c r="O17" s="225">
        <f>N17/SUM(N16:N17)</f>
        <v>0.36361022563910245</v>
      </c>
      <c r="Q17" s="213">
        <v>2012</v>
      </c>
      <c r="R17" s="215" t="e">
        <f t="shared" si="0"/>
        <v>#REF!</v>
      </c>
      <c r="S17" s="215" t="e">
        <f>L53</f>
        <v>#REF!</v>
      </c>
      <c r="T17" s="214" t="e">
        <f t="shared" si="1"/>
        <v>#REF!</v>
      </c>
      <c r="U17" s="215" t="e">
        <f>L157</f>
        <v>#REF!</v>
      </c>
      <c r="AG17" s="217">
        <v>2012</v>
      </c>
      <c r="AH17" s="229">
        <f t="shared" si="4"/>
        <v>1456.0079991850478</v>
      </c>
      <c r="AI17" s="229">
        <f t="shared" si="4"/>
        <v>1027.7784529838148</v>
      </c>
      <c r="AJ17" s="219">
        <f t="shared" si="2"/>
        <v>0.41379501530268442</v>
      </c>
      <c r="AK17" s="229">
        <f t="shared" si="5"/>
        <v>1251.0201144877958</v>
      </c>
      <c r="AL17" s="229">
        <f t="shared" si="5"/>
        <v>759.97558479721522</v>
      </c>
      <c r="AM17" s="219">
        <f t="shared" si="3"/>
        <v>0.37791009949320964</v>
      </c>
    </row>
    <row r="18" spans="1:39">
      <c r="B18" s="198"/>
      <c r="C18" s="211"/>
      <c r="D18" s="221"/>
      <c r="E18" s="221"/>
      <c r="F18" s="221"/>
      <c r="G18" s="221"/>
      <c r="H18" s="221"/>
      <c r="I18" s="221"/>
      <c r="J18" s="212"/>
      <c r="K18" s="204"/>
      <c r="L18" s="204"/>
      <c r="N18" s="224"/>
      <c r="O18" s="225"/>
      <c r="Q18" s="213">
        <v>2013</v>
      </c>
      <c r="R18" s="215" t="e">
        <f t="shared" si="0"/>
        <v>#REF!</v>
      </c>
      <c r="S18" s="215" t="e">
        <f>L57</f>
        <v>#REF!</v>
      </c>
      <c r="T18" s="214" t="e">
        <f>1-U18</f>
        <v>#REF!</v>
      </c>
      <c r="U18" s="215" t="e">
        <f>L161</f>
        <v>#REF!</v>
      </c>
      <c r="AG18" s="217">
        <v>2013</v>
      </c>
      <c r="AH18" s="229">
        <f t="shared" si="4"/>
        <v>1455.0086850396644</v>
      </c>
      <c r="AI18" s="229">
        <f t="shared" si="4"/>
        <v>1026.7794240461569</v>
      </c>
      <c r="AJ18" s="219">
        <f>AI18/SUM(AH18:AI18)</f>
        <v>0.41372566025565177</v>
      </c>
      <c r="AK18" s="229">
        <f t="shared" si="5"/>
        <v>1250.0209125424913</v>
      </c>
      <c r="AL18" s="229">
        <f t="shared" si="5"/>
        <v>758.97689713871387</v>
      </c>
      <c r="AM18" s="219">
        <f>AL18/SUM(AK18:AL18)</f>
        <v>0.37778881265139408</v>
      </c>
    </row>
    <row r="19" spans="1:39" s="231" customFormat="1">
      <c r="A19" s="226">
        <f>A15+1</f>
        <v>2004</v>
      </c>
      <c r="B19" s="227">
        <f>'Monthly Peaks'!$B$11</f>
        <v>10741.85</v>
      </c>
      <c r="C19" s="227" t="e">
        <f>'Monthly Peaks'!#REF!</f>
        <v>#REF!</v>
      </c>
      <c r="D19" s="228" t="e">
        <f>'Monthly Peaks'!#REF!</f>
        <v>#REF!</v>
      </c>
      <c r="E19" s="228" t="e">
        <f>B19-C19-D19</f>
        <v>#REF!</v>
      </c>
      <c r="F19" s="228" t="e">
        <f>'Monthly Peaks'!#REF!+'Monthly Peaks'!#REF!</f>
        <v>#REF!</v>
      </c>
      <c r="G19" s="228" t="e">
        <f>'Monthly Peaks'!#REF!+'Monthly Peaks'!#REF!+'Monthly Peaks'!#REF!</f>
        <v>#REF!</v>
      </c>
      <c r="H19" s="228" t="e">
        <f>'Monthly Peaks'!#REF!+'Monthly Peaks'!#REF!</f>
        <v>#REF!</v>
      </c>
      <c r="I19" s="228" t="e">
        <f>C19-F19-G19-H19</f>
        <v>#REF!</v>
      </c>
      <c r="J19" s="229"/>
      <c r="K19" s="230"/>
      <c r="L19" s="230"/>
      <c r="N19" s="232"/>
      <c r="O19" s="233"/>
      <c r="Q19" s="213">
        <v>2014</v>
      </c>
      <c r="R19" s="215" t="e">
        <f>1-S19</f>
        <v>#REF!</v>
      </c>
      <c r="S19" s="215" t="e">
        <f>L61</f>
        <v>#REF!</v>
      </c>
      <c r="T19" s="214" t="e">
        <f>1-U19</f>
        <v>#REF!</v>
      </c>
      <c r="U19" s="215" t="e">
        <f>L165</f>
        <v>#REF!</v>
      </c>
      <c r="AA19" s="229" t="e">
        <f>SUM(F19:I19)</f>
        <v>#REF!</v>
      </c>
      <c r="AG19" s="217">
        <v>2014</v>
      </c>
      <c r="AH19" s="229">
        <f>AH18-AH18/AH17</f>
        <v>1454.0093713780266</v>
      </c>
      <c r="AI19" s="229">
        <f>AI18-AI18/AI17</f>
        <v>1025.780396073674</v>
      </c>
      <c r="AJ19" s="219">
        <f>AI19/SUM(AH19:AI19)</f>
        <v>0.41365619357635858</v>
      </c>
      <c r="AK19" s="229">
        <f>AK18-AK18/AK17</f>
        <v>1249.0217112522273</v>
      </c>
      <c r="AL19" s="229">
        <f>AL18-AL18/AL17</f>
        <v>757.97821124363838</v>
      </c>
      <c r="AM19" s="219">
        <f>AL19/SUM(AK19:AL19)</f>
        <v>0.37766728476054529</v>
      </c>
    </row>
    <row r="20" spans="1:39" s="200" customFormat="1">
      <c r="A20" s="204" t="str">
        <f>A16</f>
        <v>Other</v>
      </c>
      <c r="B20" s="204"/>
      <c r="C20" s="220"/>
      <c r="D20" s="221" t="e">
        <f>D19</f>
        <v>#REF!</v>
      </c>
      <c r="E20" s="221" t="e">
        <f>E19*O20</f>
        <v>#REF!</v>
      </c>
      <c r="F20" s="221" t="e">
        <f>F19-F21</f>
        <v>#REF!</v>
      </c>
      <c r="G20" s="221" t="e">
        <f>G19</f>
        <v>#REF!</v>
      </c>
      <c r="H20" s="221" t="e">
        <f>H19</f>
        <v>#REF!</v>
      </c>
      <c r="I20" s="221" t="e">
        <f>I19-I21</f>
        <v>#REF!</v>
      </c>
      <c r="J20" s="222"/>
      <c r="K20" s="220" t="e">
        <f>SUM(D20:I20)</f>
        <v>#REF!</v>
      </c>
      <c r="L20" s="223" t="e">
        <f>K20/B19</f>
        <v>#REF!</v>
      </c>
      <c r="N20" s="224">
        <f>[32]sheet1!$F$17</f>
        <v>5199.5</v>
      </c>
      <c r="O20" s="225">
        <f>N20/SUM(N20:N21)</f>
        <v>0.6394269200024596</v>
      </c>
      <c r="Q20" s="213">
        <v>2015</v>
      </c>
      <c r="R20" s="215" t="e">
        <f t="shared" ref="R20:R28" si="6">1-S20</f>
        <v>#REF!</v>
      </c>
      <c r="S20" s="215" t="e">
        <f>L65</f>
        <v>#REF!</v>
      </c>
      <c r="T20" s="214" t="e">
        <f t="shared" ref="T20:T28" si="7">1-U20</f>
        <v>#REF!</v>
      </c>
      <c r="U20" s="215" t="e">
        <f>L169</f>
        <v>#REF!</v>
      </c>
      <c r="AG20" s="217">
        <v>2015</v>
      </c>
      <c r="AH20" s="229">
        <f t="shared" ref="AH20:AH30" si="8">AH19-AH19/AH18</f>
        <v>1453.0100581874401</v>
      </c>
      <c r="AI20" s="229">
        <f t="shared" ref="AI20:AI30" si="9">AI19-AI19/AI18</f>
        <v>1024.7813690460077</v>
      </c>
      <c r="AJ20" s="219">
        <f t="shared" ref="AJ20:AJ30" si="10">AI20/SUM(AH20:AI20)</f>
        <v>0.41358661499213301</v>
      </c>
      <c r="AK20" s="229">
        <f t="shared" ref="AK20:AK30" si="11">AK19-AK19/AK18</f>
        <v>1248.0225105998863</v>
      </c>
      <c r="AL20" s="229">
        <f t="shared" ref="AL20:AL30" si="12">AL19-AL19/AL18</f>
        <v>756.97952707538354</v>
      </c>
      <c r="AM20" s="219">
        <f t="shared" ref="AM20:AM30" si="13">AL20/SUM(AK20:AL20)</f>
        <v>0.3775455150923811</v>
      </c>
    </row>
    <row r="21" spans="1:39" s="200" customFormat="1">
      <c r="A21" s="204" t="str">
        <f>A17</f>
        <v>Suncoast</v>
      </c>
      <c r="B21" s="204"/>
      <c r="C21" s="220"/>
      <c r="D21" s="221"/>
      <c r="E21" s="221" t="e">
        <f>E19*O21</f>
        <v>#REF!</v>
      </c>
      <c r="F21" s="221" t="e">
        <f>ROUND(F19*AJ9,0)</f>
        <v>#REF!</v>
      </c>
      <c r="G21" s="221"/>
      <c r="H21" s="221"/>
      <c r="I21" s="325">
        <f>'Monthly Peaks'!$B$1531</f>
        <v>0</v>
      </c>
      <c r="J21" s="222"/>
      <c r="K21" s="220" t="e">
        <f>SUM(D21:I21)</f>
        <v>#REF!</v>
      </c>
      <c r="L21" s="223" t="e">
        <f>K21/B19</f>
        <v>#REF!</v>
      </c>
      <c r="N21" s="224">
        <f>[32]sheet1!$G$17</f>
        <v>2932</v>
      </c>
      <c r="O21" s="225">
        <f>N21/SUM(N20:N21)</f>
        <v>0.3605730799975404</v>
      </c>
      <c r="Q21" s="213">
        <v>2016</v>
      </c>
      <c r="R21" s="215" t="e">
        <f t="shared" si="6"/>
        <v>#REF!</v>
      </c>
      <c r="S21" s="215" t="e">
        <f>L69</f>
        <v>#REF!</v>
      </c>
      <c r="T21" s="214" t="e">
        <f t="shared" si="7"/>
        <v>#REF!</v>
      </c>
      <c r="U21" s="215" t="e">
        <f>L173</f>
        <v>#REF!</v>
      </c>
      <c r="AG21" s="217">
        <v>2016</v>
      </c>
      <c r="AH21" s="229">
        <f t="shared" si="8"/>
        <v>1452.010745468561</v>
      </c>
      <c r="AI21" s="229">
        <f t="shared" si="9"/>
        <v>1023.7823429650176</v>
      </c>
      <c r="AJ21" s="219">
        <f t="shared" si="10"/>
        <v>0.41351692423245245</v>
      </c>
      <c r="AK21" s="229">
        <f t="shared" si="11"/>
        <v>1247.0233105865025</v>
      </c>
      <c r="AL21" s="229">
        <f t="shared" si="12"/>
        <v>755.98084463854491</v>
      </c>
      <c r="AM21" s="219">
        <f t="shared" si="13"/>
        <v>0.37742350292508842</v>
      </c>
    </row>
    <row r="22" spans="1:39">
      <c r="B22" s="198"/>
      <c r="C22" s="211"/>
      <c r="D22" s="221"/>
      <c r="E22" s="221"/>
      <c r="F22" s="221"/>
      <c r="G22" s="221"/>
      <c r="H22" s="221"/>
      <c r="I22" s="221"/>
      <c r="J22" s="212"/>
      <c r="K22" s="204"/>
      <c r="L22" s="204"/>
      <c r="N22" s="224"/>
      <c r="O22" s="225"/>
      <c r="Q22" s="213">
        <v>2017</v>
      </c>
      <c r="R22" s="215" t="e">
        <f t="shared" si="6"/>
        <v>#REF!</v>
      </c>
      <c r="S22" s="215" t="e">
        <f>L73</f>
        <v>#REF!</v>
      </c>
      <c r="T22" s="214" t="e">
        <f t="shared" si="7"/>
        <v>#REF!</v>
      </c>
      <c r="U22" s="215" t="e">
        <f>L177</f>
        <v>#REF!</v>
      </c>
      <c r="AG22" s="217">
        <v>2017</v>
      </c>
      <c r="AH22" s="229">
        <f t="shared" si="8"/>
        <v>1451.0114332220376</v>
      </c>
      <c r="AI22" s="229">
        <f t="shared" si="9"/>
        <v>1022.7833178325466</v>
      </c>
      <c r="AJ22" s="219">
        <f t="shared" si="10"/>
        <v>0.41344712102591852</v>
      </c>
      <c r="AK22" s="229">
        <f t="shared" si="11"/>
        <v>1246.0241112130977</v>
      </c>
      <c r="AL22" s="229">
        <f t="shared" si="12"/>
        <v>754.982163937682</v>
      </c>
      <c r="AM22" s="219">
        <f t="shared" si="13"/>
        <v>0.37730124753396516</v>
      </c>
    </row>
    <row r="23" spans="1:39" s="231" customFormat="1">
      <c r="A23" s="226">
        <f>A19+1</f>
        <v>2005</v>
      </c>
      <c r="B23" s="227">
        <f>'Monthly Peaks'!$B$12</f>
        <v>10895.05</v>
      </c>
      <c r="C23" s="227" t="e">
        <f>'Monthly Peaks'!#REF!</f>
        <v>#REF!</v>
      </c>
      <c r="D23" s="228" t="e">
        <f>'Monthly Peaks'!#REF!</f>
        <v>#REF!</v>
      </c>
      <c r="E23" s="228" t="e">
        <f>B23-C23-D23</f>
        <v>#REF!</v>
      </c>
      <c r="F23" s="228" t="e">
        <f>'Monthly Peaks'!#REF!+'Monthly Peaks'!#REF!</f>
        <v>#REF!</v>
      </c>
      <c r="G23" s="228" t="e">
        <f>'Monthly Peaks'!#REF!+'Monthly Peaks'!#REF!+'Monthly Peaks'!#REF!</f>
        <v>#REF!</v>
      </c>
      <c r="H23" s="228" t="e">
        <f>'Monthly Peaks'!#REF!+'Monthly Peaks'!#REF!</f>
        <v>#REF!</v>
      </c>
      <c r="I23" s="228" t="e">
        <f>C23-F23-G23-H23</f>
        <v>#REF!</v>
      </c>
      <c r="J23" s="229"/>
      <c r="K23" s="230"/>
      <c r="L23" s="230"/>
      <c r="N23" s="232"/>
      <c r="O23" s="233"/>
      <c r="Q23" s="213">
        <v>2018</v>
      </c>
      <c r="R23" s="215" t="e">
        <f t="shared" si="6"/>
        <v>#REF!</v>
      </c>
      <c r="S23" s="215" t="e">
        <f>L77</f>
        <v>#REF!</v>
      </c>
      <c r="T23" s="214" t="e">
        <f t="shared" si="7"/>
        <v>#REF!</v>
      </c>
      <c r="U23" s="215" t="e">
        <f>L181</f>
        <v>#REF!</v>
      </c>
      <c r="AA23" s="229" t="e">
        <f>SUM(F23:I23)</f>
        <v>#REF!</v>
      </c>
      <c r="AG23" s="217">
        <v>2018</v>
      </c>
      <c r="AH23" s="229">
        <f t="shared" si="8"/>
        <v>1450.0121214485191</v>
      </c>
      <c r="AI23" s="229">
        <f t="shared" si="9"/>
        <v>1021.7842936504431</v>
      </c>
      <c r="AJ23" s="219">
        <f t="shared" si="10"/>
        <v>0.41337720510025677</v>
      </c>
      <c r="AK23" s="229">
        <f t="shared" si="11"/>
        <v>1245.0249124806962</v>
      </c>
      <c r="AL23" s="229">
        <f t="shared" si="12"/>
        <v>753.98348497737231</v>
      </c>
      <c r="AM23" s="219">
        <f t="shared" si="13"/>
        <v>0.37717874819142072</v>
      </c>
    </row>
    <row r="24" spans="1:39" s="200" customFormat="1">
      <c r="A24" s="204" t="str">
        <f>A20</f>
        <v>Other</v>
      </c>
      <c r="B24" s="204"/>
      <c r="C24" s="220"/>
      <c r="D24" s="221" t="e">
        <f>D23</f>
        <v>#REF!</v>
      </c>
      <c r="E24" s="221" t="e">
        <f>E23*O24</f>
        <v>#REF!</v>
      </c>
      <c r="F24" s="221" t="e">
        <f>F23-F25</f>
        <v>#REF!</v>
      </c>
      <c r="G24" s="221" t="e">
        <f>G23</f>
        <v>#REF!</v>
      </c>
      <c r="H24" s="221" t="e">
        <f>H23</f>
        <v>#REF!</v>
      </c>
      <c r="I24" s="221" t="e">
        <f>I23-I25</f>
        <v>#REF!</v>
      </c>
      <c r="J24" s="222"/>
      <c r="K24" s="220" t="e">
        <f>SUM(D24:I24)</f>
        <v>#REF!</v>
      </c>
      <c r="L24" s="223" t="e">
        <f>K24/B23</f>
        <v>#REF!</v>
      </c>
      <c r="N24" s="224">
        <f>[32]sheet1!$F$18</f>
        <v>5307.3</v>
      </c>
      <c r="O24" s="225">
        <f>N24/SUM(N24:N25)</f>
        <v>0.64248359683315981</v>
      </c>
      <c r="Q24" s="213">
        <v>2019</v>
      </c>
      <c r="R24" s="215" t="e">
        <f t="shared" si="6"/>
        <v>#REF!</v>
      </c>
      <c r="S24" s="215" t="e">
        <f>L81</f>
        <v>#REF!</v>
      </c>
      <c r="T24" s="214" t="e">
        <f t="shared" si="7"/>
        <v>#REF!</v>
      </c>
      <c r="U24" s="215" t="e">
        <f>L185</f>
        <v>#REF!</v>
      </c>
      <c r="AG24" s="217">
        <v>2019</v>
      </c>
      <c r="AH24" s="229">
        <f t="shared" si="8"/>
        <v>1449.0128101486566</v>
      </c>
      <c r="AI24" s="229">
        <f t="shared" si="9"/>
        <v>1020.7852704205612</v>
      </c>
      <c r="AJ24" s="219">
        <f t="shared" si="10"/>
        <v>0.41330717618231344</v>
      </c>
      <c r="AK24" s="229">
        <f t="shared" si="11"/>
        <v>1244.025714390325</v>
      </c>
      <c r="AL24" s="229">
        <f t="shared" si="12"/>
        <v>752.98480776221152</v>
      </c>
      <c r="AM24" s="219">
        <f t="shared" si="13"/>
        <v>0.37705600416696089</v>
      </c>
    </row>
    <row r="25" spans="1:39" s="200" customFormat="1">
      <c r="A25" s="204" t="str">
        <f>A21</f>
        <v>Suncoast</v>
      </c>
      <c r="B25" s="204"/>
      <c r="C25" s="220"/>
      <c r="D25" s="220"/>
      <c r="E25" s="221" t="e">
        <f>E23*O25</f>
        <v>#REF!</v>
      </c>
      <c r="F25" s="221" t="e">
        <f>ROUND(F23*AJ10,0)</f>
        <v>#REF!</v>
      </c>
      <c r="G25" s="220"/>
      <c r="H25" s="220"/>
      <c r="I25" s="325">
        <f>'Monthly Peaks'!$B$1532</f>
        <v>0</v>
      </c>
      <c r="J25" s="222"/>
      <c r="K25" s="220" t="e">
        <f>SUM(D25:I25)</f>
        <v>#REF!</v>
      </c>
      <c r="L25" s="223" t="e">
        <f>K25/B23</f>
        <v>#REF!</v>
      </c>
      <c r="N25" s="224">
        <f>[32]sheet1!$G$18</f>
        <v>2953.3</v>
      </c>
      <c r="O25" s="225">
        <f>N25/SUM(N24:N25)</f>
        <v>0.35751640316684019</v>
      </c>
      <c r="Q25" s="213">
        <v>2020</v>
      </c>
      <c r="R25" s="215" t="e">
        <f t="shared" si="6"/>
        <v>#REF!</v>
      </c>
      <c r="S25" s="215" t="e">
        <f>L85</f>
        <v>#REF!</v>
      </c>
      <c r="T25" s="214" t="e">
        <f t="shared" si="7"/>
        <v>#REF!</v>
      </c>
      <c r="U25" s="215" t="e">
        <f>L189</f>
        <v>#REF!</v>
      </c>
      <c r="AG25" s="217">
        <v>2020</v>
      </c>
      <c r="AH25" s="229">
        <f t="shared" si="8"/>
        <v>1448.0134993231022</v>
      </c>
      <c r="AI25" s="229">
        <f t="shared" si="9"/>
        <v>1019.7862481447601</v>
      </c>
      <c r="AJ25" s="219">
        <f t="shared" si="10"/>
        <v>0.41323703399805156</v>
      </c>
      <c r="AK25" s="229">
        <f t="shared" si="11"/>
        <v>1243.0265169430131</v>
      </c>
      <c r="AL25" s="229">
        <f t="shared" si="12"/>
        <v>751.98613229681348</v>
      </c>
      <c r="AM25" s="219">
        <f t="shared" si="13"/>
        <v>0.37693301472717372</v>
      </c>
    </row>
    <row r="26" spans="1:39" s="200" customFormat="1">
      <c r="A26" s="204"/>
      <c r="B26" s="204"/>
      <c r="C26" s="220"/>
      <c r="D26" s="220"/>
      <c r="E26" s="221"/>
      <c r="F26" s="221"/>
      <c r="G26" s="220"/>
      <c r="H26" s="220"/>
      <c r="I26" s="220"/>
      <c r="J26" s="222"/>
      <c r="K26" s="220"/>
      <c r="L26" s="223"/>
      <c r="N26" s="224"/>
      <c r="O26" s="225"/>
      <c r="Q26" s="213">
        <v>2021</v>
      </c>
      <c r="R26" s="215" t="e">
        <f t="shared" si="6"/>
        <v>#REF!</v>
      </c>
      <c r="S26" s="215" t="e">
        <f>L89</f>
        <v>#REF!</v>
      </c>
      <c r="T26" s="214" t="e">
        <f t="shared" si="7"/>
        <v>#REF!</v>
      </c>
      <c r="U26" s="215" t="e">
        <f>L193</f>
        <v>#REF!</v>
      </c>
      <c r="AG26" s="217">
        <v>2021</v>
      </c>
      <c r="AH26" s="229">
        <f t="shared" si="8"/>
        <v>1447.0141889725094</v>
      </c>
      <c r="AI26" s="229">
        <f t="shared" si="9"/>
        <v>1018.7872268249045</v>
      </c>
      <c r="AJ26" s="219">
        <f t="shared" si="10"/>
        <v>0.41316677827254777</v>
      </c>
      <c r="AK26" s="229">
        <f t="shared" si="11"/>
        <v>1242.0273201397924</v>
      </c>
      <c r="AL26" s="229">
        <f t="shared" si="12"/>
        <v>750.98745858581037</v>
      </c>
      <c r="AM26" s="219">
        <f t="shared" si="13"/>
        <v>0.37680977913571506</v>
      </c>
    </row>
    <row r="27" spans="1:39" s="200" customFormat="1">
      <c r="A27" s="226">
        <f>A23+1</f>
        <v>2006</v>
      </c>
      <c r="B27" s="227">
        <f>'Monthly Peaks'!$B$13</f>
        <v>11264.24</v>
      </c>
      <c r="C27" s="227" t="e">
        <f>'Monthly Peaks'!#REF!</f>
        <v>#REF!</v>
      </c>
      <c r="D27" s="228" t="e">
        <f>'Monthly Peaks'!#REF!</f>
        <v>#REF!</v>
      </c>
      <c r="E27" s="228" t="e">
        <f>B27-C27-D27</f>
        <v>#REF!</v>
      </c>
      <c r="F27" s="228" t="e">
        <f>'Monthly Peaks'!#REF!+'Monthly Peaks'!#REF!</f>
        <v>#REF!</v>
      </c>
      <c r="G27" s="228" t="e">
        <f>'Monthly Peaks'!#REF!+'Monthly Peaks'!#REF!+'Monthly Peaks'!#REF!</f>
        <v>#REF!</v>
      </c>
      <c r="H27" s="228" t="e">
        <f>'Monthly Peaks'!#REF!+'Monthly Peaks'!#REF!</f>
        <v>#REF!</v>
      </c>
      <c r="I27" s="228" t="e">
        <f>C27-F27-G27-H27</f>
        <v>#REF!</v>
      </c>
      <c r="J27" s="229"/>
      <c r="K27" s="230"/>
      <c r="L27" s="230"/>
      <c r="M27" s="231"/>
      <c r="N27" s="232"/>
      <c r="O27" s="233"/>
      <c r="Q27" s="213">
        <v>2022</v>
      </c>
      <c r="R27" s="215" t="e">
        <f t="shared" si="6"/>
        <v>#REF!</v>
      </c>
      <c r="S27" s="215" t="e">
        <f>L93</f>
        <v>#REF!</v>
      </c>
      <c r="T27" s="214" t="e">
        <f t="shared" si="7"/>
        <v>#REF!</v>
      </c>
      <c r="U27" s="215" t="e">
        <f>L197</f>
        <v>#REF!</v>
      </c>
      <c r="AA27" s="229" t="e">
        <f>SUM(F27:I27)</f>
        <v>#REF!</v>
      </c>
      <c r="AG27" s="217">
        <v>2022</v>
      </c>
      <c r="AH27" s="229">
        <f t="shared" si="8"/>
        <v>1446.0148790975331</v>
      </c>
      <c r="AI27" s="229">
        <f t="shared" si="9"/>
        <v>1017.7882064628645</v>
      </c>
      <c r="AJ27" s="219">
        <f t="shared" si="10"/>
        <v>0.41309640872998843</v>
      </c>
      <c r="AK27" s="229">
        <f t="shared" si="11"/>
        <v>1241.0281239816973</v>
      </c>
      <c r="AL27" s="229">
        <f t="shared" si="12"/>
        <v>749.9887866338529</v>
      </c>
      <c r="AM27" s="219">
        <f t="shared" si="13"/>
        <v>0.3766862966532934</v>
      </c>
    </row>
    <row r="28" spans="1:39" s="200" customFormat="1">
      <c r="A28" s="204" t="str">
        <f>A24</f>
        <v>Other</v>
      </c>
      <c r="B28" s="204"/>
      <c r="C28" s="220"/>
      <c r="D28" s="221" t="e">
        <f>D27</f>
        <v>#REF!</v>
      </c>
      <c r="E28" s="221" t="e">
        <f>E27*O28</f>
        <v>#REF!</v>
      </c>
      <c r="F28" s="221" t="e">
        <f>F27-F29</f>
        <v>#REF!</v>
      </c>
      <c r="G28" s="221" t="e">
        <f>G27</f>
        <v>#REF!</v>
      </c>
      <c r="H28" s="221" t="e">
        <f>H27</f>
        <v>#REF!</v>
      </c>
      <c r="I28" s="221" t="e">
        <f>I27-I29</f>
        <v>#REF!</v>
      </c>
      <c r="J28" s="222"/>
      <c r="K28" s="220" t="e">
        <f>SUM(D28:I28)</f>
        <v>#REF!</v>
      </c>
      <c r="L28" s="223" t="e">
        <f>K28/B27</f>
        <v>#REF!</v>
      </c>
      <c r="N28" s="224">
        <f>[32]sheet1!$F$19</f>
        <v>5415.4</v>
      </c>
      <c r="O28" s="225">
        <f>N28/SUM(N28:N29)</f>
        <v>0.64555890662438742</v>
      </c>
      <c r="Q28" s="213">
        <v>2023</v>
      </c>
      <c r="R28" s="215" t="e">
        <f t="shared" si="6"/>
        <v>#REF!</v>
      </c>
      <c r="S28" s="215" t="e">
        <f>L97</f>
        <v>#REF!</v>
      </c>
      <c r="T28" s="214" t="e">
        <f t="shared" si="7"/>
        <v>#REF!</v>
      </c>
      <c r="U28" s="215" t="e">
        <f>L201</f>
        <v>#REF!</v>
      </c>
      <c r="AG28" s="217">
        <v>2023</v>
      </c>
      <c r="AH28" s="229">
        <f t="shared" si="8"/>
        <v>1445.0155696988297</v>
      </c>
      <c r="AI28" s="229">
        <f t="shared" si="9"/>
        <v>1016.789187060516</v>
      </c>
      <c r="AJ28" s="219">
        <f t="shared" si="10"/>
        <v>0.41302592509366592</v>
      </c>
      <c r="AK28" s="229">
        <f t="shared" si="11"/>
        <v>1240.0289284697644</v>
      </c>
      <c r="AL28" s="229">
        <f t="shared" si="12"/>
        <v>748.99011644561017</v>
      </c>
      <c r="AM28" s="219">
        <f t="shared" si="13"/>
        <v>0.37656256653765569</v>
      </c>
    </row>
    <row r="29" spans="1:39" s="200" customFormat="1">
      <c r="A29" s="204" t="str">
        <f>A25</f>
        <v>Suncoast</v>
      </c>
      <c r="B29" s="204"/>
      <c r="C29" s="220"/>
      <c r="D29" s="220"/>
      <c r="E29" s="221" t="e">
        <f>E27*O29</f>
        <v>#REF!</v>
      </c>
      <c r="F29" s="221" t="e">
        <f>ROUND(F27*AJ11,0)</f>
        <v>#REF!</v>
      </c>
      <c r="G29" s="220"/>
      <c r="H29" s="220"/>
      <c r="I29" s="325">
        <f>'Monthly Peaks'!$B$1533</f>
        <v>0</v>
      </c>
      <c r="J29" s="222"/>
      <c r="K29" s="220" t="e">
        <f>SUM(D29:I29)</f>
        <v>#REF!</v>
      </c>
      <c r="L29" s="223" t="e">
        <f>K29/B27</f>
        <v>#REF!</v>
      </c>
      <c r="N29" s="224">
        <f>[32]sheet1!$G$19</f>
        <v>2973.3</v>
      </c>
      <c r="O29" s="225">
        <f>N29/SUM(N28:N29)</f>
        <v>0.35444109337561241</v>
      </c>
      <c r="AG29" s="217">
        <v>2024</v>
      </c>
      <c r="AH29" s="229">
        <f t="shared" si="8"/>
        <v>1444.0162607770567</v>
      </c>
      <c r="AI29" s="229">
        <f t="shared" si="9"/>
        <v>1015.7901686197403</v>
      </c>
      <c r="AJ29" s="219">
        <f t="shared" si="10"/>
        <v>0.41295532708597571</v>
      </c>
      <c r="AK29" s="229">
        <f t="shared" si="11"/>
        <v>1239.029733605033</v>
      </c>
      <c r="AL29" s="229">
        <f t="shared" si="12"/>
        <v>747.99144802576984</v>
      </c>
      <c r="AM29" s="219">
        <f t="shared" si="13"/>
        <v>0.37643858804357222</v>
      </c>
    </row>
    <row r="30" spans="1:39" s="200" customFormat="1">
      <c r="A30" s="204"/>
      <c r="B30" s="204"/>
      <c r="C30" s="220"/>
      <c r="D30" s="220"/>
      <c r="E30" s="221"/>
      <c r="F30" s="221"/>
      <c r="G30" s="220"/>
      <c r="H30" s="220"/>
      <c r="I30" s="220"/>
      <c r="J30" s="222"/>
      <c r="K30" s="220"/>
      <c r="L30" s="223"/>
      <c r="N30" s="224"/>
      <c r="O30" s="225"/>
      <c r="AG30" s="217">
        <v>2025</v>
      </c>
      <c r="AH30" s="229">
        <f t="shared" si="8"/>
        <v>1443.016952332873</v>
      </c>
      <c r="AI30" s="229">
        <f t="shared" si="9"/>
        <v>1014.7911511424239</v>
      </c>
      <c r="AJ30" s="219">
        <f t="shared" si="10"/>
        <v>0.41288461442841179</v>
      </c>
      <c r="AK30" s="229">
        <f t="shared" si="11"/>
        <v>1238.0305393885449</v>
      </c>
      <c r="AL30" s="229">
        <f t="shared" si="12"/>
        <v>746.99278137903832</v>
      </c>
      <c r="AM30" s="219">
        <f t="shared" si="13"/>
        <v>0.37631436042282146</v>
      </c>
    </row>
    <row r="31" spans="1:39" s="200" customFormat="1">
      <c r="A31" s="226">
        <f>A27+1</f>
        <v>2007</v>
      </c>
      <c r="B31" s="227">
        <f>'Monthly Peaks'!$B$14</f>
        <v>11367.34</v>
      </c>
      <c r="C31" s="227" t="e">
        <f>'Monthly Peaks'!#REF!</f>
        <v>#REF!</v>
      </c>
      <c r="D31" s="228" t="e">
        <f>'Monthly Peaks'!#REF!</f>
        <v>#REF!</v>
      </c>
      <c r="E31" s="228" t="e">
        <f>B31-C31-D31</f>
        <v>#REF!</v>
      </c>
      <c r="F31" s="228" t="e">
        <f>'Monthly Peaks'!#REF!+'Monthly Peaks'!#REF!</f>
        <v>#REF!</v>
      </c>
      <c r="G31" s="228" t="e">
        <f>'Monthly Peaks'!#REF!+'Monthly Peaks'!#REF!+'Monthly Peaks'!#REF!</f>
        <v>#REF!</v>
      </c>
      <c r="H31" s="228" t="e">
        <f>'Monthly Peaks'!#REF!+'Monthly Peaks'!#REF!</f>
        <v>#REF!</v>
      </c>
      <c r="I31" s="228" t="e">
        <f>C31-F31-G31-H31</f>
        <v>#REF!</v>
      </c>
      <c r="J31" s="229"/>
      <c r="K31" s="230"/>
      <c r="L31" s="230"/>
      <c r="M31" s="231"/>
      <c r="N31" s="232"/>
      <c r="O31" s="233"/>
      <c r="AA31" s="229" t="e">
        <f>SUM(F31:I31)</f>
        <v>#REF!</v>
      </c>
    </row>
    <row r="32" spans="1:39" s="200" customFormat="1">
      <c r="A32" s="204" t="str">
        <f>A28</f>
        <v>Other</v>
      </c>
      <c r="B32" s="204"/>
      <c r="C32" s="220"/>
      <c r="D32" s="221" t="e">
        <f>D31</f>
        <v>#REF!</v>
      </c>
      <c r="E32" s="221" t="e">
        <f>E31*O32</f>
        <v>#REF!</v>
      </c>
      <c r="F32" s="221" t="e">
        <f>F31-F33</f>
        <v>#REF!</v>
      </c>
      <c r="G32" s="221" t="e">
        <f>G31</f>
        <v>#REF!</v>
      </c>
      <c r="H32" s="221" t="e">
        <f>H31</f>
        <v>#REF!</v>
      </c>
      <c r="I32" s="221" t="e">
        <f>I31-I33</f>
        <v>#REF!</v>
      </c>
      <c r="J32" s="222"/>
      <c r="K32" s="220" t="e">
        <f>SUM(D32:I32)</f>
        <v>#REF!</v>
      </c>
      <c r="L32" s="223" t="e">
        <f>K32/B31</f>
        <v>#REF!</v>
      </c>
      <c r="N32" s="224">
        <f>[32]sheet1!$F$20</f>
        <v>5525.7</v>
      </c>
      <c r="O32" s="225">
        <f>N32/SUM(N32:N33)</f>
        <v>0.64864008263977746</v>
      </c>
    </row>
    <row r="33" spans="1:27" s="200" customFormat="1">
      <c r="A33" s="204" t="str">
        <f>A29</f>
        <v>Suncoast</v>
      </c>
      <c r="B33" s="204"/>
      <c r="C33" s="220"/>
      <c r="D33" s="220"/>
      <c r="E33" s="221" t="e">
        <f>E31*O33</f>
        <v>#REF!</v>
      </c>
      <c r="F33" s="221" t="e">
        <f>ROUND(F31*AJ12,0)</f>
        <v>#REF!</v>
      </c>
      <c r="G33" s="220"/>
      <c r="H33" s="220"/>
      <c r="I33" s="325">
        <f>'Monthly Peaks'!$B$1534</f>
        <v>0</v>
      </c>
      <c r="J33" s="222"/>
      <c r="K33" s="220" t="e">
        <f>SUM(D33:I33)</f>
        <v>#REF!</v>
      </c>
      <c r="L33" s="223" t="e">
        <f>K33/B31</f>
        <v>#REF!</v>
      </c>
      <c r="N33" s="224">
        <f>[32]sheet1!$G$20</f>
        <v>2993.2</v>
      </c>
      <c r="O33" s="225">
        <f>N33/SUM(N32:N33)</f>
        <v>0.35135991736022254</v>
      </c>
    </row>
    <row r="34" spans="1:27" s="200" customFormat="1">
      <c r="A34" s="204"/>
      <c r="B34" s="204"/>
      <c r="C34" s="220"/>
      <c r="D34" s="220"/>
      <c r="E34" s="221"/>
      <c r="F34" s="221"/>
      <c r="G34" s="220"/>
      <c r="H34" s="220"/>
      <c r="I34" s="220"/>
      <c r="J34" s="222"/>
      <c r="K34" s="220"/>
      <c r="L34" s="223"/>
      <c r="N34" s="224"/>
      <c r="O34" s="225"/>
    </row>
    <row r="35" spans="1:27" s="200" customFormat="1">
      <c r="A35" s="226">
        <f>A31+1</f>
        <v>2008</v>
      </c>
      <c r="B35" s="227">
        <f>'Monthly Peaks'!$B$15</f>
        <v>11465.53</v>
      </c>
      <c r="C35" s="227" t="e">
        <f>'Monthly Peaks'!#REF!</f>
        <v>#REF!</v>
      </c>
      <c r="D35" s="228" t="e">
        <f>'Monthly Peaks'!#REF!</f>
        <v>#REF!</v>
      </c>
      <c r="E35" s="228" t="e">
        <f>B35-C35-D35</f>
        <v>#REF!</v>
      </c>
      <c r="F35" s="228" t="e">
        <f>'Monthly Peaks'!#REF!+'Monthly Peaks'!#REF!</f>
        <v>#REF!</v>
      </c>
      <c r="G35" s="228" t="e">
        <f>'Monthly Peaks'!#REF!+'Monthly Peaks'!#REF!+'Monthly Peaks'!#REF!</f>
        <v>#REF!</v>
      </c>
      <c r="H35" s="228" t="e">
        <f>'Monthly Peaks'!#REF!+'Monthly Peaks'!#REF!</f>
        <v>#REF!</v>
      </c>
      <c r="I35" s="228" t="e">
        <f>C35-F35-G35-H35</f>
        <v>#REF!</v>
      </c>
      <c r="J35" s="229"/>
      <c r="K35" s="230"/>
      <c r="L35" s="230"/>
      <c r="M35" s="231"/>
      <c r="N35" s="232"/>
      <c r="O35" s="233"/>
      <c r="AA35" s="229" t="e">
        <f>SUM(F35:I35)</f>
        <v>#REF!</v>
      </c>
    </row>
    <row r="36" spans="1:27" s="200" customFormat="1">
      <c r="A36" s="204" t="str">
        <f>A32</f>
        <v>Other</v>
      </c>
      <c r="B36" s="204"/>
      <c r="C36" s="220"/>
      <c r="D36" s="221" t="e">
        <f>D35</f>
        <v>#REF!</v>
      </c>
      <c r="E36" s="221" t="e">
        <f>E35*O36</f>
        <v>#REF!</v>
      </c>
      <c r="F36" s="221" t="e">
        <f>F35-F37</f>
        <v>#REF!</v>
      </c>
      <c r="G36" s="221" t="e">
        <f>G35</f>
        <v>#REF!</v>
      </c>
      <c r="H36" s="221" t="e">
        <f>H35</f>
        <v>#REF!</v>
      </c>
      <c r="I36" s="221" t="e">
        <f>I35-I37</f>
        <v>#REF!</v>
      </c>
      <c r="J36" s="222"/>
      <c r="K36" s="220" t="e">
        <f>SUM(D36:I36)</f>
        <v>#REF!</v>
      </c>
      <c r="L36" s="223" t="e">
        <f>K36/B35</f>
        <v>#REF!</v>
      </c>
      <c r="N36" s="224">
        <f>[32]sheet1!$F$21</f>
        <v>5637.8</v>
      </c>
      <c r="O36" s="225">
        <f>N36/SUM(N36:N37)</f>
        <v>0.65173864792379543</v>
      </c>
    </row>
    <row r="37" spans="1:27" s="200" customFormat="1">
      <c r="A37" s="204" t="str">
        <f>A33</f>
        <v>Suncoast</v>
      </c>
      <c r="B37" s="204"/>
      <c r="C37" s="220"/>
      <c r="D37" s="220"/>
      <c r="E37" s="221" t="e">
        <f>E35*O37</f>
        <v>#REF!</v>
      </c>
      <c r="F37" s="221" t="e">
        <f>ROUND(F35*AJ13,0)</f>
        <v>#REF!</v>
      </c>
      <c r="G37" s="220"/>
      <c r="H37" s="220"/>
      <c r="I37" s="325">
        <f>'Monthly Peaks'!$B$1535</f>
        <v>0</v>
      </c>
      <c r="J37" s="222"/>
      <c r="K37" s="220" t="e">
        <f>SUM(D37:I37)</f>
        <v>#REF!</v>
      </c>
      <c r="L37" s="223" t="e">
        <f>K37/B35</f>
        <v>#REF!</v>
      </c>
      <c r="N37" s="224">
        <f>[32]sheet1!$G$21</f>
        <v>3012.6</v>
      </c>
      <c r="O37" s="225">
        <f>N37/SUM(N36:N37)</f>
        <v>0.34826135207620457</v>
      </c>
    </row>
    <row r="38" spans="1:27" s="200" customFormat="1">
      <c r="A38" s="204"/>
      <c r="B38" s="204"/>
      <c r="C38" s="220"/>
      <c r="D38" s="220"/>
      <c r="E38" s="221"/>
      <c r="F38" s="221"/>
      <c r="G38" s="220"/>
      <c r="H38" s="220"/>
      <c r="I38" s="220"/>
      <c r="J38" s="222"/>
      <c r="K38" s="220"/>
      <c r="L38" s="223"/>
      <c r="N38" s="224"/>
      <c r="O38" s="225"/>
    </row>
    <row r="39" spans="1:27" s="200" customFormat="1">
      <c r="A39" s="226">
        <f>A35+1</f>
        <v>2009</v>
      </c>
      <c r="B39" s="227">
        <f>'Monthly Peaks'!$B$16</f>
        <v>11560.72</v>
      </c>
      <c r="C39" s="227" t="e">
        <f>'Monthly Peaks'!#REF!</f>
        <v>#REF!</v>
      </c>
      <c r="D39" s="228" t="e">
        <f>'Monthly Peaks'!#REF!</f>
        <v>#REF!</v>
      </c>
      <c r="E39" s="228" t="e">
        <f>B39-C39-D39</f>
        <v>#REF!</v>
      </c>
      <c r="F39" s="228" t="e">
        <f>'Monthly Peaks'!#REF!+'Monthly Peaks'!#REF!</f>
        <v>#REF!</v>
      </c>
      <c r="G39" s="228" t="e">
        <f>'Monthly Peaks'!#REF!+'Monthly Peaks'!#REF!+'Monthly Peaks'!#REF!</f>
        <v>#REF!</v>
      </c>
      <c r="H39" s="228" t="e">
        <f>'Monthly Peaks'!#REF!+'Monthly Peaks'!#REF!</f>
        <v>#REF!</v>
      </c>
      <c r="I39" s="228" t="e">
        <f>C39-F39-G39-H39</f>
        <v>#REF!</v>
      </c>
      <c r="J39" s="229"/>
      <c r="K39" s="230"/>
      <c r="L39" s="230"/>
      <c r="M39" s="231"/>
      <c r="N39" s="232"/>
      <c r="O39" s="233"/>
      <c r="AA39" s="229" t="e">
        <f>SUM(F39:I39)</f>
        <v>#REF!</v>
      </c>
    </row>
    <row r="40" spans="1:27" s="200" customFormat="1">
      <c r="A40" s="204" t="str">
        <f>A36</f>
        <v>Other</v>
      </c>
      <c r="B40" s="204"/>
      <c r="C40" s="220"/>
      <c r="D40" s="221" t="e">
        <f>D39</f>
        <v>#REF!</v>
      </c>
      <c r="E40" s="221" t="e">
        <f>E39*O40</f>
        <v>#REF!</v>
      </c>
      <c r="F40" s="221" t="e">
        <f>F39-F41</f>
        <v>#REF!</v>
      </c>
      <c r="G40" s="221" t="e">
        <f>G39</f>
        <v>#REF!</v>
      </c>
      <c r="H40" s="221" t="e">
        <f>H39</f>
        <v>#REF!</v>
      </c>
      <c r="I40" s="221" t="e">
        <f>I39-I41</f>
        <v>#REF!</v>
      </c>
      <c r="J40" s="222"/>
      <c r="K40" s="220" t="e">
        <f>SUM(D40:I40)</f>
        <v>#REF!</v>
      </c>
      <c r="L40" s="223" t="e">
        <f>K40/B39</f>
        <v>#REF!</v>
      </c>
      <c r="N40" s="224">
        <f>[32]sheet1!$F$22</f>
        <v>5751.5</v>
      </c>
      <c r="O40" s="225">
        <f>N40/SUM(N40:N41)</f>
        <v>0.65485204203622949</v>
      </c>
    </row>
    <row r="41" spans="1:27" s="200" customFormat="1">
      <c r="A41" s="204" t="str">
        <f>A37</f>
        <v>Suncoast</v>
      </c>
      <c r="B41" s="204"/>
      <c r="C41" s="220"/>
      <c r="D41" s="220"/>
      <c r="E41" s="221" t="e">
        <f>E39*O41</f>
        <v>#REF!</v>
      </c>
      <c r="F41" s="221" t="e">
        <f>ROUND(F39*AJ14,0)</f>
        <v>#REF!</v>
      </c>
      <c r="G41" s="220"/>
      <c r="H41" s="220"/>
      <c r="I41" s="325">
        <f>'Monthly Peaks'!$B$1536</f>
        <v>0</v>
      </c>
      <c r="J41" s="222"/>
      <c r="K41" s="220" t="e">
        <f>SUM(D41:I41)</f>
        <v>#REF!</v>
      </c>
      <c r="L41" s="223" t="e">
        <f>K41/B39</f>
        <v>#REF!</v>
      </c>
      <c r="N41" s="224">
        <f>[32]sheet1!$G$22</f>
        <v>3031.4</v>
      </c>
      <c r="O41" s="225">
        <f>N41/SUM(N40:N41)</f>
        <v>0.34514795796377051</v>
      </c>
    </row>
    <row r="42" spans="1:27" s="200" customFormat="1">
      <c r="A42" s="204"/>
      <c r="B42" s="204"/>
      <c r="C42" s="220"/>
      <c r="D42" s="220"/>
      <c r="E42" s="221"/>
      <c r="F42" s="221"/>
      <c r="G42" s="220"/>
      <c r="H42" s="220"/>
      <c r="I42" s="220"/>
      <c r="J42" s="222"/>
      <c r="K42" s="220"/>
      <c r="L42" s="223"/>
      <c r="N42" s="224"/>
      <c r="O42" s="225"/>
    </row>
    <row r="43" spans="1:27" s="200" customFormat="1">
      <c r="A43" s="226">
        <f>A39+1</f>
        <v>2010</v>
      </c>
      <c r="B43" s="227">
        <f>'Monthly Peaks'!$B$17</f>
        <v>11649.82</v>
      </c>
      <c r="C43" s="227" t="e">
        <f>'Monthly Peaks'!#REF!</f>
        <v>#REF!</v>
      </c>
      <c r="D43" s="228" t="e">
        <f>'Monthly Peaks'!#REF!</f>
        <v>#REF!</v>
      </c>
      <c r="E43" s="228" t="e">
        <f>B43-C43-D43</f>
        <v>#REF!</v>
      </c>
      <c r="F43" s="228" t="e">
        <f>'Monthly Peaks'!#REF!+'Monthly Peaks'!$B$643</f>
        <v>#REF!</v>
      </c>
      <c r="G43" s="228">
        <f>'Monthly Peaks'!$B$1043+'Monthly Peaks'!$B$923+'Monthly Peaks'!$B$883</f>
        <v>4.2999999999999997E-2</v>
      </c>
      <c r="H43" s="228">
        <f>'Monthly Peaks'!$B$683+'Monthly Peaks'!$B$843+'Monthly Peaks'!$B$1003</f>
        <v>450</v>
      </c>
      <c r="I43" s="228" t="e">
        <f>C43-F43-G43-H43</f>
        <v>#REF!</v>
      </c>
      <c r="J43" s="229"/>
      <c r="K43" s="230"/>
      <c r="L43" s="230"/>
      <c r="M43" s="231"/>
      <c r="N43" s="232"/>
      <c r="O43" s="233"/>
      <c r="AA43" s="229" t="e">
        <f>SUM(F43:I43)</f>
        <v>#REF!</v>
      </c>
    </row>
    <row r="44" spans="1:27" s="200" customFormat="1">
      <c r="A44" s="204" t="str">
        <f>A40</f>
        <v>Other</v>
      </c>
      <c r="B44" s="204"/>
      <c r="C44" s="220"/>
      <c r="D44" s="221" t="e">
        <f>D43</f>
        <v>#REF!</v>
      </c>
      <c r="E44" s="221" t="e">
        <f>E43*O44</f>
        <v>#REF!</v>
      </c>
      <c r="F44" s="221" t="e">
        <f>F43-F45</f>
        <v>#REF!</v>
      </c>
      <c r="G44" s="221">
        <f>G43</f>
        <v>4.2999999999999997E-2</v>
      </c>
      <c r="H44" s="221">
        <f>H43</f>
        <v>450</v>
      </c>
      <c r="I44" s="221" t="e">
        <f>I43-I45</f>
        <v>#REF!</v>
      </c>
      <c r="J44" s="222"/>
      <c r="K44" s="220" t="e">
        <f>SUM(D44:I44)</f>
        <v>#REF!</v>
      </c>
      <c r="L44" s="223" t="e">
        <f>K44/B43</f>
        <v>#REF!</v>
      </c>
      <c r="N44" s="224">
        <f>[32]sheet1!$F$23</f>
        <v>5866.8</v>
      </c>
      <c r="O44" s="225">
        <f>N44/SUM(N44:N45)</f>
        <v>0.65797855636804092</v>
      </c>
    </row>
    <row r="45" spans="1:27" s="200" customFormat="1">
      <c r="A45" s="204" t="str">
        <f>A41</f>
        <v>Suncoast</v>
      </c>
      <c r="B45" s="204"/>
      <c r="C45" s="220"/>
      <c r="D45" s="220"/>
      <c r="E45" s="221" t="e">
        <f>E43*O45</f>
        <v>#REF!</v>
      </c>
      <c r="F45" s="221" t="e">
        <f>ROUND(F43*AJ15,0)</f>
        <v>#REF!</v>
      </c>
      <c r="G45" s="220"/>
      <c r="H45" s="220"/>
      <c r="I45" s="325">
        <f>'Monthly Peaks'!$B$1537</f>
        <v>0</v>
      </c>
      <c r="J45" s="222"/>
      <c r="K45" s="220" t="e">
        <f>SUM(D45:I45)</f>
        <v>#REF!</v>
      </c>
      <c r="L45" s="223" t="e">
        <f>K45/B43</f>
        <v>#REF!</v>
      </c>
      <c r="N45" s="224">
        <f>[32]sheet1!$G$23</f>
        <v>3049.6</v>
      </c>
      <c r="O45" s="225">
        <f>N45/SUM(N44:N45)</f>
        <v>0.34202144363195908</v>
      </c>
    </row>
    <row r="46" spans="1:27">
      <c r="A46" s="204"/>
      <c r="B46" s="204"/>
      <c r="C46" s="220"/>
      <c r="D46" s="220"/>
      <c r="E46" s="221"/>
      <c r="F46" s="221"/>
      <c r="G46" s="220"/>
      <c r="H46" s="220"/>
      <c r="I46" s="220"/>
      <c r="J46" s="222"/>
      <c r="K46" s="220"/>
      <c r="L46" s="223"/>
      <c r="M46" s="200"/>
      <c r="N46" s="224"/>
      <c r="O46" s="225"/>
    </row>
    <row r="47" spans="1:27">
      <c r="A47" s="226">
        <f>A43+1</f>
        <v>2011</v>
      </c>
      <c r="B47" s="227">
        <f>'Monthly Peaks'!$B$18</f>
        <v>11736</v>
      </c>
      <c r="C47" s="227" t="e">
        <f>'Monthly Peaks'!#REF!</f>
        <v>#REF!</v>
      </c>
      <c r="D47" s="228" t="e">
        <f>'Monthly Peaks'!#REF!</f>
        <v>#REF!</v>
      </c>
      <c r="E47" s="228" t="e">
        <f>B47-C47-D47</f>
        <v>#REF!</v>
      </c>
      <c r="F47" s="228" t="e">
        <f>'Monthly Peaks'!#REF!+'Monthly Peaks'!$B$644</f>
        <v>#REF!</v>
      </c>
      <c r="G47" s="228">
        <f>'Monthly Peaks'!$B$1044+'Monthly Peaks'!$B$924+'Monthly Peaks'!$B$884</f>
        <v>22</v>
      </c>
      <c r="H47" s="228">
        <f>'Monthly Peaks'!$B$684+'Monthly Peaks'!$B$844+'Monthly Peaks'!$B$1004</f>
        <v>300</v>
      </c>
      <c r="I47" s="228" t="e">
        <f>C47-F47-G47-H47</f>
        <v>#REF!</v>
      </c>
      <c r="J47" s="229"/>
      <c r="K47" s="230"/>
      <c r="L47" s="230"/>
      <c r="M47" s="231"/>
      <c r="N47" s="232"/>
      <c r="O47" s="233"/>
    </row>
    <row r="48" spans="1:27">
      <c r="A48" s="204" t="str">
        <f>A44</f>
        <v>Other</v>
      </c>
      <c r="B48" s="204"/>
      <c r="C48" s="220"/>
      <c r="D48" s="221" t="e">
        <f>D47</f>
        <v>#REF!</v>
      </c>
      <c r="E48" s="221" t="e">
        <f>E47*O48</f>
        <v>#REF!</v>
      </c>
      <c r="F48" s="221" t="e">
        <f>F47-F49</f>
        <v>#REF!</v>
      </c>
      <c r="G48" s="221">
        <f>G47</f>
        <v>22</v>
      </c>
      <c r="H48" s="221">
        <f>H47</f>
        <v>300</v>
      </c>
      <c r="I48" s="221" t="e">
        <f>I47-I49</f>
        <v>#REF!</v>
      </c>
      <c r="J48" s="222"/>
      <c r="K48" s="220" t="e">
        <f>SUM(D48:I48)</f>
        <v>#REF!</v>
      </c>
      <c r="L48" s="223" t="e">
        <f>K48/B47</f>
        <v>#REF!</v>
      </c>
      <c r="M48" s="200"/>
      <c r="N48" s="224">
        <f>N44*N44/N40</f>
        <v>5984.4114126749546</v>
      </c>
      <c r="O48" s="225">
        <f>N48/SUM(N48:N49)</f>
        <v>0.66109140657858978</v>
      </c>
    </row>
    <row r="49" spans="1:15">
      <c r="A49" s="204" t="str">
        <f>A45</f>
        <v>Suncoast</v>
      </c>
      <c r="B49" s="204"/>
      <c r="C49" s="220"/>
      <c r="D49" s="220"/>
      <c r="E49" s="221" t="e">
        <f>E47*O49</f>
        <v>#REF!</v>
      </c>
      <c r="F49" s="221" t="e">
        <f>ROUND(F47*AJ16,0)</f>
        <v>#REF!</v>
      </c>
      <c r="G49" s="220"/>
      <c r="H49" s="220"/>
      <c r="I49" s="325">
        <f>'Monthly Peaks'!$B$1538</f>
        <v>0</v>
      </c>
      <c r="J49" s="222"/>
      <c r="K49" s="220" t="e">
        <f>SUM(D49:I49)</f>
        <v>#REF!</v>
      </c>
      <c r="L49" s="223" t="e">
        <f>K49/B47</f>
        <v>#REF!</v>
      </c>
      <c r="M49" s="200"/>
      <c r="N49" s="224">
        <f>N45*N45/N41</f>
        <v>3067.9092696443886</v>
      </c>
      <c r="O49" s="225">
        <f>N49/SUM(N48:N49)</f>
        <v>0.33890859342141016</v>
      </c>
    </row>
    <row r="50" spans="1:15">
      <c r="A50" s="204"/>
      <c r="B50" s="204"/>
      <c r="C50" s="220"/>
      <c r="D50" s="220"/>
      <c r="E50" s="221"/>
      <c r="F50" s="221"/>
      <c r="G50" s="220"/>
      <c r="H50" s="220"/>
      <c r="I50" s="220"/>
      <c r="J50" s="222"/>
      <c r="K50" s="220"/>
      <c r="L50" s="223"/>
      <c r="M50" s="200"/>
      <c r="N50" s="224"/>
      <c r="O50" s="225"/>
    </row>
    <row r="51" spans="1:15">
      <c r="A51" s="226">
        <f>A47+1</f>
        <v>2012</v>
      </c>
      <c r="B51" s="227">
        <f>'Monthly Peaks'!$B$19</f>
        <v>11817.19</v>
      </c>
      <c r="C51" s="227" t="e">
        <f>'Monthly Peaks'!#REF!</f>
        <v>#REF!</v>
      </c>
      <c r="D51" s="228" t="e">
        <f>'Monthly Peaks'!#REF!</f>
        <v>#REF!</v>
      </c>
      <c r="E51" s="228" t="e">
        <f>B51-C51-D51</f>
        <v>#REF!</v>
      </c>
      <c r="F51" s="228" t="e">
        <f>'Monthly Peaks'!#REF!+'Monthly Peaks'!$B$645</f>
        <v>#REF!</v>
      </c>
      <c r="G51" s="228">
        <f>'Monthly Peaks'!$B$1045+'Monthly Peaks'!$B$925+'Monthly Peaks'!$B$885</f>
        <v>16</v>
      </c>
      <c r="H51" s="228">
        <f>'Monthly Peaks'!$B$685+'Monthly Peaks'!$B$845+'Monthly Peaks'!$B$1005</f>
        <v>425</v>
      </c>
      <c r="I51" s="228" t="e">
        <f>C51-F51-G51-H51</f>
        <v>#REF!</v>
      </c>
      <c r="J51" s="229"/>
      <c r="K51" s="230"/>
      <c r="L51" s="230"/>
      <c r="M51" s="231"/>
      <c r="N51" s="232"/>
      <c r="O51" s="233"/>
    </row>
    <row r="52" spans="1:15">
      <c r="A52" s="204" t="str">
        <f>A48</f>
        <v>Other</v>
      </c>
      <c r="B52" s="204"/>
      <c r="C52" s="220"/>
      <c r="D52" s="221" t="e">
        <f>D51</f>
        <v>#REF!</v>
      </c>
      <c r="E52" s="221" t="e">
        <f>E51*O52</f>
        <v>#REF!</v>
      </c>
      <c r="F52" s="221" t="e">
        <f>F51-F53</f>
        <v>#REF!</v>
      </c>
      <c r="G52" s="221">
        <f>G51</f>
        <v>16</v>
      </c>
      <c r="H52" s="221">
        <f>H51</f>
        <v>425</v>
      </c>
      <c r="I52" s="221" t="e">
        <f>I51-I53</f>
        <v>#REF!</v>
      </c>
      <c r="J52" s="222"/>
      <c r="K52" s="220" t="e">
        <f>SUM(D52:I52)</f>
        <v>#REF!</v>
      </c>
      <c r="L52" s="223" t="e">
        <f>K52/B51</f>
        <v>#REF!</v>
      </c>
      <c r="M52" s="200"/>
      <c r="N52" s="224">
        <f>N48*N48/N44</f>
        <v>6104.3805747859551</v>
      </c>
      <c r="O52" s="225">
        <f>N52/SUM(N52:N53)</f>
        <v>0.66419038491818061</v>
      </c>
    </row>
    <row r="53" spans="1:15">
      <c r="A53" s="204" t="str">
        <f>A49</f>
        <v>Suncoast</v>
      </c>
      <c r="B53" s="204"/>
      <c r="C53" s="220"/>
      <c r="D53" s="220"/>
      <c r="E53" s="221" t="e">
        <f>E51*O53</f>
        <v>#REF!</v>
      </c>
      <c r="F53" s="221" t="e">
        <f>ROUND(F51*AJ17,0)</f>
        <v>#REF!</v>
      </c>
      <c r="G53" s="220"/>
      <c r="H53" s="220"/>
      <c r="I53" s="325">
        <f>'Monthly Peaks'!$B$1539</f>
        <v>0</v>
      </c>
      <c r="J53" s="222"/>
      <c r="K53" s="220" t="e">
        <f>SUM(D53:I53)</f>
        <v>#REF!</v>
      </c>
      <c r="L53" s="223" t="e">
        <f>K53/B51</f>
        <v>#REF!</v>
      </c>
      <c r="M53" s="200"/>
      <c r="N53" s="224">
        <f>N49*N49/N45</f>
        <v>3086.328464969165</v>
      </c>
      <c r="O53" s="225">
        <f>N53/SUM(N52:N53)</f>
        <v>0.33580961508181939</v>
      </c>
    </row>
    <row r="54" spans="1:15">
      <c r="A54" s="204"/>
      <c r="B54" s="204"/>
      <c r="C54" s="220"/>
      <c r="D54" s="220"/>
      <c r="E54" s="221"/>
      <c r="F54" s="221"/>
      <c r="G54" s="220"/>
      <c r="H54" s="220"/>
      <c r="I54" s="220"/>
      <c r="J54" s="222"/>
      <c r="K54" s="220"/>
      <c r="L54" s="223"/>
      <c r="M54" s="200"/>
      <c r="N54" s="224"/>
      <c r="O54" s="225"/>
    </row>
    <row r="55" spans="1:15">
      <c r="A55" s="226">
        <f>A51+1</f>
        <v>2013</v>
      </c>
      <c r="B55" s="227">
        <f>'Monthly Peaks'!$B$20</f>
        <v>11894.38</v>
      </c>
      <c r="C55" s="227" t="e">
        <f>'Monthly Peaks'!#REF!</f>
        <v>#REF!</v>
      </c>
      <c r="D55" s="228" t="e">
        <f>'Monthly Peaks'!#REF!</f>
        <v>#REF!</v>
      </c>
      <c r="E55" s="228" t="e">
        <f>B55-C55-D55</f>
        <v>#REF!</v>
      </c>
      <c r="F55" s="228" t="e">
        <f>'Monthly Peaks'!#REF!+'Monthly Peaks'!$B$646</f>
        <v>#REF!</v>
      </c>
      <c r="G55" s="228">
        <f>'Monthly Peaks'!$B$1046+'Monthly Peaks'!$B$926+'Monthly Peaks'!$B$886</f>
        <v>15.01</v>
      </c>
      <c r="H55" s="228">
        <f>'Monthly Peaks'!$B$686+'Monthly Peaks'!$B$846+'Monthly Peaks'!$B$1006</f>
        <v>300</v>
      </c>
      <c r="I55" s="228" t="e">
        <f>C55-F55-G55-H55</f>
        <v>#REF!</v>
      </c>
      <c r="J55" s="229"/>
      <c r="K55" s="230"/>
      <c r="L55" s="230"/>
      <c r="M55" s="231"/>
      <c r="N55" s="232"/>
      <c r="O55" s="233"/>
    </row>
    <row r="56" spans="1:15">
      <c r="A56" s="204" t="str">
        <f>A52</f>
        <v>Other</v>
      </c>
      <c r="B56" s="204"/>
      <c r="C56" s="220"/>
      <c r="D56" s="221" t="e">
        <f>D55</f>
        <v>#REF!</v>
      </c>
      <c r="E56" s="221" t="e">
        <f>E55*O56</f>
        <v>#REF!</v>
      </c>
      <c r="F56" s="221" t="e">
        <f>F55-F57</f>
        <v>#REF!</v>
      </c>
      <c r="G56" s="221">
        <f>G55</f>
        <v>15.01</v>
      </c>
      <c r="H56" s="221">
        <f>H55</f>
        <v>300</v>
      </c>
      <c r="I56" s="221" t="e">
        <f>I55-I57</f>
        <v>#REF!</v>
      </c>
      <c r="J56" s="222"/>
      <c r="K56" s="220" t="e">
        <f>SUM(D56:I56)</f>
        <v>#REF!</v>
      </c>
      <c r="L56" s="223" t="e">
        <f>K56/B55</f>
        <v>#REF!</v>
      </c>
      <c r="M56" s="200"/>
      <c r="N56" s="224">
        <f>N52*N52/N48</f>
        <v>6226.7547520045619</v>
      </c>
      <c r="O56" s="225">
        <f>N56/SUM(N56:N57)</f>
        <v>0.6672752881382954</v>
      </c>
    </row>
    <row r="57" spans="1:15">
      <c r="A57" s="204" t="str">
        <f>A53</f>
        <v>Suncoast</v>
      </c>
      <c r="B57" s="204"/>
      <c r="C57" s="220"/>
      <c r="D57" s="220"/>
      <c r="E57" s="221" t="e">
        <f>E55*O57</f>
        <v>#REF!</v>
      </c>
      <c r="F57" s="221" t="e">
        <f>ROUND(F55*AJ18,0)</f>
        <v>#REF!</v>
      </c>
      <c r="G57" s="220"/>
      <c r="H57" s="220"/>
      <c r="I57" s="325">
        <f>'Monthly Peaks'!$B$1540</f>
        <v>0</v>
      </c>
      <c r="J57" s="222"/>
      <c r="K57" s="220" t="e">
        <f>SUM(D57:I57)</f>
        <v>#REF!</v>
      </c>
      <c r="L57" s="223" t="e">
        <f>K57/B55</f>
        <v>#REF!</v>
      </c>
      <c r="M57" s="200"/>
      <c r="N57" s="224">
        <f>N53*N53/N49</f>
        <v>3104.8582459490549</v>
      </c>
      <c r="O57" s="225">
        <f>N57/SUM(N56:N57)</f>
        <v>0.33272471186170466</v>
      </c>
    </row>
    <row r="58" spans="1:15">
      <c r="A58" s="204"/>
      <c r="B58" s="204"/>
      <c r="C58" s="220"/>
      <c r="D58" s="220"/>
      <c r="E58" s="221"/>
      <c r="F58" s="221"/>
      <c r="G58" s="220"/>
      <c r="H58" s="220"/>
      <c r="I58" s="220"/>
      <c r="J58" s="222"/>
      <c r="K58" s="220"/>
      <c r="L58" s="223"/>
      <c r="M58" s="200"/>
      <c r="N58" s="224"/>
      <c r="O58" s="225"/>
    </row>
    <row r="59" spans="1:15">
      <c r="A59" s="226">
        <f>A55+1</f>
        <v>2014</v>
      </c>
      <c r="B59" s="227">
        <f>'Monthly Peaks'!$B$21</f>
        <v>11971.57</v>
      </c>
      <c r="C59" s="227" t="e">
        <f>'Monthly Peaks'!#REF!</f>
        <v>#REF!</v>
      </c>
      <c r="D59" s="228" t="e">
        <f>'Monthly Peaks'!#REF!</f>
        <v>#REF!</v>
      </c>
      <c r="E59" s="228" t="e">
        <f>B59-C59-D59</f>
        <v>#REF!</v>
      </c>
      <c r="F59" s="228" t="e">
        <f>'Monthly Peaks'!#REF!+'Monthly Peaks'!$B$647</f>
        <v>#REF!</v>
      </c>
      <c r="G59" s="228">
        <f>'Monthly Peaks'!$B$1047+'Monthly Peaks'!$B$927+'Monthly Peaks'!$B$887</f>
        <v>250</v>
      </c>
      <c r="H59" s="228">
        <f>'Monthly Peaks'!$B$686+'Monthly Peaks'!$B$846+'Monthly Peaks'!$B$1007</f>
        <v>300</v>
      </c>
      <c r="I59" s="228" t="e">
        <f>C59-F59-G59-H59</f>
        <v>#REF!</v>
      </c>
      <c r="J59" s="229"/>
      <c r="K59" s="230"/>
      <c r="L59" s="230"/>
      <c r="M59" s="231"/>
      <c r="N59" s="232"/>
      <c r="O59" s="233"/>
    </row>
    <row r="60" spans="1:15">
      <c r="A60" s="204" t="str">
        <f>A56</f>
        <v>Other</v>
      </c>
      <c r="B60" s="204"/>
      <c r="C60" s="220"/>
      <c r="D60" s="221" t="e">
        <f>D59</f>
        <v>#REF!</v>
      </c>
      <c r="E60" s="221" t="e">
        <f>E59*O60</f>
        <v>#REF!</v>
      </c>
      <c r="F60" s="221" t="e">
        <f>F59-F61</f>
        <v>#REF!</v>
      </c>
      <c r="G60" s="221">
        <f>G59</f>
        <v>250</v>
      </c>
      <c r="H60" s="221">
        <f>H59</f>
        <v>300</v>
      </c>
      <c r="I60" s="221" t="e">
        <f>I59-I61</f>
        <v>#REF!</v>
      </c>
      <c r="J60" s="222"/>
      <c r="K60" s="220" t="e">
        <f>SUM(D60:I60)</f>
        <v>#REF!</v>
      </c>
      <c r="L60" s="223" t="e">
        <f>K60/B59</f>
        <v>#REF!</v>
      </c>
      <c r="M60" s="200"/>
      <c r="N60" s="224">
        <f>N56*N56/N52</f>
        <v>6351.5821575346181</v>
      </c>
      <c r="O60" s="225">
        <f>N60/SUM(N60:N61)</f>
        <v>0.67034591752483186</v>
      </c>
    </row>
    <row r="61" spans="1:15">
      <c r="A61" s="204" t="str">
        <f>A57</f>
        <v>Suncoast</v>
      </c>
      <c r="B61" s="204"/>
      <c r="C61" s="220"/>
      <c r="D61" s="220"/>
      <c r="E61" s="221" t="e">
        <f>E59*O61</f>
        <v>#REF!</v>
      </c>
      <c r="F61" s="221" t="e">
        <f>ROUND(F59*AJ19,0)</f>
        <v>#REF!</v>
      </c>
      <c r="G61" s="220"/>
      <c r="H61" s="220"/>
      <c r="I61" s="325">
        <f>'Monthly Peaks'!$B$1541</f>
        <v>0</v>
      </c>
      <c r="J61" s="222"/>
      <c r="K61" s="220" t="e">
        <f>SUM(D61:I61)</f>
        <v>#REF!</v>
      </c>
      <c r="L61" s="223" t="e">
        <f>K61/B59</f>
        <v>#REF!</v>
      </c>
      <c r="M61" s="200"/>
      <c r="N61" s="224">
        <f>N57*N57/N53</f>
        <v>3123.4992765211578</v>
      </c>
      <c r="O61" s="225">
        <f>N61/SUM(N60:N61)</f>
        <v>0.3296540824751682</v>
      </c>
    </row>
    <row r="62" spans="1:15">
      <c r="A62" s="204"/>
      <c r="B62" s="204"/>
      <c r="C62" s="220"/>
      <c r="D62" s="220"/>
      <c r="E62" s="221"/>
      <c r="F62" s="221"/>
      <c r="G62" s="220"/>
      <c r="H62" s="220"/>
      <c r="I62" s="325"/>
      <c r="J62" s="222"/>
      <c r="K62" s="220"/>
      <c r="L62" s="223"/>
      <c r="M62" s="200"/>
      <c r="N62" s="224"/>
      <c r="O62" s="225"/>
    </row>
    <row r="63" spans="1:15">
      <c r="A63" s="226">
        <f>A59+1</f>
        <v>2015</v>
      </c>
      <c r="B63" s="227">
        <f>'Monthly Peaks'!$B$22</f>
        <v>12047.76</v>
      </c>
      <c r="C63" s="227" t="e">
        <f>'Monthly Peaks'!#REF!</f>
        <v>#REF!</v>
      </c>
      <c r="D63" s="228" t="e">
        <f>'Monthly Peaks'!#REF!</f>
        <v>#REF!</v>
      </c>
      <c r="E63" s="228" t="e">
        <f>B63-C63-D63</f>
        <v>#REF!</v>
      </c>
      <c r="F63" s="228" t="e">
        <f>'Monthly Peaks'!#REF!+'Monthly Peaks'!$B$648</f>
        <v>#REF!</v>
      </c>
      <c r="G63" s="228">
        <f>'Monthly Peaks'!$B$1048+'Monthly Peaks'!$B$928+'Monthly Peaks'!$B$888</f>
        <v>750</v>
      </c>
      <c r="H63" s="228">
        <f>'Monthly Peaks'!$B$686+'Monthly Peaks'!$B$846+'Monthly Peaks'!$B$1008</f>
        <v>300</v>
      </c>
      <c r="I63" s="228" t="e">
        <f>C63-F63-G63-H63</f>
        <v>#REF!</v>
      </c>
      <c r="J63" s="229"/>
      <c r="K63" s="230"/>
      <c r="L63" s="230"/>
      <c r="M63" s="231"/>
      <c r="N63" s="232"/>
      <c r="O63" s="233"/>
    </row>
    <row r="64" spans="1:15">
      <c r="A64" s="204" t="str">
        <f>A60</f>
        <v>Other</v>
      </c>
      <c r="B64" s="204"/>
      <c r="C64" s="220"/>
      <c r="D64" s="221" t="e">
        <f>D63</f>
        <v>#REF!</v>
      </c>
      <c r="E64" s="221" t="e">
        <f>E63*O64</f>
        <v>#REF!</v>
      </c>
      <c r="F64" s="221" t="e">
        <f>F63-F65</f>
        <v>#REF!</v>
      </c>
      <c r="G64" s="221">
        <f>G63</f>
        <v>750</v>
      </c>
      <c r="H64" s="221">
        <f>H63</f>
        <v>300</v>
      </c>
      <c r="I64" s="221" t="e">
        <f>I63-I65</f>
        <v>#REF!</v>
      </c>
      <c r="J64" s="222"/>
      <c r="K64" s="220" t="e">
        <f>SUM(D64:I64)</f>
        <v>#REF!</v>
      </c>
      <c r="L64" s="223" t="e">
        <f>K64/B63</f>
        <v>#REF!</v>
      </c>
      <c r="M64" s="200"/>
      <c r="N64" s="224">
        <f>N60*N60/N56</f>
        <v>6478.911971107379</v>
      </c>
      <c r="O64" s="225">
        <f>N64/SUM(N64:N65)</f>
        <v>0.67340207892846848</v>
      </c>
    </row>
    <row r="65" spans="1:15">
      <c r="A65" s="204" t="str">
        <f>A61</f>
        <v>Suncoast</v>
      </c>
      <c r="B65" s="204"/>
      <c r="C65" s="220"/>
      <c r="D65" s="220"/>
      <c r="E65" s="221" t="e">
        <f>E63*O65</f>
        <v>#REF!</v>
      </c>
      <c r="F65" s="221" t="e">
        <f>ROUND(F63*AJ27,0)</f>
        <v>#REF!</v>
      </c>
      <c r="G65" s="220"/>
      <c r="H65" s="220"/>
      <c r="I65" s="325">
        <f>'Monthly Peaks'!$B$1542</f>
        <v>0</v>
      </c>
      <c r="J65" s="222"/>
      <c r="K65" s="220" t="e">
        <f>SUM(D65:I65)</f>
        <v>#REF!</v>
      </c>
      <c r="L65" s="223" t="e">
        <f>K65/B63</f>
        <v>#REF!</v>
      </c>
      <c r="M65" s="200"/>
      <c r="N65" s="224">
        <f>N61*N61/N57</f>
        <v>3142.2522246087365</v>
      </c>
      <c r="O65" s="225">
        <f>N65/SUM(N64:N65)</f>
        <v>0.32659792107153146</v>
      </c>
    </row>
    <row r="66" spans="1:15">
      <c r="A66" s="204"/>
      <c r="B66" s="204"/>
      <c r="C66" s="220"/>
      <c r="D66" s="220"/>
      <c r="E66" s="221"/>
      <c r="F66" s="221"/>
      <c r="G66" s="220"/>
      <c r="H66" s="220"/>
      <c r="I66" s="325"/>
      <c r="J66" s="222"/>
      <c r="K66" s="220"/>
      <c r="L66" s="223"/>
      <c r="M66" s="200"/>
      <c r="N66" s="224"/>
      <c r="O66" s="225"/>
    </row>
    <row r="67" spans="1:15">
      <c r="A67" s="226">
        <f>A63+1</f>
        <v>2016</v>
      </c>
      <c r="B67" s="227">
        <f>'Monthly Peaks'!$B$23</f>
        <v>12118.86</v>
      </c>
      <c r="C67" s="227" t="e">
        <f>'Monthly Peaks'!#REF!</f>
        <v>#REF!</v>
      </c>
      <c r="D67" s="228" t="e">
        <f>'Monthly Peaks'!#REF!</f>
        <v>#REF!</v>
      </c>
      <c r="E67" s="228" t="e">
        <f>B67-C67-D67</f>
        <v>#REF!</v>
      </c>
      <c r="F67" s="228" t="e">
        <f>'Monthly Peaks'!#REF!+'Monthly Peaks'!$B$649</f>
        <v>#REF!</v>
      </c>
      <c r="G67" s="228">
        <f>'Monthly Peaks'!$B$1049+'Monthly Peaks'!$B$929+'Monthly Peaks'!$B$889</f>
        <v>750</v>
      </c>
      <c r="H67" s="228">
        <f>'Monthly Peaks'!$B$689+'Monthly Peaks'!$B$849+'Monthly Peaks'!$B$1009</f>
        <v>250</v>
      </c>
      <c r="I67" s="228" t="e">
        <f>C67-F67-G67-H67</f>
        <v>#REF!</v>
      </c>
      <c r="J67" s="229"/>
      <c r="K67" s="230"/>
      <c r="L67" s="230"/>
      <c r="M67" s="231"/>
      <c r="N67" s="232"/>
      <c r="O67" s="233"/>
    </row>
    <row r="68" spans="1:15">
      <c r="A68" s="204" t="str">
        <f>A64</f>
        <v>Other</v>
      </c>
      <c r="B68" s="204"/>
      <c r="C68" s="220"/>
      <c r="D68" s="221" t="e">
        <f>D67</f>
        <v>#REF!</v>
      </c>
      <c r="E68" s="221" t="e">
        <f>E67*O68</f>
        <v>#REF!</v>
      </c>
      <c r="F68" s="221" t="e">
        <f>F67-F69</f>
        <v>#REF!</v>
      </c>
      <c r="G68" s="221">
        <f>G67</f>
        <v>750</v>
      </c>
      <c r="H68" s="221">
        <f>H67</f>
        <v>250</v>
      </c>
      <c r="I68" s="221" t="e">
        <f>I67-I69</f>
        <v>#REF!</v>
      </c>
      <c r="J68" s="222"/>
      <c r="K68" s="220" t="e">
        <f>SUM(D68:I68)</f>
        <v>#REF!</v>
      </c>
      <c r="L68" s="223" t="e">
        <f>K68/B67</f>
        <v>#REF!</v>
      </c>
      <c r="M68" s="200"/>
      <c r="N68" s="224">
        <f>N64*N64/N60</f>
        <v>6608.7943583574306</v>
      </c>
      <c r="O68" s="225">
        <f>N68/SUM(N68:N69)</f>
        <v>0.67644358279217187</v>
      </c>
    </row>
    <row r="69" spans="1:15">
      <c r="A69" s="204" t="str">
        <f>A65</f>
        <v>Suncoast</v>
      </c>
      <c r="B69" s="204"/>
      <c r="C69" s="220"/>
      <c r="D69" s="220"/>
      <c r="E69" s="221" t="e">
        <f>E67*O69</f>
        <v>#REF!</v>
      </c>
      <c r="F69" s="221" t="e">
        <f>ROUND(F67*AJ31,0)</f>
        <v>#REF!</v>
      </c>
      <c r="G69" s="220"/>
      <c r="H69" s="220"/>
      <c r="I69" s="325">
        <f>'Monthly Peaks'!$B$1543</f>
        <v>0</v>
      </c>
      <c r="J69" s="222"/>
      <c r="K69" s="220" t="e">
        <f>SUM(D69:I69)</f>
        <v>#REF!</v>
      </c>
      <c r="L69" s="223" t="e">
        <f>K69/B67</f>
        <v>#REF!</v>
      </c>
      <c r="M69" s="200"/>
      <c r="N69" s="224">
        <f>N65*N65/N61</f>
        <v>3161.1177621451488</v>
      </c>
      <c r="O69" s="225">
        <f>N69/SUM(N68:N69)</f>
        <v>0.32355641720782802</v>
      </c>
    </row>
    <row r="70" spans="1:15">
      <c r="A70" s="204"/>
      <c r="B70" s="204"/>
      <c r="C70" s="220"/>
      <c r="D70" s="220"/>
      <c r="E70" s="221"/>
      <c r="F70" s="221"/>
      <c r="G70" s="220"/>
      <c r="H70" s="220"/>
      <c r="I70" s="325"/>
      <c r="J70" s="222"/>
      <c r="K70" s="220"/>
      <c r="L70" s="223"/>
      <c r="M70" s="200"/>
      <c r="N70" s="224"/>
      <c r="O70" s="225"/>
    </row>
    <row r="71" spans="1:15">
      <c r="A71" s="226">
        <f>A67+1</f>
        <v>2017</v>
      </c>
      <c r="B71" s="227">
        <f>'Monthly Peaks'!$B$24</f>
        <v>12173.02</v>
      </c>
      <c r="C71" s="227" t="e">
        <f>'Monthly Peaks'!#REF!</f>
        <v>#REF!</v>
      </c>
      <c r="D71" s="228" t="e">
        <f>'Monthly Peaks'!#REF!</f>
        <v>#REF!</v>
      </c>
      <c r="E71" s="228" t="e">
        <f>B71-C71-D71</f>
        <v>#REF!</v>
      </c>
      <c r="F71" s="228" t="e">
        <f>'Monthly Peaks'!#REF!+'Monthly Peaks'!$B$650</f>
        <v>#REF!</v>
      </c>
      <c r="G71" s="228">
        <f>'Monthly Peaks'!$B$1050+'Monthly Peaks'!$B$930+'Monthly Peaks'!$B$890</f>
        <v>600</v>
      </c>
      <c r="H71" s="228">
        <f>+'Monthly Peaks'!$B$1010</f>
        <v>200</v>
      </c>
      <c r="I71" s="228" t="e">
        <f>C71-F71-G71-H71</f>
        <v>#REF!</v>
      </c>
      <c r="J71" s="229"/>
      <c r="K71" s="230"/>
      <c r="L71" s="230"/>
      <c r="M71" s="231"/>
      <c r="N71" s="232"/>
      <c r="O71" s="233"/>
    </row>
    <row r="72" spans="1:15">
      <c r="A72" s="204" t="str">
        <f>A68</f>
        <v>Other</v>
      </c>
      <c r="B72" s="204"/>
      <c r="C72" s="220"/>
      <c r="D72" s="221" t="e">
        <f>D71</f>
        <v>#REF!</v>
      </c>
      <c r="E72" s="221" t="e">
        <f>E71*O72</f>
        <v>#REF!</v>
      </c>
      <c r="F72" s="221" t="e">
        <f>F71-F73</f>
        <v>#REF!</v>
      </c>
      <c r="G72" s="221">
        <f>G71</f>
        <v>600</v>
      </c>
      <c r="H72" s="221">
        <f>H71</f>
        <v>200</v>
      </c>
      <c r="I72" s="221" t="e">
        <f>I71-I73</f>
        <v>#REF!</v>
      </c>
      <c r="J72" s="222"/>
      <c r="K72" s="220" t="e">
        <f>SUM(D72:I72)</f>
        <v>#REF!</v>
      </c>
      <c r="L72" s="223" t="e">
        <f>K72/B71</f>
        <v>#REF!</v>
      </c>
      <c r="M72" s="200"/>
      <c r="N72" s="224">
        <f>N68*N68/N64</f>
        <v>6741.2804905870407</v>
      </c>
      <c r="O72" s="225">
        <f>N72/SUM(N72:N73)</f>
        <v>0.67947024417586022</v>
      </c>
    </row>
    <row r="73" spans="1:15">
      <c r="A73" s="204" t="str">
        <f>A69</f>
        <v>Suncoast</v>
      </c>
      <c r="B73" s="204"/>
      <c r="C73" s="220"/>
      <c r="D73" s="220"/>
      <c r="E73" s="221" t="e">
        <f>E71*O73</f>
        <v>#REF!</v>
      </c>
      <c r="F73" s="221" t="e">
        <f>ROUND(F71*AJ35,0)</f>
        <v>#REF!</v>
      </c>
      <c r="G73" s="220"/>
      <c r="H73" s="220"/>
      <c r="I73" s="325">
        <f>'Monthly Peaks'!$B$1544</f>
        <v>0</v>
      </c>
      <c r="J73" s="222"/>
      <c r="K73" s="220" t="e">
        <f>SUM(D73:I73)</f>
        <v>#REF!</v>
      </c>
      <c r="L73" s="223" t="e">
        <f>K73/B71</f>
        <v>#REF!</v>
      </c>
      <c r="M73" s="200"/>
      <c r="N73" s="224">
        <f>N69*N69/N65</f>
        <v>3180.0965650979247</v>
      </c>
      <c r="O73" s="225">
        <f>N73/SUM(N72:N73)</f>
        <v>0.32052975582413978</v>
      </c>
    </row>
    <row r="74" spans="1:15">
      <c r="A74" s="204"/>
      <c r="B74" s="204"/>
      <c r="C74" s="220"/>
      <c r="D74" s="220"/>
      <c r="E74" s="221"/>
      <c r="F74" s="221"/>
      <c r="G74" s="220"/>
      <c r="H74" s="220"/>
      <c r="I74" s="325"/>
      <c r="J74" s="222"/>
      <c r="K74" s="220"/>
      <c r="L74" s="223"/>
      <c r="M74" s="200"/>
      <c r="N74" s="224"/>
      <c r="O74" s="225"/>
    </row>
    <row r="75" spans="1:15">
      <c r="A75" s="226">
        <f>A71+1</f>
        <v>2018</v>
      </c>
      <c r="B75" s="227">
        <f>'Monthly Peaks'!$B$25</f>
        <v>12225.17</v>
      </c>
      <c r="C75" s="227" t="e">
        <f>'Monthly Peaks'!#REF!</f>
        <v>#REF!</v>
      </c>
      <c r="D75" s="228" t="e">
        <f>'Monthly Peaks'!#REF!</f>
        <v>#REF!</v>
      </c>
      <c r="E75" s="228" t="e">
        <f>B75-C75-D75</f>
        <v>#REF!</v>
      </c>
      <c r="F75" s="228" t="e">
        <f>'Monthly Peaks'!#REF!+'Monthly Peaks'!$B$651</f>
        <v>#REF!</v>
      </c>
      <c r="G75" s="228">
        <f>'Monthly Peaks'!$B$1051+'Monthly Peaks'!$B$931+'Monthly Peaks'!$B$891</f>
        <v>600</v>
      </c>
      <c r="H75" s="228">
        <f>'Monthly Peaks'!$B$691+'Monthly Peaks'!$B$851+'Monthly Peaks'!$B$1011</f>
        <v>250</v>
      </c>
      <c r="I75" s="228" t="e">
        <f>C75-F75-G75-H75</f>
        <v>#REF!</v>
      </c>
      <c r="J75" s="229"/>
      <c r="K75" s="230"/>
      <c r="L75" s="230"/>
      <c r="M75" s="231"/>
      <c r="N75" s="232"/>
      <c r="O75" s="233"/>
    </row>
    <row r="76" spans="1:15">
      <c r="A76" s="204" t="str">
        <f>A72</f>
        <v>Other</v>
      </c>
      <c r="B76" s="204"/>
      <c r="C76" s="220"/>
      <c r="D76" s="221" t="e">
        <f>D75</f>
        <v>#REF!</v>
      </c>
      <c r="E76" s="221" t="e">
        <f>E75*O76</f>
        <v>#REF!</v>
      </c>
      <c r="F76" s="221" t="e">
        <f>F75-F77</f>
        <v>#REF!</v>
      </c>
      <c r="G76" s="221">
        <f>G75</f>
        <v>600</v>
      </c>
      <c r="H76" s="221">
        <f>H75</f>
        <v>250</v>
      </c>
      <c r="I76" s="221" t="e">
        <f>I75-I77</f>
        <v>#REF!</v>
      </c>
      <c r="J76" s="222"/>
      <c r="K76" s="220" t="e">
        <f>SUM(D76:I76)</f>
        <v>#REF!</v>
      </c>
      <c r="L76" s="223" t="e">
        <f>K76/B75</f>
        <v>#REF!</v>
      </c>
      <c r="M76" s="200"/>
      <c r="N76" s="224">
        <f>N72*N72/N68</f>
        <v>6876.4225649267219</v>
      </c>
      <c r="O76" s="225">
        <f>N76/SUM(N76:N77)</f>
        <v>0.68248188277824406</v>
      </c>
    </row>
    <row r="77" spans="1:15">
      <c r="A77" s="204" t="str">
        <f>A73</f>
        <v>Suncoast</v>
      </c>
      <c r="B77" s="204"/>
      <c r="C77" s="220"/>
      <c r="D77" s="220"/>
      <c r="E77" s="221" t="e">
        <f>E75*O77</f>
        <v>#REF!</v>
      </c>
      <c r="F77" s="221" t="e">
        <f>ROUND(F75*AJ39,0)</f>
        <v>#REF!</v>
      </c>
      <c r="G77" s="220"/>
      <c r="H77" s="220"/>
      <c r="I77" s="325">
        <f>'Monthly Peaks'!$B$1545</f>
        <v>0</v>
      </c>
      <c r="J77" s="222"/>
      <c r="K77" s="220" t="e">
        <f>SUM(D77:I77)</f>
        <v>#REF!</v>
      </c>
      <c r="L77" s="223" t="e">
        <f>K77/B75</f>
        <v>#REF!</v>
      </c>
      <c r="M77" s="200"/>
      <c r="N77" s="224">
        <f>N73*N73/N69</f>
        <v>3199.1893134929846</v>
      </c>
      <c r="O77" s="225">
        <f>N77/SUM(N76:N77)</f>
        <v>0.31751811722175594</v>
      </c>
    </row>
    <row r="78" spans="1:15">
      <c r="A78" s="204"/>
      <c r="B78" s="204"/>
      <c r="C78" s="220"/>
      <c r="D78" s="220"/>
      <c r="E78" s="221"/>
      <c r="F78" s="221"/>
      <c r="G78" s="220"/>
      <c r="H78" s="220"/>
      <c r="I78" s="325"/>
      <c r="J78" s="222"/>
      <c r="K78" s="220"/>
      <c r="L78" s="223"/>
      <c r="M78" s="200"/>
      <c r="N78" s="224"/>
      <c r="O78" s="225"/>
    </row>
    <row r="79" spans="1:15">
      <c r="A79" s="226">
        <f>A75+1</f>
        <v>2019</v>
      </c>
      <c r="B79" s="227">
        <f>'Monthly Peaks'!$B$26</f>
        <v>12290.33</v>
      </c>
      <c r="C79" s="227" t="e">
        <f>'Monthly Peaks'!#REF!</f>
        <v>#REF!</v>
      </c>
      <c r="D79" s="228" t="e">
        <f>'Monthly Peaks'!#REF!</f>
        <v>#REF!</v>
      </c>
      <c r="E79" s="228" t="e">
        <f>B79-C79-D79</f>
        <v>#REF!</v>
      </c>
      <c r="F79" s="228" t="e">
        <f>'Monthly Peaks'!#REF!+'Monthly Peaks'!$B$652</f>
        <v>#REF!</v>
      </c>
      <c r="G79" s="228">
        <f>'Monthly Peaks'!$B$1052+'Monthly Peaks'!$B$932+'Monthly Peaks'!$B$892</f>
        <v>600</v>
      </c>
      <c r="H79" s="228">
        <f>'Monthly Peaks'!$B$692+'Monthly Peaks'!$B$852+'Monthly Peaks'!$B$1012</f>
        <v>250</v>
      </c>
      <c r="I79" s="228" t="e">
        <f>C79-F79-G79-H79</f>
        <v>#REF!</v>
      </c>
      <c r="J79" s="229"/>
      <c r="K79" s="230"/>
      <c r="L79" s="230"/>
      <c r="M79" s="231"/>
      <c r="N79" s="232"/>
      <c r="O79" s="233"/>
    </row>
    <row r="80" spans="1:15">
      <c r="A80" s="204" t="str">
        <f>A76</f>
        <v>Other</v>
      </c>
      <c r="B80" s="204"/>
      <c r="C80" s="220"/>
      <c r="D80" s="221" t="e">
        <f>D79</f>
        <v>#REF!</v>
      </c>
      <c r="E80" s="221" t="e">
        <f>E79*O80</f>
        <v>#REF!</v>
      </c>
      <c r="F80" s="221" t="e">
        <f>F79-F81</f>
        <v>#REF!</v>
      </c>
      <c r="G80" s="221">
        <f>G79</f>
        <v>600</v>
      </c>
      <c r="H80" s="221">
        <f>H79</f>
        <v>250</v>
      </c>
      <c r="I80" s="221" t="e">
        <f>I79-I81</f>
        <v>#REF!</v>
      </c>
      <c r="J80" s="222"/>
      <c r="K80" s="220" t="e">
        <f>SUM(D80:I80)</f>
        <v>#REF!</v>
      </c>
      <c r="L80" s="223" t="e">
        <f>K80/B79</f>
        <v>#REF!</v>
      </c>
      <c r="M80" s="200"/>
      <c r="N80" s="224">
        <f>N76*N76/N72</f>
        <v>7014.2738248999531</v>
      </c>
      <c r="O80" s="225">
        <f>N80/SUM(N80:N81)</f>
        <v>0.68547832295586464</v>
      </c>
    </row>
    <row r="81" spans="1:15">
      <c r="A81" s="204" t="str">
        <f>A77</f>
        <v>Suncoast</v>
      </c>
      <c r="B81" s="204"/>
      <c r="C81" s="220"/>
      <c r="D81" s="220"/>
      <c r="E81" s="221" t="e">
        <f>E79*O81</f>
        <v>#REF!</v>
      </c>
      <c r="F81" s="221" t="e">
        <f>ROUND(F79*AJ43,0)</f>
        <v>#REF!</v>
      </c>
      <c r="G81" s="220"/>
      <c r="H81" s="220"/>
      <c r="I81" s="325">
        <f>'Monthly Peaks'!$B$1546</f>
        <v>0</v>
      </c>
      <c r="J81" s="222"/>
      <c r="K81" s="220" t="e">
        <f>SUM(D81:I81)</f>
        <v>#REF!</v>
      </c>
      <c r="L81" s="223" t="e">
        <f>K81/B79</f>
        <v>#REF!</v>
      </c>
      <c r="M81" s="200"/>
      <c r="N81" s="224">
        <f>N77*N77/N73</f>
        <v>3218.396691439008</v>
      </c>
      <c r="O81" s="225">
        <f>N81/SUM(N80:N81)</f>
        <v>0.31452167704413531</v>
      </c>
    </row>
    <row r="82" spans="1:15">
      <c r="A82" s="204"/>
      <c r="B82" s="204"/>
      <c r="C82" s="220"/>
      <c r="D82" s="220"/>
      <c r="E82" s="221"/>
      <c r="F82" s="221"/>
      <c r="G82" s="220"/>
      <c r="H82" s="220"/>
      <c r="I82" s="325"/>
      <c r="J82" s="222"/>
      <c r="K82" s="220"/>
      <c r="L82" s="223"/>
      <c r="M82" s="200"/>
      <c r="N82" s="224"/>
      <c r="O82" s="225"/>
    </row>
    <row r="83" spans="1:15">
      <c r="A83" s="226">
        <f>A79+1</f>
        <v>2020</v>
      </c>
      <c r="B83" s="227">
        <f>'Monthly Peaks'!$B$27</f>
        <v>12353.5</v>
      </c>
      <c r="C83" s="227" t="e">
        <f>'Monthly Peaks'!#REF!</f>
        <v>#REF!</v>
      </c>
      <c r="D83" s="228" t="e">
        <f>'Monthly Peaks'!#REF!</f>
        <v>#REF!</v>
      </c>
      <c r="E83" s="228" t="e">
        <f>B83-C83-D83</f>
        <v>#REF!</v>
      </c>
      <c r="F83" s="228" t="e">
        <f>'Monthly Peaks'!#REF!+'Monthly Peaks'!$B$653</f>
        <v>#REF!</v>
      </c>
      <c r="G83" s="228">
        <f>'Monthly Peaks'!$B$1053+'Monthly Peaks'!$B$933+'Monthly Peaks'!$B$893</f>
        <v>600</v>
      </c>
      <c r="H83" s="228">
        <f>'Monthly Peaks'!$B$693+'Monthly Peaks'!$B$853+'Monthly Peaks'!$B$1013</f>
        <v>500</v>
      </c>
      <c r="I83" s="228" t="e">
        <f>C83-F83-G83-H83</f>
        <v>#REF!</v>
      </c>
      <c r="J83" s="229"/>
      <c r="K83" s="230"/>
      <c r="L83" s="230"/>
      <c r="M83" s="231"/>
      <c r="N83" s="232"/>
      <c r="O83" s="233"/>
    </row>
    <row r="84" spans="1:15">
      <c r="A84" s="204" t="str">
        <f>A80</f>
        <v>Other</v>
      </c>
      <c r="B84" s="204"/>
      <c r="C84" s="220"/>
      <c r="D84" s="221" t="e">
        <f>D83</f>
        <v>#REF!</v>
      </c>
      <c r="E84" s="221" t="e">
        <f>E83*O84</f>
        <v>#REF!</v>
      </c>
      <c r="F84" s="221" t="e">
        <f>F83-F85</f>
        <v>#REF!</v>
      </c>
      <c r="G84" s="221">
        <f>G83</f>
        <v>600</v>
      </c>
      <c r="H84" s="221">
        <f>H83</f>
        <v>500</v>
      </c>
      <c r="I84" s="221" t="e">
        <f>I83-I85</f>
        <v>#REF!</v>
      </c>
      <c r="J84" s="222"/>
      <c r="K84" s="220" t="e">
        <f>SUM(D84:I84)</f>
        <v>#REF!</v>
      </c>
      <c r="L84" s="223" t="e">
        <f>K84/B83</f>
        <v>#REF!</v>
      </c>
      <c r="M84" s="200"/>
      <c r="N84" s="224">
        <f>N80*N80/N76</f>
        <v>7154.8885814001624</v>
      </c>
      <c r="O84" s="225">
        <f>N84/SUM(N84:N85)</f>
        <v>0.68845939373935405</v>
      </c>
    </row>
    <row r="85" spans="1:15">
      <c r="A85" s="204" t="str">
        <f>A81</f>
        <v>Suncoast</v>
      </c>
      <c r="B85" s="204"/>
      <c r="C85" s="220"/>
      <c r="D85" s="220"/>
      <c r="E85" s="221" t="e">
        <f>E83*O85</f>
        <v>#REF!</v>
      </c>
      <c r="F85" s="221" t="e">
        <f>ROUND(F83*AJ47,0)</f>
        <v>#REF!</v>
      </c>
      <c r="G85" s="220"/>
      <c r="H85" s="220"/>
      <c r="I85" s="325">
        <f>'Monthly Peaks'!$B$1547</f>
        <v>0</v>
      </c>
      <c r="J85" s="222"/>
      <c r="K85" s="220" t="e">
        <f>SUM(D85:I85)</f>
        <v>#REF!</v>
      </c>
      <c r="L85" s="223" t="e">
        <f>K85/B83</f>
        <v>#REF!</v>
      </c>
      <c r="M85" s="200"/>
      <c r="N85" s="224">
        <f>N81*N81/N77</f>
        <v>3237.7193871519435</v>
      </c>
      <c r="O85" s="225">
        <f>N85/SUM(N84:N85)</f>
        <v>0.311540606260646</v>
      </c>
    </row>
    <row r="86" spans="1:15">
      <c r="A86" s="204"/>
      <c r="B86" s="204"/>
      <c r="C86" s="220"/>
      <c r="D86" s="220"/>
      <c r="E86" s="221"/>
      <c r="F86" s="221"/>
      <c r="G86" s="220"/>
      <c r="H86" s="220"/>
      <c r="I86" s="325"/>
      <c r="J86" s="222"/>
      <c r="K86" s="220"/>
      <c r="L86" s="223"/>
      <c r="M86" s="200"/>
      <c r="N86" s="224"/>
      <c r="O86" s="225"/>
    </row>
    <row r="87" spans="1:15">
      <c r="A87" s="226">
        <f>A83+1</f>
        <v>2021</v>
      </c>
      <c r="B87" s="227">
        <f>'Monthly Peaks'!$B$28</f>
        <v>12415.66</v>
      </c>
      <c r="C87" s="227" t="e">
        <f>'Monthly Peaks'!#REF!</f>
        <v>#REF!</v>
      </c>
      <c r="D87" s="228" t="e">
        <f>'Monthly Peaks'!#REF!</f>
        <v>#REF!</v>
      </c>
      <c r="E87" s="228" t="e">
        <f>B87-C87-D87</f>
        <v>#REF!</v>
      </c>
      <c r="F87" s="228" t="e">
        <f>'Monthly Peaks'!#REF!+'Monthly Peaks'!$B$654</f>
        <v>#REF!</v>
      </c>
      <c r="G87" s="228">
        <f>'Monthly Peaks'!$B$1054+'Monthly Peaks'!$B$934+'Monthly Peaks'!$B$894</f>
        <v>600</v>
      </c>
      <c r="H87" s="228">
        <f>'Monthly Peaks'!$B$694+'Monthly Peaks'!$B$854+'Monthly Peaks'!$B$1014</f>
        <v>500</v>
      </c>
      <c r="I87" s="228" t="e">
        <f>C87-F87-G87-H87</f>
        <v>#REF!</v>
      </c>
      <c r="J87" s="229"/>
      <c r="K87" s="230"/>
      <c r="L87" s="230"/>
      <c r="M87" s="231"/>
      <c r="N87" s="232"/>
      <c r="O87" s="233"/>
    </row>
    <row r="88" spans="1:15">
      <c r="A88" s="204" t="str">
        <f>A84</f>
        <v>Other</v>
      </c>
      <c r="B88" s="204"/>
      <c r="C88" s="220"/>
      <c r="D88" s="221" t="e">
        <f>D87</f>
        <v>#REF!</v>
      </c>
      <c r="E88" s="221" t="e">
        <f>E87*O88</f>
        <v>#REF!</v>
      </c>
      <c r="F88" s="221" t="e">
        <f>F87-F89</f>
        <v>#REF!</v>
      </c>
      <c r="G88" s="221">
        <f>G87</f>
        <v>600</v>
      </c>
      <c r="H88" s="221">
        <f>H87</f>
        <v>500</v>
      </c>
      <c r="I88" s="221" t="e">
        <f>I87-I89</f>
        <v>#REF!</v>
      </c>
      <c r="J88" s="222"/>
      <c r="K88" s="220" t="e">
        <f>SUM(D88:I88)</f>
        <v>#REF!</v>
      </c>
      <c r="L88" s="223" t="e">
        <f>K88/B87</f>
        <v>#REF!</v>
      </c>
      <c r="M88" s="200"/>
      <c r="N88" s="224">
        <f>N84*N84/N80</f>
        <v>7298.3222340882312</v>
      </c>
      <c r="O88" s="225">
        <f>N88/SUM(N88:N89)</f>
        <v>0.69142492884694318</v>
      </c>
    </row>
    <row r="89" spans="1:15">
      <c r="A89" s="204" t="str">
        <f>A85</f>
        <v>Suncoast</v>
      </c>
      <c r="B89" s="204"/>
      <c r="C89" s="220"/>
      <c r="D89" s="220"/>
      <c r="E89" s="221" t="e">
        <f>E87*O89</f>
        <v>#REF!</v>
      </c>
      <c r="F89" s="221" t="e">
        <f>ROUND(F87*AJ51,0)</f>
        <v>#REF!</v>
      </c>
      <c r="G89" s="220"/>
      <c r="H89" s="220"/>
      <c r="I89" s="325">
        <f>'Monthly Peaks'!$B$1548</f>
        <v>0</v>
      </c>
      <c r="J89" s="222"/>
      <c r="K89" s="220" t="e">
        <f>SUM(D89:I89)</f>
        <v>#REF!</v>
      </c>
      <c r="L89" s="223" t="e">
        <f>K89/B87</f>
        <v>#REF!</v>
      </c>
      <c r="M89" s="200"/>
      <c r="N89" s="224">
        <f>N85*N85/N81</f>
        <v>3257.1580929796696</v>
      </c>
      <c r="O89" s="225">
        <f>N89/SUM(N88:N89)</f>
        <v>0.30857507115305688</v>
      </c>
    </row>
    <row r="90" spans="1:15">
      <c r="A90" s="204"/>
      <c r="B90" s="204"/>
      <c r="C90" s="220"/>
      <c r="D90" s="220"/>
      <c r="E90" s="221"/>
      <c r="F90" s="221"/>
      <c r="G90" s="220"/>
      <c r="H90" s="220"/>
      <c r="I90" s="325"/>
      <c r="J90" s="222"/>
      <c r="K90" s="220"/>
      <c r="L90" s="223"/>
      <c r="M90" s="200"/>
      <c r="N90" s="224"/>
      <c r="O90" s="225"/>
    </row>
    <row r="91" spans="1:15">
      <c r="A91" s="226">
        <f>A87+1</f>
        <v>2022</v>
      </c>
      <c r="B91" s="227">
        <f>'Monthly Peaks'!$B$29</f>
        <v>12476.83</v>
      </c>
      <c r="C91" s="227" t="e">
        <f>'Monthly Peaks'!#REF!</f>
        <v>#REF!</v>
      </c>
      <c r="D91" s="228" t="e">
        <f>'Monthly Peaks'!#REF!</f>
        <v>#REF!</v>
      </c>
      <c r="E91" s="228" t="e">
        <f>B91-C91-D91</f>
        <v>#REF!</v>
      </c>
      <c r="F91" s="228" t="e">
        <f>'Monthly Peaks'!#REF!+'Monthly Peaks'!$B$655</f>
        <v>#REF!</v>
      </c>
      <c r="G91" s="228">
        <f>'Monthly Peaks'!$B$1055+'Monthly Peaks'!$B$935+'Monthly Peaks'!$B$895</f>
        <v>600</v>
      </c>
      <c r="H91" s="228">
        <f>'Monthly Peaks'!$B$695+'Monthly Peaks'!$B$855+'Monthly Peaks'!$B$1015</f>
        <v>500</v>
      </c>
      <c r="I91" s="228" t="e">
        <f>C91-F91-G91-H91</f>
        <v>#REF!</v>
      </c>
      <c r="J91" s="229"/>
      <c r="K91" s="230"/>
      <c r="L91" s="230"/>
      <c r="M91" s="231"/>
      <c r="N91" s="232"/>
      <c r="O91" s="233"/>
    </row>
    <row r="92" spans="1:15">
      <c r="A92" s="204" t="str">
        <f>A88</f>
        <v>Other</v>
      </c>
      <c r="B92" s="204"/>
      <c r="C92" s="220"/>
      <c r="D92" s="221" t="e">
        <f>D91</f>
        <v>#REF!</v>
      </c>
      <c r="E92" s="221" t="e">
        <f>E91*O92</f>
        <v>#REF!</v>
      </c>
      <c r="F92" s="221" t="e">
        <f>F91-F93</f>
        <v>#REF!</v>
      </c>
      <c r="G92" s="221">
        <f>G91</f>
        <v>600</v>
      </c>
      <c r="H92" s="221">
        <f>H91</f>
        <v>500</v>
      </c>
      <c r="I92" s="221" t="e">
        <f>I91-I93</f>
        <v>#REF!</v>
      </c>
      <c r="J92" s="222"/>
      <c r="K92" s="220" t="e">
        <f>SUM(D92:I92)</f>
        <v>#REF!</v>
      </c>
      <c r="L92" s="223" t="e">
        <f>K92/B91</f>
        <v>#REF!</v>
      </c>
      <c r="M92" s="200"/>
      <c r="N92" s="224">
        <f>N88*N88/N84</f>
        <v>7444.6312932189558</v>
      </c>
      <c r="O92" s="225">
        <f>N92/SUM(N92:N93)</f>
        <v>0.69437476669524778</v>
      </c>
    </row>
    <row r="93" spans="1:15">
      <c r="A93" s="204" t="str">
        <f>A89</f>
        <v>Suncoast</v>
      </c>
      <c r="B93" s="204"/>
      <c r="C93" s="220"/>
      <c r="D93" s="220"/>
      <c r="E93" s="221" t="e">
        <f>E91*O93</f>
        <v>#REF!</v>
      </c>
      <c r="F93" s="221" t="e">
        <f>ROUND(F91*AJ55,0)</f>
        <v>#REF!</v>
      </c>
      <c r="G93" s="220"/>
      <c r="H93" s="220"/>
      <c r="I93" s="325">
        <f>'Monthly Peaks'!$B$1549</f>
        <v>0</v>
      </c>
      <c r="J93" s="222"/>
      <c r="K93" s="220" t="e">
        <f>SUM(D93:I93)</f>
        <v>#REF!</v>
      </c>
      <c r="L93" s="223" t="e">
        <f>K93/B91</f>
        <v>#REF!</v>
      </c>
      <c r="M93" s="200"/>
      <c r="N93" s="224">
        <f>N89*N89/N85</f>
        <v>3276.713505426801</v>
      </c>
      <c r="O93" s="225">
        <f>N93/SUM(N92:N93)</f>
        <v>0.30562523330475216</v>
      </c>
    </row>
    <row r="94" spans="1:15">
      <c r="A94" s="204"/>
      <c r="B94" s="204"/>
      <c r="C94" s="220"/>
      <c r="D94" s="220"/>
      <c r="E94" s="221"/>
      <c r="F94" s="221"/>
      <c r="G94" s="220"/>
      <c r="H94" s="220"/>
      <c r="I94" s="325"/>
      <c r="J94" s="222"/>
      <c r="K94" s="220"/>
      <c r="L94" s="223"/>
      <c r="M94" s="200"/>
      <c r="N94" s="224"/>
      <c r="O94" s="225"/>
    </row>
    <row r="95" spans="1:15">
      <c r="A95" s="226">
        <f>A91+1</f>
        <v>2023</v>
      </c>
      <c r="B95" s="227">
        <f>'Monthly Peaks'!$B$30</f>
        <v>12538.99</v>
      </c>
      <c r="C95" s="227" t="e">
        <f>'Monthly Peaks'!#REF!</f>
        <v>#REF!</v>
      </c>
      <c r="D95" s="228" t="e">
        <f>'Monthly Peaks'!#REF!</f>
        <v>#REF!</v>
      </c>
      <c r="E95" s="228" t="e">
        <f>B95-C95-D95</f>
        <v>#REF!</v>
      </c>
      <c r="F95" s="228" t="e">
        <f>'Monthly Peaks'!#REF!+'Monthly Peaks'!$B$656</f>
        <v>#REF!</v>
      </c>
      <c r="G95" s="228">
        <f>'Monthly Peaks'!$B$1056+'Monthly Peaks'!$B$936+'Monthly Peaks'!$B$896</f>
        <v>600</v>
      </c>
      <c r="H95" s="228">
        <f>'Monthly Peaks'!$B$696+'Monthly Peaks'!$B$856+'Monthly Peaks'!$B$1016</f>
        <v>500</v>
      </c>
      <c r="I95" s="228" t="e">
        <f>C95-F95-G95-H95</f>
        <v>#REF!</v>
      </c>
      <c r="J95" s="229"/>
      <c r="K95" s="230"/>
      <c r="L95" s="230"/>
      <c r="M95" s="231"/>
      <c r="N95" s="232"/>
      <c r="O95" s="233"/>
    </row>
    <row r="96" spans="1:15">
      <c r="A96" s="204" t="str">
        <f>A92</f>
        <v>Other</v>
      </c>
      <c r="B96" s="204"/>
      <c r="C96" s="220"/>
      <c r="D96" s="221" t="e">
        <f>D95</f>
        <v>#REF!</v>
      </c>
      <c r="E96" s="221" t="e">
        <f>E95*O96</f>
        <v>#REF!</v>
      </c>
      <c r="F96" s="221" t="e">
        <f>F95-F97</f>
        <v>#REF!</v>
      </c>
      <c r="G96" s="221">
        <f>G95</f>
        <v>600</v>
      </c>
      <c r="H96" s="221">
        <f>H95</f>
        <v>500</v>
      </c>
      <c r="I96" s="221" t="e">
        <f>I95-I97</f>
        <v>#REF!</v>
      </c>
      <c r="J96" s="222"/>
      <c r="K96" s="220" t="e">
        <f>SUM(D96:I96)</f>
        <v>#REF!</v>
      </c>
      <c r="L96" s="223" t="e">
        <f>K96/B95</f>
        <v>#REF!</v>
      </c>
      <c r="M96" s="200"/>
      <c r="N96" s="224">
        <f>N92*N92/N88</f>
        <v>7593.8734019050617</v>
      </c>
      <c r="O96" s="225">
        <f>N96/SUM(N96:N97)</f>
        <v>0.69730875040736251</v>
      </c>
    </row>
    <row r="97" spans="1:15">
      <c r="A97" s="204" t="str">
        <f>A93</f>
        <v>Suncoast</v>
      </c>
      <c r="B97" s="204"/>
      <c r="C97" s="220"/>
      <c r="D97" s="220"/>
      <c r="E97" s="221" t="e">
        <f>E95*O97</f>
        <v>#REF!</v>
      </c>
      <c r="F97" s="221" t="e">
        <f>ROUND(F95*AJ59,0)</f>
        <v>#REF!</v>
      </c>
      <c r="G97" s="220"/>
      <c r="H97" s="220"/>
      <c r="I97" s="325">
        <f>'Monthly Peaks'!$B$1550</f>
        <v>0</v>
      </c>
      <c r="J97" s="222"/>
      <c r="K97" s="220" t="e">
        <f>SUM(D97:I97)</f>
        <v>#REF!</v>
      </c>
      <c r="L97" s="223" t="e">
        <f>K97/B95</f>
        <v>#REF!</v>
      </c>
      <c r="M97" s="200"/>
      <c r="N97" s="224">
        <f>N93*N93/N89</f>
        <v>3296.3863251796452</v>
      </c>
      <c r="O97" s="225">
        <f>N97/SUM(N96:N97)</f>
        <v>0.30269124959263749</v>
      </c>
    </row>
    <row r="98" spans="1:15">
      <c r="A98" s="204"/>
      <c r="B98" s="204"/>
      <c r="C98" s="220"/>
      <c r="D98" s="220"/>
      <c r="E98" s="221"/>
      <c r="F98" s="221"/>
      <c r="G98" s="220"/>
      <c r="H98" s="220"/>
      <c r="I98" s="325"/>
      <c r="J98" s="222"/>
      <c r="K98" s="220"/>
      <c r="L98" s="223"/>
      <c r="M98" s="200"/>
      <c r="N98" s="224"/>
      <c r="O98" s="225"/>
    </row>
    <row r="99" spans="1:15">
      <c r="A99" s="204"/>
      <c r="B99" s="204"/>
      <c r="C99" s="220"/>
      <c r="D99" s="220"/>
      <c r="E99" s="221"/>
      <c r="F99" s="221"/>
      <c r="G99" s="220"/>
      <c r="H99" s="220"/>
      <c r="I99" s="325"/>
      <c r="J99" s="222"/>
      <c r="K99" s="220"/>
      <c r="L99" s="223"/>
      <c r="M99" s="200"/>
      <c r="N99" s="224"/>
      <c r="O99" s="225"/>
    </row>
    <row r="100" spans="1:15">
      <c r="A100" s="204"/>
      <c r="B100" s="204"/>
      <c r="C100" s="220"/>
      <c r="D100" s="220"/>
      <c r="E100" s="221"/>
      <c r="F100" s="221"/>
      <c r="G100" s="220"/>
      <c r="H100" s="220"/>
      <c r="I100" s="325"/>
      <c r="J100" s="222"/>
      <c r="K100" s="220"/>
      <c r="L100" s="223"/>
      <c r="M100" s="200"/>
      <c r="N100" s="224"/>
      <c r="O100" s="225"/>
    </row>
    <row r="101" spans="1:15">
      <c r="A101" s="204"/>
      <c r="B101" s="204"/>
      <c r="C101" s="220"/>
      <c r="D101" s="220"/>
      <c r="E101" s="221"/>
      <c r="F101" s="221"/>
      <c r="G101" s="220"/>
      <c r="H101" s="220"/>
      <c r="I101" s="325"/>
      <c r="J101" s="222"/>
      <c r="K101" s="220"/>
      <c r="L101" s="223"/>
      <c r="M101" s="200"/>
      <c r="N101" s="224"/>
      <c r="O101" s="225"/>
    </row>
    <row r="102" spans="1:15">
      <c r="A102" s="204"/>
      <c r="B102" s="204"/>
      <c r="C102" s="220"/>
      <c r="D102" s="220"/>
      <c r="E102" s="221"/>
      <c r="F102" s="221"/>
      <c r="G102" s="220"/>
      <c r="H102" s="220"/>
      <c r="I102" s="325"/>
      <c r="J102" s="222"/>
      <c r="K102" s="220"/>
      <c r="L102" s="223"/>
      <c r="M102" s="200"/>
      <c r="N102" s="224"/>
      <c r="O102" s="225"/>
    </row>
    <row r="103" spans="1:15">
      <c r="A103" s="204"/>
      <c r="B103" s="204"/>
      <c r="C103" s="220"/>
      <c r="D103" s="220"/>
      <c r="E103" s="221"/>
      <c r="F103" s="221"/>
      <c r="G103" s="220"/>
      <c r="H103" s="220"/>
      <c r="I103" s="220"/>
      <c r="J103" s="222"/>
      <c r="K103" s="220"/>
      <c r="L103" s="223"/>
      <c r="M103" s="200"/>
      <c r="N103" s="224"/>
      <c r="O103" s="225"/>
    </row>
    <row r="104" spans="1:15">
      <c r="N104" s="234"/>
      <c r="O104" s="234"/>
    </row>
    <row r="105" spans="1:15" ht="13.5" thickBot="1">
      <c r="A105" s="979" t="s">
        <v>460</v>
      </c>
      <c r="B105" s="195"/>
      <c r="C105" s="195"/>
      <c r="D105" s="195"/>
      <c r="E105" s="195"/>
      <c r="F105" s="195"/>
      <c r="G105" s="195"/>
      <c r="H105" s="195"/>
      <c r="I105" s="195"/>
      <c r="J105" s="195"/>
      <c r="K105" s="196"/>
      <c r="L105" s="196"/>
      <c r="M105" s="195"/>
      <c r="N105" s="197"/>
      <c r="O105" s="197"/>
    </row>
    <row r="106" spans="1:15">
      <c r="B106" s="198"/>
      <c r="C106" s="198"/>
      <c r="D106" s="198"/>
      <c r="E106" s="198"/>
      <c r="F106" s="198"/>
      <c r="G106" s="198"/>
      <c r="H106" s="198"/>
      <c r="I106" s="198"/>
    </row>
    <row r="107" spans="1:15">
      <c r="B107" s="203" t="s">
        <v>21</v>
      </c>
      <c r="C107" s="198"/>
      <c r="D107" s="198"/>
      <c r="E107" s="203" t="s">
        <v>118</v>
      </c>
      <c r="F107" s="203"/>
      <c r="G107" s="198"/>
      <c r="H107" s="198"/>
      <c r="I107" s="198"/>
      <c r="K107" s="1674" t="s">
        <v>149</v>
      </c>
      <c r="L107" s="1673"/>
    </row>
    <row r="108" spans="1:15">
      <c r="B108" s="198" t="s">
        <v>152</v>
      </c>
      <c r="C108" s="203" t="s">
        <v>21</v>
      </c>
      <c r="D108" s="198"/>
      <c r="E108" s="198" t="s">
        <v>153</v>
      </c>
      <c r="F108" s="552" t="s">
        <v>154</v>
      </c>
      <c r="G108" s="1672" t="s">
        <v>154</v>
      </c>
      <c r="H108" s="1672"/>
      <c r="I108" s="203" t="s">
        <v>155</v>
      </c>
      <c r="J108" s="205"/>
      <c r="K108" s="1673" t="s">
        <v>156</v>
      </c>
      <c r="L108" s="1673"/>
      <c r="M108" s="198"/>
      <c r="N108" s="201" t="s">
        <v>157</v>
      </c>
    </row>
    <row r="109" spans="1:15">
      <c r="A109" s="206"/>
      <c r="B109" s="207" t="s">
        <v>161</v>
      </c>
      <c r="C109" s="206" t="s">
        <v>162</v>
      </c>
      <c r="D109" s="206" t="s">
        <v>66</v>
      </c>
      <c r="E109" s="206" t="s">
        <v>163</v>
      </c>
      <c r="F109" s="550" t="s">
        <v>291</v>
      </c>
      <c r="G109" s="550" t="s">
        <v>290</v>
      </c>
      <c r="H109" s="551" t="s">
        <v>324</v>
      </c>
      <c r="I109" s="206" t="s">
        <v>162</v>
      </c>
      <c r="J109" s="208"/>
      <c r="K109" s="1671" t="s">
        <v>161</v>
      </c>
      <c r="L109" s="1671"/>
      <c r="M109" s="209"/>
      <c r="N109" s="210" t="s">
        <v>164</v>
      </c>
      <c r="O109" s="210"/>
    </row>
    <row r="110" spans="1:15">
      <c r="B110" s="198"/>
      <c r="C110" s="211"/>
      <c r="D110" s="221"/>
      <c r="E110" s="221"/>
      <c r="F110" s="221"/>
      <c r="G110" s="221"/>
      <c r="H110" s="221"/>
      <c r="I110" s="221"/>
      <c r="J110" s="212"/>
      <c r="K110" s="204"/>
      <c r="L110" s="204"/>
      <c r="N110" s="224"/>
      <c r="O110" s="225"/>
    </row>
    <row r="111" spans="1:15">
      <c r="A111" s="226">
        <v>2001</v>
      </c>
      <c r="B111" s="227">
        <f>'Monthly Peaks'!$I$8</f>
        <v>9750.06</v>
      </c>
      <c r="C111" s="227" t="e">
        <f>'Monthly Peaks'!#REF!</f>
        <v>#REF!</v>
      </c>
      <c r="D111" s="228" t="e">
        <f>'Monthly Peaks'!#REF!</f>
        <v>#REF!</v>
      </c>
      <c r="E111" s="228" t="e">
        <f>B111-C111-D111</f>
        <v>#REF!</v>
      </c>
      <c r="F111" s="228" t="e">
        <f>'Monthly Peaks'!#REF!+'Monthly Peaks'!#REF!</f>
        <v>#REF!</v>
      </c>
      <c r="G111" s="228" t="e">
        <f>'Monthly Peaks'!#REF!+'Monthly Peaks'!#REF!+'Monthly Peaks'!#REF!</f>
        <v>#REF!</v>
      </c>
      <c r="H111" s="228" t="e">
        <f>'Monthly Peaks'!#REF!+'Monthly Peaks'!#REF!</f>
        <v>#REF!</v>
      </c>
      <c r="I111" s="228" t="e">
        <f>C111-F111-G111-H111</f>
        <v>#REF!</v>
      </c>
      <c r="J111" s="229"/>
      <c r="K111" s="230"/>
      <c r="L111" s="230"/>
      <c r="M111" s="231"/>
      <c r="N111" s="232"/>
      <c r="O111" s="233"/>
    </row>
    <row r="112" spans="1:15">
      <c r="A112" s="204" t="s">
        <v>155</v>
      </c>
      <c r="B112" s="204"/>
      <c r="C112" s="220"/>
      <c r="D112" s="221" t="e">
        <f>D111</f>
        <v>#REF!</v>
      </c>
      <c r="E112" s="221" t="e">
        <f>E111*O112</f>
        <v>#REF!</v>
      </c>
      <c r="F112" s="221" t="e">
        <f>F111-F113</f>
        <v>#REF!</v>
      </c>
      <c r="G112" s="221" t="e">
        <f>G111</f>
        <v>#REF!</v>
      </c>
      <c r="H112" s="221" t="e">
        <f>H111</f>
        <v>#REF!</v>
      </c>
      <c r="I112" s="221" t="e">
        <f>I111</f>
        <v>#REF!</v>
      </c>
      <c r="J112" s="222"/>
      <c r="K112" s="220" t="e">
        <f>SUM(D112:I112)</f>
        <v>#REF!</v>
      </c>
      <c r="L112" s="223" t="e">
        <f>K112/B111</f>
        <v>#REF!</v>
      </c>
      <c r="M112" s="200"/>
      <c r="N112" s="224">
        <f>[32]sheet1!$F$35</f>
        <v>4175.4394693200666</v>
      </c>
      <c r="O112" s="225">
        <f>N112/SUM(N112:N113)</f>
        <v>0.63204826013319659</v>
      </c>
    </row>
    <row r="113" spans="1:15">
      <c r="A113" s="204" t="s">
        <v>165</v>
      </c>
      <c r="B113" s="204"/>
      <c r="C113" s="220"/>
      <c r="D113" s="221"/>
      <c r="E113" s="221" t="e">
        <f>E111*O113</f>
        <v>#REF!</v>
      </c>
      <c r="F113" s="221" t="e">
        <f>ROUND(F111*AM6,0)</f>
        <v>#REF!</v>
      </c>
      <c r="G113" s="221"/>
      <c r="H113" s="221"/>
      <c r="I113" s="221"/>
      <c r="J113" s="222"/>
      <c r="K113" s="220" t="e">
        <f>SUM(D113:I113)</f>
        <v>#REF!</v>
      </c>
      <c r="L113" s="223" t="e">
        <f>K113/B111</f>
        <v>#REF!</v>
      </c>
      <c r="M113" s="200"/>
      <c r="N113" s="224">
        <f>[32]sheet1!$G$35</f>
        <v>2430.7640956421133</v>
      </c>
      <c r="O113" s="225">
        <f>N113/SUM(N112:N113)</f>
        <v>0.36795173986680341</v>
      </c>
    </row>
    <row r="114" spans="1:15">
      <c r="B114" s="198"/>
      <c r="C114" s="211"/>
      <c r="D114" s="221"/>
      <c r="E114" s="221"/>
      <c r="F114" s="221"/>
      <c r="G114" s="221"/>
      <c r="H114" s="221"/>
      <c r="I114" s="221"/>
      <c r="J114" s="212"/>
      <c r="K114" s="204"/>
      <c r="L114" s="204"/>
      <c r="N114" s="224"/>
      <c r="O114" s="225"/>
    </row>
    <row r="115" spans="1:15">
      <c r="A115" s="226">
        <v>2002</v>
      </c>
      <c r="B115" s="227">
        <f>'Monthly Peaks'!$I$9</f>
        <v>9865.23</v>
      </c>
      <c r="C115" s="227" t="e">
        <f>'Monthly Peaks'!#REF!</f>
        <v>#REF!</v>
      </c>
      <c r="D115" s="228" t="e">
        <f>'Monthly Peaks'!#REF!+'Monthly Peaks'!#REF!</f>
        <v>#REF!</v>
      </c>
      <c r="E115" s="228" t="e">
        <f>B115-C115-D115</f>
        <v>#REF!</v>
      </c>
      <c r="F115" s="228" t="e">
        <f>'Monthly Peaks'!#REF!+'Monthly Peaks'!#REF!</f>
        <v>#REF!</v>
      </c>
      <c r="G115" s="228" t="e">
        <f>'Monthly Peaks'!#REF!+'Monthly Peaks'!#REF!+'Monthly Peaks'!#REF!</f>
        <v>#REF!</v>
      </c>
      <c r="H115" s="228" t="e">
        <f>'Monthly Peaks'!#REF!+'Monthly Peaks'!#REF!</f>
        <v>#REF!</v>
      </c>
      <c r="I115" s="228" t="e">
        <f>C115-F115-G115-H115</f>
        <v>#REF!</v>
      </c>
      <c r="J115" s="229"/>
      <c r="K115" s="230"/>
      <c r="L115" s="230"/>
      <c r="M115" s="231"/>
      <c r="N115" s="232"/>
      <c r="O115" s="233"/>
    </row>
    <row r="116" spans="1:15">
      <c r="A116" s="204" t="str">
        <f>A112</f>
        <v>Other</v>
      </c>
      <c r="B116" s="204"/>
      <c r="C116" s="220"/>
      <c r="D116" s="221" t="e">
        <f>D115</f>
        <v>#REF!</v>
      </c>
      <c r="E116" s="221" t="e">
        <f>E115*O116</f>
        <v>#REF!</v>
      </c>
      <c r="F116" s="221" t="e">
        <f>F115-F117</f>
        <v>#REF!</v>
      </c>
      <c r="G116" s="221" t="e">
        <f>G115</f>
        <v>#REF!</v>
      </c>
      <c r="H116" s="221" t="e">
        <f>H115</f>
        <v>#REF!</v>
      </c>
      <c r="I116" s="221" t="e">
        <f>I115-I117</f>
        <v>#REF!</v>
      </c>
      <c r="J116" s="222"/>
      <c r="K116" s="220" t="e">
        <f>SUM(D116:I116)</f>
        <v>#REF!</v>
      </c>
      <c r="L116" s="223" t="e">
        <f>K116/B115</f>
        <v>#REF!</v>
      </c>
      <c r="M116" s="200"/>
      <c r="N116" s="224">
        <f>[32]sheet1!$F$36</f>
        <v>4270.5228855721389</v>
      </c>
      <c r="O116" s="225">
        <f>N116/SUM(N116:N117)</f>
        <v>0.63505899347979211</v>
      </c>
    </row>
    <row r="117" spans="1:15">
      <c r="A117" s="204" t="str">
        <f>A113</f>
        <v>Suncoast</v>
      </c>
      <c r="B117" s="204"/>
      <c r="C117" s="220"/>
      <c r="D117" s="221"/>
      <c r="E117" s="221" t="e">
        <f>E115*O117</f>
        <v>#REF!</v>
      </c>
      <c r="F117" s="221" t="e">
        <f>ROUND(F115*AM7,0)</f>
        <v>#REF!</v>
      </c>
      <c r="G117" s="221"/>
      <c r="H117" s="221"/>
      <c r="I117" s="325">
        <f>'Monthly Peaks'!$I$1529</f>
        <v>0</v>
      </c>
      <c r="J117" s="222"/>
      <c r="K117" s="220" t="e">
        <f>SUM(D117:I117)</f>
        <v>#REF!</v>
      </c>
      <c r="L117" s="223" t="e">
        <f>K117/B115</f>
        <v>#REF!</v>
      </c>
      <c r="M117" s="200"/>
      <c r="N117" s="224">
        <f>[32]sheet1!$G$36</f>
        <v>2454.0852680293096</v>
      </c>
      <c r="O117" s="225">
        <f>N117/SUM(N116:N117)</f>
        <v>0.36494100652020794</v>
      </c>
    </row>
    <row r="118" spans="1:15">
      <c r="B118" s="198"/>
      <c r="C118" s="211"/>
      <c r="D118" s="221"/>
      <c r="E118" s="221"/>
      <c r="F118" s="221"/>
      <c r="G118" s="221"/>
      <c r="H118" s="221"/>
      <c r="I118" s="221"/>
      <c r="J118" s="212"/>
      <c r="K118" s="204"/>
      <c r="L118" s="204"/>
      <c r="N118" s="224"/>
      <c r="O118" s="225"/>
    </row>
    <row r="119" spans="1:15">
      <c r="A119" s="226">
        <f>A115+1</f>
        <v>2003</v>
      </c>
      <c r="B119" s="227">
        <f>'Monthly Peaks'!$I$10</f>
        <v>10064.18</v>
      </c>
      <c r="C119" s="227" t="e">
        <f>'Monthly Peaks'!#REF!</f>
        <v>#REF!</v>
      </c>
      <c r="D119" s="228" t="e">
        <f>'Monthly Peaks'!#REF!</f>
        <v>#REF!</v>
      </c>
      <c r="E119" s="228" t="e">
        <f>B119-C119-D119</f>
        <v>#REF!</v>
      </c>
      <c r="F119" s="228" t="e">
        <f>'Monthly Peaks'!#REF!+'Monthly Peaks'!#REF!</f>
        <v>#REF!</v>
      </c>
      <c r="G119" s="228" t="e">
        <f>'Monthly Peaks'!#REF!+'Monthly Peaks'!#REF!+'Monthly Peaks'!#REF!</f>
        <v>#REF!</v>
      </c>
      <c r="H119" s="228" t="e">
        <f>'Monthly Peaks'!#REF!+'Monthly Peaks'!#REF!</f>
        <v>#REF!</v>
      </c>
      <c r="I119" s="228" t="e">
        <f>C119-F119-G119-H119</f>
        <v>#REF!</v>
      </c>
      <c r="J119" s="229"/>
      <c r="K119" s="230"/>
      <c r="L119" s="230"/>
      <c r="M119" s="231"/>
      <c r="N119" s="232"/>
      <c r="O119" s="233"/>
    </row>
    <row r="120" spans="1:15">
      <c r="A120" s="204" t="str">
        <f>A116</f>
        <v>Other</v>
      </c>
      <c r="B120" s="204"/>
      <c r="C120" s="220"/>
      <c r="D120" s="221" t="e">
        <f>D119</f>
        <v>#REF!</v>
      </c>
      <c r="E120" s="221" t="e">
        <f>E119*O120</f>
        <v>#REF!</v>
      </c>
      <c r="F120" s="221" t="e">
        <f>F119-F121</f>
        <v>#REF!</v>
      </c>
      <c r="G120" s="221" t="e">
        <f>G119</f>
        <v>#REF!</v>
      </c>
      <c r="H120" s="221" t="e">
        <f>H119</f>
        <v>#REF!</v>
      </c>
      <c r="I120" s="221" t="e">
        <f>I119-I121</f>
        <v>#REF!</v>
      </c>
      <c r="J120" s="222"/>
      <c r="K120" s="220" t="e">
        <f>SUM(D120:I120)</f>
        <v>#REF!</v>
      </c>
      <c r="L120" s="223" t="e">
        <f>K120/B119</f>
        <v>#REF!</v>
      </c>
      <c r="M120" s="200"/>
      <c r="N120" s="224">
        <f>[32]sheet1!$F$37</f>
        <v>4364.7489220563848</v>
      </c>
      <c r="O120" s="225">
        <f>N120/SUM(N120:N121)</f>
        <v>0.63807892057286253</v>
      </c>
    </row>
    <row r="121" spans="1:15">
      <c r="A121" s="204" t="str">
        <f>A117</f>
        <v>Suncoast</v>
      </c>
      <c r="B121" s="204"/>
      <c r="C121" s="220"/>
      <c r="D121" s="221"/>
      <c r="E121" s="221" t="e">
        <f>E119*O121</f>
        <v>#REF!</v>
      </c>
      <c r="F121" s="221" t="e">
        <f>ROUND(F119*AM8,0)</f>
        <v>#REF!</v>
      </c>
      <c r="G121" s="221"/>
      <c r="H121" s="221"/>
      <c r="I121" s="325">
        <f>'Monthly Peaks'!$I$1530</f>
        <v>0</v>
      </c>
      <c r="J121" s="222"/>
      <c r="K121" s="220" t="e">
        <f>SUM(D121:I121)</f>
        <v>#REF!</v>
      </c>
      <c r="L121" s="223" t="e">
        <f>K121/B119</f>
        <v>#REF!</v>
      </c>
      <c r="M121" s="200"/>
      <c r="N121" s="224">
        <f>[32]sheet1!$G$37</f>
        <v>2475.7041650597762</v>
      </c>
      <c r="O121" s="225">
        <f>N121/SUM(N120:N121)</f>
        <v>0.36192107942713753</v>
      </c>
    </row>
    <row r="122" spans="1:15">
      <c r="B122" s="198"/>
      <c r="C122" s="211"/>
      <c r="D122" s="221"/>
      <c r="E122" s="221"/>
      <c r="F122" s="221"/>
      <c r="G122" s="221"/>
      <c r="H122" s="221"/>
      <c r="I122" s="221"/>
      <c r="J122" s="212"/>
      <c r="K122" s="204"/>
      <c r="L122" s="204"/>
      <c r="N122" s="224"/>
      <c r="O122" s="225"/>
    </row>
    <row r="123" spans="1:15">
      <c r="A123" s="226">
        <f>A119+1</f>
        <v>2004</v>
      </c>
      <c r="B123" s="227">
        <f>'Monthly Peaks'!$I$11</f>
        <v>10213.219999999999</v>
      </c>
      <c r="C123" s="227" t="e">
        <f>'Monthly Peaks'!#REF!</f>
        <v>#REF!</v>
      </c>
      <c r="D123" s="228" t="e">
        <f>'Monthly Peaks'!#REF!</f>
        <v>#REF!</v>
      </c>
      <c r="E123" s="228" t="e">
        <f>B123-C123-D123</f>
        <v>#REF!</v>
      </c>
      <c r="F123" s="228" t="e">
        <f>'Monthly Peaks'!#REF!+'Monthly Peaks'!#REF!</f>
        <v>#REF!</v>
      </c>
      <c r="G123" s="228" t="e">
        <f>'Monthly Peaks'!#REF!+'Monthly Peaks'!#REF!+'Monthly Peaks'!#REF!</f>
        <v>#REF!</v>
      </c>
      <c r="H123" s="228" t="e">
        <f>'Monthly Peaks'!#REF!+'Monthly Peaks'!#REF!</f>
        <v>#REF!</v>
      </c>
      <c r="I123" s="228" t="e">
        <f>C123-F123-G123-H123</f>
        <v>#REF!</v>
      </c>
      <c r="J123" s="229"/>
      <c r="K123" s="230"/>
      <c r="L123" s="230"/>
      <c r="M123" s="231"/>
      <c r="N123" s="232"/>
      <c r="O123" s="233"/>
    </row>
    <row r="124" spans="1:15">
      <c r="A124" s="204" t="str">
        <f>A120</f>
        <v>Other</v>
      </c>
      <c r="B124" s="204"/>
      <c r="C124" s="220"/>
      <c r="D124" s="221" t="e">
        <f>D123</f>
        <v>#REF!</v>
      </c>
      <c r="E124" s="221" t="e">
        <f>E123*O124</f>
        <v>#REF!</v>
      </c>
      <c r="F124" s="221" t="e">
        <f>F123-F125</f>
        <v>#REF!</v>
      </c>
      <c r="G124" s="221" t="e">
        <f>G123</f>
        <v>#REF!</v>
      </c>
      <c r="H124" s="221" t="e">
        <f>H123</f>
        <v>#REF!</v>
      </c>
      <c r="I124" s="221" t="e">
        <f>I123-I125</f>
        <v>#REF!</v>
      </c>
      <c r="J124" s="222"/>
      <c r="K124" s="220" t="e">
        <f>SUM(D124:I124)</f>
        <v>#REF!</v>
      </c>
      <c r="L124" s="223" t="e">
        <f>K124/B123</f>
        <v>#REF!</v>
      </c>
      <c r="M124" s="200"/>
      <c r="N124" s="224">
        <f>[32]sheet1!$F$38</f>
        <v>4457.9461028192372</v>
      </c>
      <c r="O124" s="225">
        <f>N124/SUM(N124:N125)</f>
        <v>0.64110991393459449</v>
      </c>
    </row>
    <row r="125" spans="1:15">
      <c r="A125" s="204" t="str">
        <f>A121</f>
        <v>Suncoast</v>
      </c>
      <c r="B125" s="204"/>
      <c r="C125" s="220"/>
      <c r="D125" s="221"/>
      <c r="E125" s="221" t="e">
        <f>E123*O125</f>
        <v>#REF!</v>
      </c>
      <c r="F125" s="221" t="e">
        <f>ROUND(F123*AM9,0)</f>
        <v>#REF!</v>
      </c>
      <c r="G125" s="221"/>
      <c r="H125" s="221"/>
      <c r="I125" s="325">
        <f>'Monthly Peaks'!$I$1531</f>
        <v>0</v>
      </c>
      <c r="J125" s="222"/>
      <c r="K125" s="220" t="e">
        <f>SUM(D125:I125)</f>
        <v>#REF!</v>
      </c>
      <c r="L125" s="223" t="e">
        <f>K125/B123</f>
        <v>#REF!</v>
      </c>
      <c r="M125" s="200"/>
      <c r="N125" s="224">
        <f>[32]sheet1!$G$38</f>
        <v>2495.5356729656769</v>
      </c>
      <c r="O125" s="225">
        <f>N125/SUM(N124:N125)</f>
        <v>0.35889008606540557</v>
      </c>
    </row>
    <row r="126" spans="1:15">
      <c r="B126" s="198"/>
      <c r="C126" s="211"/>
      <c r="D126" s="221"/>
      <c r="E126" s="221"/>
      <c r="F126" s="221"/>
      <c r="G126" s="221"/>
      <c r="H126" s="221"/>
      <c r="I126" s="221"/>
      <c r="J126" s="212"/>
      <c r="K126" s="204"/>
      <c r="L126" s="204"/>
      <c r="N126" s="224"/>
      <c r="O126" s="225"/>
    </row>
    <row r="127" spans="1:15">
      <c r="A127" s="226">
        <f>A123+1</f>
        <v>2005</v>
      </c>
      <c r="B127" s="227">
        <f>'Monthly Peaks'!$I$12</f>
        <v>10643.27</v>
      </c>
      <c r="C127" s="227" t="e">
        <f>'Monthly Peaks'!#REF!</f>
        <v>#REF!</v>
      </c>
      <c r="D127" s="228" t="e">
        <f>'Monthly Peaks'!#REF!</f>
        <v>#REF!</v>
      </c>
      <c r="E127" s="228" t="e">
        <f>B127-C127-D127</f>
        <v>#REF!</v>
      </c>
      <c r="F127" s="228" t="e">
        <f>'Monthly Peaks'!#REF!+'Monthly Peaks'!#REF!</f>
        <v>#REF!</v>
      </c>
      <c r="G127" s="228" t="e">
        <f>'Monthly Peaks'!#REF!+'Monthly Peaks'!#REF!+'Monthly Peaks'!#REF!</f>
        <v>#REF!</v>
      </c>
      <c r="H127" s="228" t="e">
        <f>'Monthly Peaks'!#REF!+'Monthly Peaks'!#REF!</f>
        <v>#REF!</v>
      </c>
      <c r="I127" s="228" t="e">
        <f>C127-F127-G127-H127</f>
        <v>#REF!</v>
      </c>
      <c r="J127" s="229"/>
      <c r="K127" s="230"/>
      <c r="L127" s="230"/>
      <c r="M127" s="231"/>
      <c r="N127" s="232"/>
      <c r="O127" s="233"/>
    </row>
    <row r="128" spans="1:15">
      <c r="A128" s="204" t="str">
        <f>A124</f>
        <v>Other</v>
      </c>
      <c r="B128" s="204"/>
      <c r="C128" s="220"/>
      <c r="D128" s="221" t="e">
        <f>D127</f>
        <v>#REF!</v>
      </c>
      <c r="E128" s="221" t="e">
        <f>E127*O128</f>
        <v>#REF!</v>
      </c>
      <c r="F128" s="221" t="e">
        <f>F127-F129</f>
        <v>#REF!</v>
      </c>
      <c r="G128" s="221" t="e">
        <f>G127</f>
        <v>#REF!</v>
      </c>
      <c r="H128" s="221" t="e">
        <f>H127</f>
        <v>#REF!</v>
      </c>
      <c r="I128" s="221" t="e">
        <f>I127-I129</f>
        <v>#REF!</v>
      </c>
      <c r="J128" s="222"/>
      <c r="K128" s="220" t="e">
        <f>SUM(D128:I128)</f>
        <v>#REF!</v>
      </c>
      <c r="L128" s="223" t="e">
        <f>K128/B127</f>
        <v>#REF!</v>
      </c>
      <c r="M128" s="200"/>
      <c r="N128" s="224">
        <f>[32]sheet1!$F$39</f>
        <v>4550.3716417910446</v>
      </c>
      <c r="O128" s="225">
        <f>N128/SUM(N128:N129)</f>
        <v>0.64416026323171871</v>
      </c>
    </row>
    <row r="129" spans="1:15">
      <c r="A129" s="204" t="str">
        <f>A125</f>
        <v>Suncoast</v>
      </c>
      <c r="B129" s="204"/>
      <c r="C129" s="220"/>
      <c r="D129" s="220"/>
      <c r="E129" s="221" t="e">
        <f>E127*O129</f>
        <v>#REF!</v>
      </c>
      <c r="F129" s="221" t="e">
        <f>ROUND(F127*AM10,0)</f>
        <v>#REF!</v>
      </c>
      <c r="G129" s="220"/>
      <c r="H129" s="220"/>
      <c r="I129" s="325">
        <f>'Monthly Peaks'!$I$1532</f>
        <v>0</v>
      </c>
      <c r="J129" s="222"/>
      <c r="K129" s="220" t="e">
        <f>SUM(D129:I129)</f>
        <v>#REF!</v>
      </c>
      <c r="L129" s="223" t="e">
        <f>K129/B127</f>
        <v>#REF!</v>
      </c>
      <c r="M129" s="200"/>
      <c r="N129" s="224">
        <f>[32]sheet1!$G$39</f>
        <v>2513.6649055148478</v>
      </c>
      <c r="O129" s="225">
        <f>N129/SUM(N128:N129)</f>
        <v>0.35583973676828135</v>
      </c>
    </row>
    <row r="130" spans="1:15">
      <c r="B130" s="204"/>
      <c r="C130" s="220"/>
      <c r="D130" s="220"/>
      <c r="F130" s="221"/>
      <c r="G130" s="220"/>
      <c r="H130" s="220"/>
      <c r="I130" s="220"/>
    </row>
    <row r="131" spans="1:15">
      <c r="A131" s="226">
        <f>A127+1</f>
        <v>2006</v>
      </c>
      <c r="B131" s="227">
        <f>'Monthly Peaks'!$I$13</f>
        <v>10796.41</v>
      </c>
      <c r="C131" s="227" t="e">
        <f>'Monthly Peaks'!#REF!</f>
        <v>#REF!</v>
      </c>
      <c r="D131" s="228" t="e">
        <f>'Monthly Peaks'!#REF!</f>
        <v>#REF!</v>
      </c>
      <c r="E131" s="228" t="e">
        <f>B131-C131-D131</f>
        <v>#REF!</v>
      </c>
      <c r="F131" s="228" t="e">
        <f>'Monthly Peaks'!#REF!+'Monthly Peaks'!#REF!</f>
        <v>#REF!</v>
      </c>
      <c r="G131" s="228" t="e">
        <f>'Monthly Peaks'!#REF!+'Monthly Peaks'!#REF!+'Monthly Peaks'!#REF!</f>
        <v>#REF!</v>
      </c>
      <c r="H131" s="228" t="e">
        <f>'Monthly Peaks'!#REF!+'Monthly Peaks'!#REF!</f>
        <v>#REF!</v>
      </c>
      <c r="I131" s="228" t="e">
        <f>C131-F131-G131-H131</f>
        <v>#REF!</v>
      </c>
      <c r="J131" s="229"/>
      <c r="K131" s="230"/>
      <c r="L131" s="230"/>
      <c r="M131" s="231"/>
      <c r="N131" s="232"/>
      <c r="O131" s="233"/>
    </row>
    <row r="132" spans="1:15">
      <c r="A132" s="204" t="str">
        <f>A128</f>
        <v>Other</v>
      </c>
      <c r="B132" s="204"/>
      <c r="C132" s="220"/>
      <c r="D132" s="221" t="e">
        <f>D131</f>
        <v>#REF!</v>
      </c>
      <c r="E132" s="221" t="e">
        <f>E131*O132</f>
        <v>#REF!</v>
      </c>
      <c r="F132" s="221" t="e">
        <f>F131-F133</f>
        <v>#REF!</v>
      </c>
      <c r="G132" s="221" t="e">
        <f>G131</f>
        <v>#REF!</v>
      </c>
      <c r="H132" s="221" t="e">
        <f>H131</f>
        <v>#REF!</v>
      </c>
      <c r="I132" s="221" t="e">
        <f>I131-I133</f>
        <v>#REF!</v>
      </c>
      <c r="J132" s="222"/>
      <c r="K132" s="220" t="e">
        <f>SUM(D132:I132)</f>
        <v>#REF!</v>
      </c>
      <c r="L132" s="223" t="e">
        <f>K132/B131</f>
        <v>#REF!</v>
      </c>
      <c r="M132" s="200"/>
      <c r="N132" s="224">
        <f>[32]sheet1!$F$40</f>
        <v>4643.0543946932003</v>
      </c>
      <c r="O132" s="225">
        <f>N132/SUM(N132:N133)</f>
        <v>0.64722906955508497</v>
      </c>
    </row>
    <row r="133" spans="1:15">
      <c r="A133" s="204" t="str">
        <f>A129</f>
        <v>Suncoast</v>
      </c>
      <c r="B133" s="204"/>
      <c r="C133" s="220"/>
      <c r="D133" s="220"/>
      <c r="E133" s="221" t="e">
        <f>E131*O133</f>
        <v>#REF!</v>
      </c>
      <c r="F133" s="221" t="e">
        <f>ROUND(F131*AM11,0)</f>
        <v>#REF!</v>
      </c>
      <c r="G133" s="220"/>
      <c r="H133" s="220"/>
      <c r="I133" s="325">
        <f>'Monthly Peaks'!$I$1533</f>
        <v>0</v>
      </c>
      <c r="J133" s="222"/>
      <c r="K133" s="220" t="e">
        <f>SUM(D133:I133)</f>
        <v>#REF!</v>
      </c>
      <c r="L133" s="223" t="e">
        <f>K133/B131</f>
        <v>#REF!</v>
      </c>
      <c r="M133" s="200"/>
      <c r="N133" s="224">
        <f>[32]sheet1!$G$40</f>
        <v>2530.6876590821444</v>
      </c>
      <c r="O133" s="225">
        <f>N133/SUM(N132:N133)</f>
        <v>0.35277093044491509</v>
      </c>
    </row>
    <row r="134" spans="1:15">
      <c r="B134" s="204"/>
      <c r="C134" s="220"/>
      <c r="D134" s="220"/>
      <c r="F134" s="221"/>
      <c r="G134" s="220"/>
      <c r="H134" s="220"/>
      <c r="I134" s="220"/>
    </row>
    <row r="135" spans="1:15">
      <c r="A135" s="226">
        <f>A131+1</f>
        <v>2007</v>
      </c>
      <c r="B135" s="227">
        <f>'Monthly Peaks'!$I$14</f>
        <v>10823.45</v>
      </c>
      <c r="C135" s="227" t="e">
        <f>'Monthly Peaks'!#REF!</f>
        <v>#REF!</v>
      </c>
      <c r="D135" s="228" t="e">
        <f>'Monthly Peaks'!#REF!</f>
        <v>#REF!</v>
      </c>
      <c r="E135" s="228" t="e">
        <f>B135-C135-D135</f>
        <v>#REF!</v>
      </c>
      <c r="F135" s="228" t="e">
        <f>'Monthly Peaks'!#REF!+'Monthly Peaks'!#REF!</f>
        <v>#REF!</v>
      </c>
      <c r="G135" s="228" t="e">
        <f>'Monthly Peaks'!#REF!+'Monthly Peaks'!#REF!+'Monthly Peaks'!#REF!</f>
        <v>#REF!</v>
      </c>
      <c r="H135" s="228" t="e">
        <f>'Monthly Peaks'!#REF!+'Monthly Peaks'!#REF!</f>
        <v>#REF!</v>
      </c>
      <c r="I135" s="228" t="e">
        <f>C135-F135-G135-H135</f>
        <v>#REF!</v>
      </c>
      <c r="J135" s="229"/>
      <c r="K135" s="230"/>
      <c r="L135" s="230"/>
      <c r="M135" s="231"/>
      <c r="N135" s="232"/>
      <c r="O135" s="233"/>
    </row>
    <row r="136" spans="1:15">
      <c r="A136" s="204" t="str">
        <f>A132</f>
        <v>Other</v>
      </c>
      <c r="B136" s="204"/>
      <c r="C136" s="220"/>
      <c r="D136" s="221" t="e">
        <f>D135</f>
        <v>#REF!</v>
      </c>
      <c r="E136" s="221" t="e">
        <f>E135*O136</f>
        <v>#REF!</v>
      </c>
      <c r="F136" s="221" t="e">
        <f>F135-F137</f>
        <v>#REF!</v>
      </c>
      <c r="G136" s="221" t="e">
        <f>G135</f>
        <v>#REF!</v>
      </c>
      <c r="H136" s="221" t="e">
        <f>H135</f>
        <v>#REF!</v>
      </c>
      <c r="I136" s="221" t="e">
        <f>I135-I137</f>
        <v>#REF!</v>
      </c>
      <c r="J136" s="222"/>
      <c r="K136" s="220" t="e">
        <f>SUM(D136:I136)</f>
        <v>#REF!</v>
      </c>
      <c r="L136" s="223" t="e">
        <f>K136/B135</f>
        <v>#REF!</v>
      </c>
      <c r="M136" s="200"/>
      <c r="N136" s="224">
        <f>[32]sheet1!$F$41</f>
        <v>4737.6233830845767</v>
      </c>
      <c r="O136" s="225">
        <f>N136/SUM(N136:N137)</f>
        <v>0.65030359153175299</v>
      </c>
    </row>
    <row r="137" spans="1:15">
      <c r="A137" s="204" t="str">
        <f>A133</f>
        <v>Suncoast</v>
      </c>
      <c r="B137" s="204"/>
      <c r="C137" s="220"/>
      <c r="D137" s="220"/>
      <c r="E137" s="221" t="e">
        <f>E135*O137</f>
        <v>#REF!</v>
      </c>
      <c r="F137" s="221" t="e">
        <f>ROUND(F135*AM12,0)</f>
        <v>#REF!</v>
      </c>
      <c r="G137" s="220"/>
      <c r="H137" s="220"/>
      <c r="I137" s="325">
        <f>'Monthly Peaks'!$I$1534</f>
        <v>0</v>
      </c>
      <c r="J137" s="222"/>
      <c r="K137" s="220" t="e">
        <f>SUM(D137:I137)</f>
        <v>#REF!</v>
      </c>
      <c r="L137" s="223" t="e">
        <f>K137/B135</f>
        <v>#REF!</v>
      </c>
      <c r="M137" s="200"/>
      <c r="N137" s="224">
        <f>[32]sheet1!$G$41</f>
        <v>2547.6252988816041</v>
      </c>
      <c r="O137" s="225">
        <f>N137/SUM(N136:N137)</f>
        <v>0.34969640846824707</v>
      </c>
    </row>
    <row r="138" spans="1:15">
      <c r="B138" s="204"/>
      <c r="C138" s="220"/>
      <c r="D138" s="220"/>
      <c r="F138" s="221"/>
      <c r="G138" s="220"/>
      <c r="H138" s="220"/>
      <c r="I138" s="220"/>
    </row>
    <row r="139" spans="1:15">
      <c r="A139" s="226">
        <f>A135+1</f>
        <v>2008</v>
      </c>
      <c r="B139" s="227">
        <f>'Monthly Peaks'!$I$15</f>
        <v>10947.59</v>
      </c>
      <c r="C139" s="227" t="e">
        <f>'Monthly Peaks'!#REF!</f>
        <v>#REF!</v>
      </c>
      <c r="D139" s="228" t="e">
        <f>'Monthly Peaks'!#REF!</f>
        <v>#REF!</v>
      </c>
      <c r="E139" s="228" t="e">
        <f>B139-C139-D139</f>
        <v>#REF!</v>
      </c>
      <c r="F139" s="228" t="e">
        <f>'Monthly Peaks'!#REF!+'Monthly Peaks'!#REF!</f>
        <v>#REF!</v>
      </c>
      <c r="G139" s="228" t="e">
        <f>'Monthly Peaks'!#REF!+'Monthly Peaks'!#REF!+'Monthly Peaks'!#REF!</f>
        <v>#REF!</v>
      </c>
      <c r="H139" s="228" t="e">
        <f>'Monthly Peaks'!#REF!+'Monthly Peaks'!#REF!</f>
        <v>#REF!</v>
      </c>
      <c r="I139" s="228" t="e">
        <f>C139-F139-G139-H139</f>
        <v>#REF!</v>
      </c>
      <c r="J139" s="229"/>
      <c r="K139" s="230"/>
      <c r="L139" s="230"/>
      <c r="M139" s="231"/>
      <c r="N139" s="232"/>
      <c r="O139" s="233"/>
    </row>
    <row r="140" spans="1:15">
      <c r="A140" s="204" t="str">
        <f>A136</f>
        <v>Other</v>
      </c>
      <c r="B140" s="204"/>
      <c r="C140" s="220"/>
      <c r="D140" s="221" t="e">
        <f>D139</f>
        <v>#REF!</v>
      </c>
      <c r="E140" s="221" t="e">
        <f>E139*O140</f>
        <v>#REF!</v>
      </c>
      <c r="F140" s="221" t="e">
        <f>F139-F141</f>
        <v>#REF!</v>
      </c>
      <c r="G140" s="221" t="e">
        <f>G139</f>
        <v>#REF!</v>
      </c>
      <c r="H140" s="221" t="e">
        <f>H139</f>
        <v>#REF!</v>
      </c>
      <c r="I140" s="221" t="e">
        <f>I139-I141</f>
        <v>#REF!</v>
      </c>
      <c r="J140" s="222"/>
      <c r="K140" s="220" t="e">
        <f>SUM(D140:I140)</f>
        <v>#REF!</v>
      </c>
      <c r="L140" s="223" t="e">
        <f>K140/B139</f>
        <v>#REF!</v>
      </c>
      <c r="M140" s="200"/>
      <c r="N140" s="224">
        <f>[32]sheet1!$F$42</f>
        <v>4833.7356550580434</v>
      </c>
      <c r="O140" s="225">
        <f>N140/SUM(N140:N141)</f>
        <v>0.65339532576303327</v>
      </c>
    </row>
    <row r="141" spans="1:15">
      <c r="A141" s="204" t="str">
        <f>A137</f>
        <v>Suncoast</v>
      </c>
      <c r="B141" s="204"/>
      <c r="C141" s="220"/>
      <c r="D141" s="220"/>
      <c r="E141" s="221" t="e">
        <f>E139*O141</f>
        <v>#REF!</v>
      </c>
      <c r="F141" s="221" t="e">
        <f>ROUND(F139*AM13,0)</f>
        <v>#REF!</v>
      </c>
      <c r="G141" s="220"/>
      <c r="H141" s="220"/>
      <c r="I141" s="325">
        <f>'Monthly Peaks'!$I$1535</f>
        <v>0</v>
      </c>
      <c r="J141" s="222"/>
      <c r="K141" s="220" t="e">
        <f>SUM(D141:I141)</f>
        <v>#REF!</v>
      </c>
      <c r="L141" s="223" t="e">
        <f>K141/B139</f>
        <v>#REF!</v>
      </c>
      <c r="M141" s="200"/>
      <c r="N141" s="224">
        <f>[32]sheet1!$G$42</f>
        <v>2564.137369841882</v>
      </c>
      <c r="O141" s="225">
        <f>N141/SUM(N140:N141)</f>
        <v>0.34660467423696667</v>
      </c>
    </row>
    <row r="142" spans="1:15">
      <c r="B142" s="204"/>
      <c r="C142" s="220"/>
      <c r="D142" s="220"/>
      <c r="F142" s="221"/>
      <c r="G142" s="220"/>
      <c r="H142" s="220"/>
      <c r="I142" s="220"/>
    </row>
    <row r="143" spans="1:15">
      <c r="A143" s="226">
        <f>A139+1</f>
        <v>2009</v>
      </c>
      <c r="B143" s="227">
        <f>'Monthly Peaks'!$I$16</f>
        <v>11062.73</v>
      </c>
      <c r="C143" s="227" t="e">
        <f>'Monthly Peaks'!#REF!</f>
        <v>#REF!</v>
      </c>
      <c r="D143" s="228" t="e">
        <f>'Monthly Peaks'!#REF!</f>
        <v>#REF!</v>
      </c>
      <c r="E143" s="228" t="e">
        <f>B143-C143-D143</f>
        <v>#REF!</v>
      </c>
      <c r="F143" s="228" t="e">
        <f>'Monthly Peaks'!#REF!+'Monthly Peaks'!#REF!</f>
        <v>#REF!</v>
      </c>
      <c r="G143" s="228" t="e">
        <f>'Monthly Peaks'!#REF!+'Monthly Peaks'!#REF!+'Monthly Peaks'!#REF!</f>
        <v>#REF!</v>
      </c>
      <c r="H143" s="228" t="e">
        <f>'Monthly Peaks'!#REF!+'Monthly Peaks'!#REF!</f>
        <v>#REF!</v>
      </c>
      <c r="I143" s="228" t="e">
        <f>C143-F143-G143-H143</f>
        <v>#REF!</v>
      </c>
      <c r="J143" s="229"/>
      <c r="K143" s="230"/>
      <c r="L143" s="230"/>
      <c r="M143" s="231"/>
      <c r="N143" s="232"/>
      <c r="O143" s="233"/>
    </row>
    <row r="144" spans="1:15">
      <c r="A144" s="204" t="str">
        <f>A140</f>
        <v>Other</v>
      </c>
      <c r="B144" s="204"/>
      <c r="C144" s="220"/>
      <c r="D144" s="221" t="e">
        <f>D143</f>
        <v>#REF!</v>
      </c>
      <c r="E144" s="221" t="e">
        <f>E143*O144</f>
        <v>#REF!</v>
      </c>
      <c r="F144" s="221" t="e">
        <f>F143-F145</f>
        <v>#REF!</v>
      </c>
      <c r="G144" s="221" t="e">
        <f>G143</f>
        <v>#REF!</v>
      </c>
      <c r="H144" s="221" t="e">
        <f>H143</f>
        <v>#REF!</v>
      </c>
      <c r="I144" s="221" t="e">
        <f>I143-I145</f>
        <v>#REF!</v>
      </c>
      <c r="J144" s="222"/>
      <c r="K144" s="220" t="e">
        <f>SUM(D144:I144)</f>
        <v>#REF!</v>
      </c>
      <c r="L144" s="223" t="e">
        <f>K144/B143</f>
        <v>#REF!</v>
      </c>
      <c r="M144" s="200"/>
      <c r="N144" s="224">
        <f>[32]sheet1!$F$43</f>
        <v>4931.2197346600333</v>
      </c>
      <c r="O144" s="225">
        <f>N144/SUM(N144:N145)</f>
        <v>0.65650171528234524</v>
      </c>
    </row>
    <row r="145" spans="1:15">
      <c r="A145" s="204" t="str">
        <f>A141</f>
        <v>Suncoast</v>
      </c>
      <c r="B145" s="204"/>
      <c r="C145" s="220"/>
      <c r="D145" s="220"/>
      <c r="E145" s="221" t="e">
        <f>E143*O145</f>
        <v>#REF!</v>
      </c>
      <c r="F145" s="221" t="e">
        <f>ROUND(F143*AM14,0)</f>
        <v>#REF!</v>
      </c>
      <c r="G145" s="220"/>
      <c r="H145" s="220"/>
      <c r="I145" s="325">
        <f>'Monthly Peaks'!$I$1536</f>
        <v>0</v>
      </c>
      <c r="J145" s="222"/>
      <c r="K145" s="220" t="e">
        <f>SUM(D145:I145)</f>
        <v>#REF!</v>
      </c>
      <c r="L145" s="223" t="e">
        <f>K145/B143</f>
        <v>#REF!</v>
      </c>
      <c r="M145" s="200"/>
      <c r="N145" s="224">
        <f>[32]sheet1!$G$43</f>
        <v>2580.1387581951408</v>
      </c>
      <c r="O145" s="225">
        <f>N145/SUM(N144:N145)</f>
        <v>0.34349828471765481</v>
      </c>
    </row>
    <row r="146" spans="1:15">
      <c r="B146" s="204"/>
      <c r="C146" s="220"/>
      <c r="D146" s="220"/>
      <c r="F146" s="221"/>
      <c r="G146" s="220"/>
      <c r="H146" s="220"/>
      <c r="I146" s="220"/>
    </row>
    <row r="147" spans="1:15">
      <c r="A147" s="226">
        <f>A143+1</f>
        <v>2010</v>
      </c>
      <c r="B147" s="227">
        <f>'Monthly Peaks'!$I$17</f>
        <v>11174.86</v>
      </c>
      <c r="C147" s="227" t="e">
        <f>'Monthly Peaks'!#REF!</f>
        <v>#REF!</v>
      </c>
      <c r="D147" s="228" t="e">
        <f>'Monthly Peaks'!#REF!</f>
        <v>#REF!</v>
      </c>
      <c r="E147" s="228" t="e">
        <f>B147-C147-D147</f>
        <v>#REF!</v>
      </c>
      <c r="F147" s="228" t="e">
        <f>'Monthly Peaks'!#REF!+'Monthly Peaks'!$I$643</f>
        <v>#REF!</v>
      </c>
      <c r="G147" s="228">
        <f>'Monthly Peaks'!$I$1043+'Monthly Peaks'!$I$923+'Monthly Peaks'!$I$883</f>
        <v>11.914</v>
      </c>
      <c r="H147" s="228">
        <f>'Monthly Peaks'!$I$683+'Monthly Peaks'!$I$843+'Monthly Peaks'!$I$1003</f>
        <v>400</v>
      </c>
      <c r="I147" s="228" t="e">
        <f>C147-F147-G147-H147</f>
        <v>#REF!</v>
      </c>
      <c r="J147" s="229"/>
      <c r="K147" s="230"/>
      <c r="L147" s="230"/>
      <c r="M147" s="231"/>
      <c r="N147" s="232"/>
      <c r="O147" s="233"/>
    </row>
    <row r="148" spans="1:15">
      <c r="A148" s="204" t="str">
        <f>A144</f>
        <v>Other</v>
      </c>
      <c r="B148" s="204"/>
      <c r="C148" s="220"/>
      <c r="D148" s="221" t="e">
        <f>D147</f>
        <v>#REF!</v>
      </c>
      <c r="E148" s="221" t="e">
        <f>E147*O148</f>
        <v>#REF!</v>
      </c>
      <c r="F148" s="221" t="e">
        <f>F147-F149</f>
        <v>#REF!</v>
      </c>
      <c r="G148" s="221">
        <f>G147</f>
        <v>11.914</v>
      </c>
      <c r="H148" s="221">
        <f>H147</f>
        <v>400</v>
      </c>
      <c r="I148" s="221" t="e">
        <f>I147-I149</f>
        <v>#REF!</v>
      </c>
      <c r="J148" s="222"/>
      <c r="K148" s="220" t="e">
        <f>SUM(D148:I148)</f>
        <v>#REF!</v>
      </c>
      <c r="L148" s="223" t="e">
        <f>K148/B147</f>
        <v>#REF!</v>
      </c>
      <c r="M148" s="200"/>
      <c r="N148" s="224">
        <f>[32]sheet1!$F$44</f>
        <v>5030.0756218905472</v>
      </c>
      <c r="O148" s="225">
        <f>N148/SUM(N148:N149)</f>
        <v>0.6596210534336171</v>
      </c>
    </row>
    <row r="149" spans="1:15">
      <c r="A149" s="204" t="str">
        <f>A145</f>
        <v>Suncoast</v>
      </c>
      <c r="B149" s="204"/>
      <c r="C149" s="220"/>
      <c r="D149" s="220"/>
      <c r="E149" s="221" t="e">
        <f>E147*O149</f>
        <v>#REF!</v>
      </c>
      <c r="F149" s="221" t="e">
        <f>ROUND(F147*AM15,0)</f>
        <v>#REF!</v>
      </c>
      <c r="G149" s="220"/>
      <c r="H149" s="220"/>
      <c r="I149" s="325">
        <f>'Monthly Peaks'!$I$1537</f>
        <v>0</v>
      </c>
      <c r="J149" s="222"/>
      <c r="K149" s="220" t="e">
        <f>SUM(D149:I149)</f>
        <v>#REF!</v>
      </c>
      <c r="L149" s="223" t="e">
        <f>K149/B147</f>
        <v>#REF!</v>
      </c>
      <c r="M149" s="200"/>
      <c r="N149" s="224">
        <f>[32]sheet1!$G$44</f>
        <v>2595.6294639413804</v>
      </c>
      <c r="O149" s="225">
        <f>N149/SUM(N148:N149)</f>
        <v>0.34037894656638296</v>
      </c>
    </row>
    <row r="150" spans="1:15">
      <c r="B150" s="204"/>
      <c r="C150" s="220"/>
      <c r="D150" s="220"/>
      <c r="F150" s="221"/>
      <c r="G150" s="220"/>
      <c r="H150" s="220"/>
      <c r="I150" s="220"/>
    </row>
    <row r="151" spans="1:15">
      <c r="A151" s="226">
        <f>A147+1</f>
        <v>2011</v>
      </c>
      <c r="B151" s="227">
        <f>'Monthly Peaks'!$I$18</f>
        <v>11282</v>
      </c>
      <c r="C151" s="227" t="e">
        <f>'Monthly Peaks'!#REF!</f>
        <v>#REF!</v>
      </c>
      <c r="D151" s="228" t="e">
        <f>'Monthly Peaks'!#REF!</f>
        <v>#REF!</v>
      </c>
      <c r="E151" s="228" t="e">
        <f>B151-C151-D151</f>
        <v>#REF!</v>
      </c>
      <c r="F151" s="228" t="e">
        <f>'Monthly Peaks'!#REF!+'Monthly Peaks'!$I$644</f>
        <v>#REF!</v>
      </c>
      <c r="G151" s="228">
        <f>'Monthly Peaks'!$I$1044+'Monthly Peaks'!$I$924+'Monthly Peaks'!$I$884</f>
        <v>15</v>
      </c>
      <c r="H151" s="228">
        <f>'Monthly Peaks'!$I$684+'Monthly Peaks'!$I$844+'Monthly Peaks'!$I$1004</f>
        <v>300</v>
      </c>
      <c r="I151" s="228" t="e">
        <f>C151-F151-G151-H151</f>
        <v>#REF!</v>
      </c>
      <c r="J151" s="229"/>
      <c r="K151" s="230"/>
      <c r="L151" s="230"/>
      <c r="M151" s="231"/>
      <c r="N151" s="232"/>
      <c r="O151" s="233"/>
    </row>
    <row r="152" spans="1:15">
      <c r="A152" s="204" t="str">
        <f>A148</f>
        <v>Other</v>
      </c>
      <c r="B152" s="204"/>
      <c r="C152" s="220"/>
      <c r="D152" s="221" t="e">
        <f>D151</f>
        <v>#REF!</v>
      </c>
      <c r="E152" s="221" t="e">
        <f>E151*O152</f>
        <v>#REF!</v>
      </c>
      <c r="F152" s="221" t="e">
        <f>F151-F153</f>
        <v>#REF!</v>
      </c>
      <c r="G152" s="221">
        <f>G151</f>
        <v>15</v>
      </c>
      <c r="H152" s="221">
        <f>H151</f>
        <v>300</v>
      </c>
      <c r="I152" s="221" t="e">
        <f>I151-I153</f>
        <v>#REF!</v>
      </c>
      <c r="J152" s="222"/>
      <c r="K152" s="220" t="e">
        <f>SUM(D152:I152)</f>
        <v>#REF!</v>
      </c>
      <c r="L152" s="223" t="e">
        <f>K152/B151</f>
        <v>#REF!</v>
      </c>
      <c r="M152" s="200"/>
      <c r="N152" s="224">
        <f>N148*N148/N144</f>
        <v>5130.9132675836663</v>
      </c>
      <c r="O152" s="225">
        <f>N152/SUM(N152:N153)</f>
        <v>0.6627266174000811</v>
      </c>
    </row>
    <row r="153" spans="1:15">
      <c r="A153" s="204" t="str">
        <f>A149</f>
        <v>Suncoast</v>
      </c>
      <c r="B153" s="204"/>
      <c r="C153" s="220"/>
      <c r="D153" s="220"/>
      <c r="E153" s="221" t="e">
        <f>E151*O153</f>
        <v>#REF!</v>
      </c>
      <c r="F153" s="221" t="e">
        <f>ROUND(F151*AM16,0)</f>
        <v>#REF!</v>
      </c>
      <c r="G153" s="220"/>
      <c r="H153" s="220"/>
      <c r="I153" s="325">
        <f>'Monthly Peaks'!$I$1538</f>
        <v>0</v>
      </c>
      <c r="J153" s="222"/>
      <c r="K153" s="220" t="e">
        <f>SUM(D153:I153)</f>
        <v>#REF!</v>
      </c>
      <c r="L153" s="223" t="e">
        <f>K153/B151</f>
        <v>#REF!</v>
      </c>
      <c r="M153" s="200"/>
      <c r="N153" s="224">
        <f>N149*N149/N145</f>
        <v>2611.2131731990612</v>
      </c>
      <c r="O153" s="225">
        <f>N153/SUM(N152:N153)</f>
        <v>0.3372733825999189</v>
      </c>
    </row>
    <row r="154" spans="1:15">
      <c r="H154" s="220"/>
      <c r="I154" s="220"/>
    </row>
    <row r="155" spans="1:15">
      <c r="A155" s="226">
        <f>A151+1</f>
        <v>2012</v>
      </c>
      <c r="B155" s="227">
        <f>'Monthly Peaks'!$I$19</f>
        <v>11382.15</v>
      </c>
      <c r="C155" s="227" t="e">
        <f>'Monthly Peaks'!#REF!</f>
        <v>#REF!</v>
      </c>
      <c r="D155" s="228" t="e">
        <f>'Monthly Peaks'!#REF!</f>
        <v>#REF!</v>
      </c>
      <c r="E155" s="228" t="e">
        <f>B155-C155-D155</f>
        <v>#REF!</v>
      </c>
      <c r="F155" s="228" t="e">
        <f>'Monthly Peaks'!#REF!+'Monthly Peaks'!$I$645</f>
        <v>#REF!</v>
      </c>
      <c r="G155" s="228">
        <f>'Monthly Peaks'!$I$1045+'Monthly Peaks'!$I$925+'Monthly Peaks'!$I$885</f>
        <v>15</v>
      </c>
      <c r="H155" s="228">
        <f>'Monthly Peaks'!$I$685+'Monthly Peaks'!$I$845+'Monthly Peaks'!$I$1005</f>
        <v>475</v>
      </c>
      <c r="I155" s="228" t="e">
        <f>C155-F155-G155-H155</f>
        <v>#REF!</v>
      </c>
      <c r="J155" s="229"/>
      <c r="K155" s="230"/>
      <c r="L155" s="230"/>
      <c r="M155" s="231"/>
      <c r="N155" s="232"/>
      <c r="O155" s="233"/>
    </row>
    <row r="156" spans="1:15">
      <c r="A156" s="204" t="str">
        <f>A152</f>
        <v>Other</v>
      </c>
      <c r="B156" s="204"/>
      <c r="C156" s="220"/>
      <c r="D156" s="221" t="e">
        <f>D155</f>
        <v>#REF!</v>
      </c>
      <c r="E156" s="221" t="e">
        <f>E155*O156</f>
        <v>#REF!</v>
      </c>
      <c r="F156" s="221" t="e">
        <f>F155-F157</f>
        <v>#REF!</v>
      </c>
      <c r="G156" s="221">
        <f>G155</f>
        <v>15</v>
      </c>
      <c r="H156" s="221">
        <f>H155</f>
        <v>475</v>
      </c>
      <c r="I156" s="221" t="e">
        <f>I155-I157</f>
        <v>#REF!</v>
      </c>
      <c r="J156" s="222"/>
      <c r="K156" s="220" t="e">
        <f>SUM(D156:I156)</f>
        <v>#REF!</v>
      </c>
      <c r="L156" s="223" t="e">
        <f>K156/B155</f>
        <v>#REF!</v>
      </c>
      <c r="M156" s="200"/>
      <c r="N156" s="224">
        <f>N152*N152/N148</f>
        <v>5233.772399940859</v>
      </c>
      <c r="O156" s="225">
        <f>N156/SUM(N156:N157)</f>
        <v>0.66581820180029028</v>
      </c>
    </row>
    <row r="157" spans="1:15">
      <c r="A157" s="204" t="str">
        <f>A153</f>
        <v>Suncoast</v>
      </c>
      <c r="B157" s="204"/>
      <c r="C157" s="220"/>
      <c r="D157" s="220"/>
      <c r="E157" s="221" t="e">
        <f>E155*O157</f>
        <v>#REF!</v>
      </c>
      <c r="F157" s="221" t="e">
        <f>ROUND(F155*AM17,0)</f>
        <v>#REF!</v>
      </c>
      <c r="G157" s="220"/>
      <c r="H157" s="220"/>
      <c r="I157" s="325">
        <f>'Monthly Peaks'!$I$1539</f>
        <v>0</v>
      </c>
      <c r="J157" s="222"/>
      <c r="K157" s="220" t="e">
        <f>SUM(D157:I157)</f>
        <v>#REF!</v>
      </c>
      <c r="L157" s="223" t="e">
        <f>K157/B155</f>
        <v>#REF!</v>
      </c>
      <c r="M157" s="200"/>
      <c r="N157" s="224">
        <f>N153*N153/N149</f>
        <v>2626.8904443451402</v>
      </c>
      <c r="O157" s="225">
        <f>N157/SUM(N156:N157)</f>
        <v>0.33418179819970972</v>
      </c>
    </row>
    <row r="158" spans="1:15">
      <c r="H158" s="220"/>
      <c r="I158" s="220"/>
    </row>
    <row r="159" spans="1:15">
      <c r="A159" s="226">
        <f>A155+1</f>
        <v>2013</v>
      </c>
      <c r="B159" s="227">
        <f>'Monthly Peaks'!$I$20</f>
        <v>11482.28</v>
      </c>
      <c r="C159" s="227" t="e">
        <f>'Monthly Peaks'!#REF!</f>
        <v>#REF!</v>
      </c>
      <c r="D159" s="228" t="e">
        <f>'Monthly Peaks'!#REF!</f>
        <v>#REF!</v>
      </c>
      <c r="E159" s="228" t="e">
        <f>B159-C159-D159</f>
        <v>#REF!</v>
      </c>
      <c r="F159" s="228" t="e">
        <f>'Monthly Peaks'!#REF!+'Monthly Peaks'!$I$646</f>
        <v>#REF!</v>
      </c>
      <c r="G159" s="228">
        <f>'Monthly Peaks'!$I$1046+'Monthly Peaks'!$I$926+'Monthly Peaks'!$I$886</f>
        <v>15.01</v>
      </c>
      <c r="H159" s="228">
        <f>'Monthly Peaks'!$I$686+'Monthly Peaks'!$I$846+'Monthly Peaks'!$I$1006</f>
        <v>300</v>
      </c>
      <c r="I159" s="228" t="e">
        <f>C159-F159-G159-H159</f>
        <v>#REF!</v>
      </c>
      <c r="K159" s="230"/>
      <c r="L159" s="230"/>
      <c r="M159" s="231"/>
      <c r="N159" s="232"/>
      <c r="O159" s="233"/>
    </row>
    <row r="160" spans="1:15">
      <c r="A160" s="204" t="str">
        <f>A156</f>
        <v>Other</v>
      </c>
      <c r="B160" s="204"/>
      <c r="C160" s="220"/>
      <c r="D160" s="221" t="e">
        <f>D159</f>
        <v>#REF!</v>
      </c>
      <c r="E160" s="221" t="e">
        <f>E159*O160</f>
        <v>#REF!</v>
      </c>
      <c r="F160" s="221" t="e">
        <f>F159-F161</f>
        <v>#REF!</v>
      </c>
      <c r="G160" s="221">
        <f>G159</f>
        <v>15.01</v>
      </c>
      <c r="H160" s="221">
        <f>H159</f>
        <v>300</v>
      </c>
      <c r="I160" s="221" t="e">
        <f>I159-I161</f>
        <v>#REF!</v>
      </c>
      <c r="K160" s="220" t="e">
        <f>SUM(D160:I160)</f>
        <v>#REF!</v>
      </c>
      <c r="L160" s="223" t="e">
        <f>K160/B159</f>
        <v>#REF!</v>
      </c>
      <c r="M160" s="200"/>
      <c r="N160" s="224">
        <f>N156*N156/N152</f>
        <v>5338.6935435926334</v>
      </c>
      <c r="O160" s="225">
        <f>N160/SUM(N160:N161)</f>
        <v>0.66889560577185336</v>
      </c>
    </row>
    <row r="161" spans="1:15">
      <c r="A161" s="204" t="str">
        <f>A157</f>
        <v>Suncoast</v>
      </c>
      <c r="B161" s="204"/>
      <c r="C161" s="220"/>
      <c r="D161" s="220"/>
      <c r="E161" s="221" t="e">
        <f>E159*O161</f>
        <v>#REF!</v>
      </c>
      <c r="F161" s="221" t="e">
        <f>ROUND(F159*AM18,0)</f>
        <v>#REF!</v>
      </c>
      <c r="G161" s="220"/>
      <c r="H161" s="220"/>
      <c r="I161" s="325">
        <f>'Monthly Peaks'!$I$1540</f>
        <v>0</v>
      </c>
      <c r="K161" s="220" t="e">
        <f>SUM(D161:I161)</f>
        <v>#REF!</v>
      </c>
      <c r="L161" s="223" t="e">
        <f>K161/B159</f>
        <v>#REF!</v>
      </c>
      <c r="M161" s="200"/>
      <c r="N161" s="224">
        <f>N157*N157/N153</f>
        <v>2642.6618391089728</v>
      </c>
      <c r="O161" s="225">
        <f>N161/SUM(N160:N161)</f>
        <v>0.33110439422814664</v>
      </c>
    </row>
    <row r="162" spans="1:15">
      <c r="B162" s="204"/>
      <c r="C162" s="220"/>
      <c r="D162" s="220"/>
      <c r="H162" s="220"/>
      <c r="I162" s="220"/>
    </row>
    <row r="163" spans="1:15">
      <c r="A163" s="226">
        <f>A159+1</f>
        <v>2014</v>
      </c>
      <c r="B163" s="227">
        <f>'Monthly Peaks'!$I$21</f>
        <v>11577.33</v>
      </c>
      <c r="C163" s="227" t="e">
        <f>'Monthly Peaks'!#REF!</f>
        <v>#REF!</v>
      </c>
      <c r="D163" s="228" t="e">
        <f>'Monthly Peaks'!#REF!</f>
        <v>#REF!</v>
      </c>
      <c r="E163" s="228" t="e">
        <f>B163-C163-D163</f>
        <v>#REF!</v>
      </c>
      <c r="F163" s="228" t="e">
        <f>'Monthly Peaks'!#REF!+'Monthly Peaks'!$I$647</f>
        <v>#REF!</v>
      </c>
      <c r="G163" s="228">
        <f>'Monthly Peaks'!$I$1047+'Monthly Peaks'!$I$927+'Monthly Peaks'!$I$887</f>
        <v>150</v>
      </c>
      <c r="H163" s="228">
        <f>'Monthly Peaks'!$I$686+'Monthly Peaks'!$I$846+'Monthly Peaks'!$I$1007</f>
        <v>300</v>
      </c>
      <c r="I163" s="228" t="e">
        <f>C163-F163-G163-H163</f>
        <v>#REF!</v>
      </c>
      <c r="K163" s="230"/>
      <c r="L163" s="230"/>
      <c r="M163" s="231"/>
      <c r="N163" s="232"/>
      <c r="O163" s="233"/>
    </row>
    <row r="164" spans="1:15">
      <c r="A164" s="204" t="str">
        <f>A160</f>
        <v>Other</v>
      </c>
      <c r="B164" s="204"/>
      <c r="C164" s="220"/>
      <c r="D164" s="221" t="e">
        <f>D163</f>
        <v>#REF!</v>
      </c>
      <c r="E164" s="221" t="e">
        <f>E163*O164</f>
        <v>#REF!</v>
      </c>
      <c r="F164" s="221" t="e">
        <f>F163-F165</f>
        <v>#REF!</v>
      </c>
      <c r="G164" s="221">
        <f>G163</f>
        <v>150</v>
      </c>
      <c r="H164" s="221">
        <f>H163</f>
        <v>300</v>
      </c>
      <c r="I164" s="221" t="e">
        <f>I163-I165</f>
        <v>#REF!</v>
      </c>
      <c r="K164" s="220" t="e">
        <f>SUM(D164:I164)</f>
        <v>#REF!</v>
      </c>
      <c r="L164" s="223" t="e">
        <f>K164/B163</f>
        <v>#REF!</v>
      </c>
      <c r="M164" s="200"/>
      <c r="N164" s="224">
        <f>N160*N160/N156</f>
        <v>5445.7180355645069</v>
      </c>
      <c r="O164" s="225">
        <f>N164/SUM(N164:N165)</f>
        <v>0.6719586330031575</v>
      </c>
    </row>
    <row r="165" spans="1:15">
      <c r="A165" s="204" t="str">
        <f>A161</f>
        <v>Suncoast</v>
      </c>
      <c r="B165" s="204"/>
      <c r="C165" s="220"/>
      <c r="D165" s="220"/>
      <c r="E165" s="221" t="e">
        <f>E163*O165</f>
        <v>#REF!</v>
      </c>
      <c r="F165" s="221" t="e">
        <f>ROUND(F163*AM$19,0)</f>
        <v>#REF!</v>
      </c>
      <c r="G165" s="220"/>
      <c r="H165" s="220"/>
      <c r="I165" s="325">
        <f>'Monthly Peaks'!$I$1541</f>
        <v>0</v>
      </c>
      <c r="K165" s="220" t="e">
        <f>SUM(D165:I165)</f>
        <v>#REF!</v>
      </c>
      <c r="L165" s="223" t="e">
        <f>K165/B163</f>
        <v>#REF!</v>
      </c>
      <c r="M165" s="200"/>
      <c r="N165" s="224">
        <f>N161*N161/N157</f>
        <v>2658.5279225924405</v>
      </c>
      <c r="O165" s="225">
        <f>N165/SUM(N164:N165)</f>
        <v>0.3280413669968425</v>
      </c>
    </row>
    <row r="166" spans="1:15">
      <c r="B166" s="204"/>
      <c r="C166" s="220"/>
      <c r="D166" s="220"/>
      <c r="H166" s="220"/>
      <c r="I166" s="325"/>
    </row>
    <row r="167" spans="1:15">
      <c r="A167" s="226">
        <f>A163+1</f>
        <v>2015</v>
      </c>
      <c r="B167" s="227">
        <f>'Monthly Peaks'!$I$22</f>
        <v>11673.47</v>
      </c>
      <c r="C167" s="227" t="e">
        <f>'Monthly Peaks'!#REF!</f>
        <v>#REF!</v>
      </c>
      <c r="D167" s="228" t="e">
        <f>'Monthly Peaks'!#REF!</f>
        <v>#REF!</v>
      </c>
      <c r="E167" s="228" t="e">
        <f>B167-C167-D167</f>
        <v>#REF!</v>
      </c>
      <c r="F167" s="228" t="e">
        <f>'Monthly Peaks'!#REF!+'Monthly Peaks'!$I$648</f>
        <v>#REF!</v>
      </c>
      <c r="G167" s="228">
        <f>'Monthly Peaks'!$I$1048+'Monthly Peaks'!$I$928+'Monthly Peaks'!$I$888</f>
        <v>150</v>
      </c>
      <c r="H167" s="228">
        <f>'Monthly Peaks'!$I$686+'Monthly Peaks'!$I$846+'Monthly Peaks'!$I$1008</f>
        <v>300</v>
      </c>
      <c r="I167" s="228" t="e">
        <f>C167-F167-G167-H167</f>
        <v>#REF!</v>
      </c>
      <c r="K167" s="230"/>
      <c r="L167" s="230"/>
      <c r="M167" s="231"/>
      <c r="N167" s="232"/>
      <c r="O167" s="233"/>
    </row>
    <row r="168" spans="1:15">
      <c r="A168" s="204" t="str">
        <f>A164</f>
        <v>Other</v>
      </c>
      <c r="B168" s="204"/>
      <c r="C168" s="220"/>
      <c r="D168" s="221" t="e">
        <f>D167</f>
        <v>#REF!</v>
      </c>
      <c r="E168" s="221" t="e">
        <f>E167*O168</f>
        <v>#REF!</v>
      </c>
      <c r="F168" s="221" t="e">
        <f>F167-F169</f>
        <v>#REF!</v>
      </c>
      <c r="G168" s="221">
        <f>G167</f>
        <v>150</v>
      </c>
      <c r="H168" s="221">
        <f>H167</f>
        <v>300</v>
      </c>
      <c r="I168" s="221" t="e">
        <f>I167-I169</f>
        <v>#REF!</v>
      </c>
      <c r="K168" s="220" t="e">
        <f>SUM(D168:I168)</f>
        <v>#REF!</v>
      </c>
      <c r="L168" s="223" t="e">
        <f>K168/B167</f>
        <v>#REF!</v>
      </c>
      <c r="M168" s="200"/>
      <c r="N168" s="224">
        <f>N164*N164/N160</f>
        <v>5554.8880415630438</v>
      </c>
      <c r="O168" s="225">
        <f>N168/SUM(N168:N169)</f>
        <v>0.67500709176222495</v>
      </c>
    </row>
    <row r="169" spans="1:15">
      <c r="A169" s="204" t="str">
        <f>A165</f>
        <v>Suncoast</v>
      </c>
      <c r="B169" s="204"/>
      <c r="C169" s="220"/>
      <c r="D169" s="220"/>
      <c r="E169" s="221" t="e">
        <f>E167*O169</f>
        <v>#REF!</v>
      </c>
      <c r="F169" s="221" t="e">
        <f>ROUND(F167*AM$20,0)</f>
        <v>#REF!</v>
      </c>
      <c r="G169" s="220"/>
      <c r="H169" s="220"/>
      <c r="I169" s="325">
        <f>'Monthly Peaks'!$I$1542</f>
        <v>0</v>
      </c>
      <c r="K169" s="220" t="e">
        <f>SUM(D169:I169)</f>
        <v>#REF!</v>
      </c>
      <c r="L169" s="223" t="e">
        <f>K169/B167</f>
        <v>#REF!</v>
      </c>
      <c r="M169" s="200"/>
      <c r="N169" s="224">
        <f>N165*N165/N161</f>
        <v>2674.4892632901983</v>
      </c>
      <c r="O169" s="225">
        <f>N169/SUM(N168:N169)</f>
        <v>0.32499290823777505</v>
      </c>
    </row>
    <row r="170" spans="1:15">
      <c r="B170" s="204"/>
      <c r="C170" s="220"/>
      <c r="D170" s="220"/>
      <c r="H170" s="220"/>
      <c r="I170" s="325"/>
    </row>
    <row r="171" spans="1:15">
      <c r="A171" s="226">
        <f>A167+1</f>
        <v>2016</v>
      </c>
      <c r="B171" s="227">
        <f>'Monthly Peaks'!$I$23</f>
        <v>11761.6</v>
      </c>
      <c r="C171" s="227" t="e">
        <f>'Monthly Peaks'!#REF!</f>
        <v>#REF!</v>
      </c>
      <c r="D171" s="228" t="e">
        <f>'Monthly Peaks'!#REF!</f>
        <v>#REF!</v>
      </c>
      <c r="E171" s="228" t="e">
        <f>B171-C171-D171</f>
        <v>#REF!</v>
      </c>
      <c r="F171" s="228" t="e">
        <f>'Monthly Peaks'!#REF!+'Monthly Peaks'!$I$649</f>
        <v>#REF!</v>
      </c>
      <c r="G171" s="228">
        <f>'Monthly Peaks'!$I$1049+'Monthly Peaks'!$I$929+'Monthly Peaks'!$I$889</f>
        <v>0</v>
      </c>
      <c r="H171" s="228">
        <f>'Monthly Peaks'!$I$689+'Monthly Peaks'!$I$849+'Monthly Peaks'!$I$1009</f>
        <v>250</v>
      </c>
      <c r="I171" s="228" t="e">
        <f>C171-F171-G171-H171</f>
        <v>#REF!</v>
      </c>
      <c r="K171" s="230"/>
      <c r="L171" s="230"/>
      <c r="M171" s="231"/>
      <c r="N171" s="232"/>
      <c r="O171" s="233"/>
    </row>
    <row r="172" spans="1:15">
      <c r="A172" s="204" t="str">
        <f>A168</f>
        <v>Other</v>
      </c>
      <c r="B172" s="204"/>
      <c r="C172" s="220"/>
      <c r="D172" s="221" t="e">
        <f>D171</f>
        <v>#REF!</v>
      </c>
      <c r="E172" s="221" t="e">
        <f>E171*O172</f>
        <v>#REF!</v>
      </c>
      <c r="F172" s="221" t="e">
        <f>F171-F173</f>
        <v>#REF!</v>
      </c>
      <c r="G172" s="221">
        <f>G171</f>
        <v>0</v>
      </c>
      <c r="H172" s="221">
        <f>H171</f>
        <v>250</v>
      </c>
      <c r="I172" s="221" t="e">
        <f>I171-I173</f>
        <v>#REF!</v>
      </c>
      <c r="K172" s="220" t="e">
        <f>SUM(D172:I172)</f>
        <v>#REF!</v>
      </c>
      <c r="L172" s="223" t="e">
        <f>K172/B171</f>
        <v>#REF!</v>
      </c>
      <c r="M172" s="200"/>
      <c r="N172" s="224">
        <f>N168*N168/N164</f>
        <v>5666.2465725883794</v>
      </c>
      <c r="O172" s="225">
        <f>N172/SUM(N172:N173)</f>
        <v>0.67804079492271918</v>
      </c>
    </row>
    <row r="173" spans="1:15">
      <c r="A173" s="204" t="str">
        <f>A169</f>
        <v>Suncoast</v>
      </c>
      <c r="B173" s="204"/>
      <c r="C173" s="220"/>
      <c r="D173" s="220"/>
      <c r="E173" s="221" t="e">
        <f>E171*O173</f>
        <v>#REF!</v>
      </c>
      <c r="F173" s="221" t="e">
        <f>ROUND(F171*AM$21,0)</f>
        <v>#REF!</v>
      </c>
      <c r="G173" s="220"/>
      <c r="H173" s="220"/>
      <c r="I173" s="325">
        <f>'Monthly Peaks'!$I$1543</f>
        <v>0</v>
      </c>
      <c r="K173" s="220" t="e">
        <f>SUM(D173:I173)</f>
        <v>#REF!</v>
      </c>
      <c r="L173" s="223" t="e">
        <f>K173/B171</f>
        <v>#REF!</v>
      </c>
      <c r="M173" s="200"/>
      <c r="N173" s="224">
        <f>N169*N169/N165</f>
        <v>2690.5464331100447</v>
      </c>
      <c r="O173" s="225">
        <f>N173/SUM(N172:N173)</f>
        <v>0.32195920507728082</v>
      </c>
    </row>
    <row r="174" spans="1:15">
      <c r="B174" s="204"/>
      <c r="C174" s="220"/>
      <c r="D174" s="220"/>
      <c r="H174" s="220"/>
      <c r="I174" s="325"/>
    </row>
    <row r="175" spans="1:15">
      <c r="A175" s="226">
        <f>A171+1</f>
        <v>2017</v>
      </c>
      <c r="B175" s="227">
        <f>'Monthly Peaks'!$I$24</f>
        <v>11831.59</v>
      </c>
      <c r="C175" s="227" t="e">
        <f>'Monthly Peaks'!#REF!</f>
        <v>#REF!</v>
      </c>
      <c r="D175" s="228" t="e">
        <f>'Monthly Peaks'!#REF!</f>
        <v>#REF!</v>
      </c>
      <c r="E175" s="228" t="e">
        <f>B175-C175-D175</f>
        <v>#REF!</v>
      </c>
      <c r="F175" s="228" t="e">
        <f>'Monthly Peaks'!#REF!+'Monthly Peaks'!$I$650</f>
        <v>#REF!</v>
      </c>
      <c r="G175" s="228">
        <f>'Monthly Peaks'!$I$1050+'Monthly Peaks'!$I$930+'Monthly Peaks'!$I$890</f>
        <v>100</v>
      </c>
      <c r="H175" s="228">
        <f>+'Monthly Peaks'!$I$1010</f>
        <v>200</v>
      </c>
      <c r="I175" s="228" t="e">
        <f>C175-F175-G175-H175</f>
        <v>#REF!</v>
      </c>
      <c r="K175" s="230"/>
      <c r="L175" s="230"/>
      <c r="M175" s="231"/>
      <c r="N175" s="232"/>
      <c r="O175" s="233"/>
    </row>
    <row r="176" spans="1:15">
      <c r="A176" s="204" t="str">
        <f>A172</f>
        <v>Other</v>
      </c>
      <c r="B176" s="204"/>
      <c r="C176" s="220"/>
      <c r="D176" s="221" t="e">
        <f>D175</f>
        <v>#REF!</v>
      </c>
      <c r="E176" s="221" t="e">
        <f>E175*O176</f>
        <v>#REF!</v>
      </c>
      <c r="F176" s="221" t="e">
        <f>F175-F177</f>
        <v>#REF!</v>
      </c>
      <c r="G176" s="221">
        <f>G175</f>
        <v>100</v>
      </c>
      <c r="H176" s="221">
        <f>H175</f>
        <v>200</v>
      </c>
      <c r="I176" s="221" t="e">
        <f>I175-I177</f>
        <v>#REF!</v>
      </c>
      <c r="K176" s="220" t="e">
        <f>SUM(D176:I176)</f>
        <v>#REF!</v>
      </c>
      <c r="L176" s="223" t="e">
        <f>K176/B175</f>
        <v>#REF!</v>
      </c>
      <c r="M176" s="200"/>
      <c r="N176" s="224">
        <f>N172*N172/N168</f>
        <v>5779.8375018797715</v>
      </c>
      <c r="O176" s="225">
        <f>N176/SUM(N176:N177)</f>
        <v>0.68105955998711842</v>
      </c>
    </row>
    <row r="177" spans="1:15">
      <c r="A177" s="204" t="str">
        <f>A173</f>
        <v>Suncoast</v>
      </c>
      <c r="B177" s="204"/>
      <c r="C177" s="220"/>
      <c r="D177" s="220"/>
      <c r="E177" s="221" t="e">
        <f>E175*O177</f>
        <v>#REF!</v>
      </c>
      <c r="F177" s="221" t="e">
        <f>ROUND(F175*AM$22,0)</f>
        <v>#REF!</v>
      </c>
      <c r="G177" s="220"/>
      <c r="H177" s="220"/>
      <c r="I177" s="325">
        <f>'Monthly Peaks'!$I$1544</f>
        <v>0</v>
      </c>
      <c r="K177" s="220" t="e">
        <f>SUM(D177:I177)</f>
        <v>#REF!</v>
      </c>
      <c r="L177" s="223" t="e">
        <f>K177/B175</f>
        <v>#REF!</v>
      </c>
      <c r="M177" s="200"/>
      <c r="N177" s="224">
        <f>N173*N173/N169</f>
        <v>2706.7000073934132</v>
      </c>
      <c r="O177" s="225">
        <f>N177/SUM(N176:N177)</f>
        <v>0.31894044001288152</v>
      </c>
    </row>
    <row r="178" spans="1:15">
      <c r="B178" s="204"/>
      <c r="C178" s="220"/>
      <c r="D178" s="220"/>
      <c r="H178" s="220"/>
      <c r="I178" s="325"/>
    </row>
    <row r="179" spans="1:15">
      <c r="A179" s="226">
        <f>A175+1</f>
        <v>2018</v>
      </c>
      <c r="B179" s="227">
        <f>'Monthly Peaks'!$I$25</f>
        <v>11900.7</v>
      </c>
      <c r="C179" s="227" t="e">
        <f>'Monthly Peaks'!#REF!</f>
        <v>#REF!</v>
      </c>
      <c r="D179" s="228" t="e">
        <f>'Monthly Peaks'!#REF!</f>
        <v>#REF!</v>
      </c>
      <c r="E179" s="228" t="e">
        <f>B179-C179-D179</f>
        <v>#REF!</v>
      </c>
      <c r="F179" s="228" t="e">
        <f>'Monthly Peaks'!#REF!+'Monthly Peaks'!$I$651</f>
        <v>#REF!</v>
      </c>
      <c r="G179" s="228">
        <f>'Monthly Peaks'!$I$1051+'Monthly Peaks'!$I$931+'Monthly Peaks'!$I$891</f>
        <v>100</v>
      </c>
      <c r="H179" s="228">
        <f>'Monthly Peaks'!$I$691+'Monthly Peaks'!$I$851+'Monthly Peaks'!$I$1011</f>
        <v>250</v>
      </c>
      <c r="I179" s="228" t="e">
        <f>C179-F179-G179-H179</f>
        <v>#REF!</v>
      </c>
      <c r="K179" s="230"/>
      <c r="L179" s="230"/>
      <c r="M179" s="231"/>
      <c r="N179" s="232"/>
      <c r="O179" s="233"/>
    </row>
    <row r="180" spans="1:15">
      <c r="A180" s="204" t="str">
        <f>A176</f>
        <v>Other</v>
      </c>
      <c r="B180" s="204"/>
      <c r="C180" s="220"/>
      <c r="D180" s="221" t="e">
        <f>D179</f>
        <v>#REF!</v>
      </c>
      <c r="E180" s="221" t="e">
        <f>E179*O180</f>
        <v>#REF!</v>
      </c>
      <c r="F180" s="221" t="e">
        <f>F179-F181</f>
        <v>#REF!</v>
      </c>
      <c r="G180" s="221">
        <f>G179</f>
        <v>100</v>
      </c>
      <c r="H180" s="221">
        <f>H179</f>
        <v>250</v>
      </c>
      <c r="I180" s="221" t="e">
        <f>I179-I181</f>
        <v>#REF!</v>
      </c>
      <c r="K180" s="220" t="e">
        <f>SUM(D180:I180)</f>
        <v>#REF!</v>
      </c>
      <c r="L180" s="223" t="e">
        <f>K180/B179</f>
        <v>#REF!</v>
      </c>
      <c r="M180" s="200"/>
      <c r="N180" s="224">
        <f>N176*N176/N172</f>
        <v>5895.7055822008597</v>
      </c>
      <c r="O180" s="225">
        <f>N180/SUM(N180:N181)</f>
        <v>0.68406320910707608</v>
      </c>
    </row>
    <row r="181" spans="1:15">
      <c r="A181" s="204" t="str">
        <f>A177</f>
        <v>Suncoast</v>
      </c>
      <c r="B181" s="204"/>
      <c r="C181" s="220"/>
      <c r="D181" s="220"/>
      <c r="E181" s="221" t="e">
        <f>E179*O181</f>
        <v>#REF!</v>
      </c>
      <c r="F181" s="221" t="e">
        <f>ROUND(F179*AM$23,0)</f>
        <v>#REF!</v>
      </c>
      <c r="G181" s="220"/>
      <c r="H181" s="220"/>
      <c r="I181" s="325">
        <f>'Monthly Peaks'!$I$1545</f>
        <v>0</v>
      </c>
      <c r="K181" s="220" t="e">
        <f>SUM(D181:I181)</f>
        <v>#REF!</v>
      </c>
      <c r="L181" s="223" t="e">
        <f>K181/B179</f>
        <v>#REF!</v>
      </c>
      <c r="M181" s="200"/>
      <c r="N181" s="224">
        <f>N177*N177/N173</f>
        <v>2722.950564935988</v>
      </c>
      <c r="O181" s="225">
        <f>N181/SUM(N180:N181)</f>
        <v>0.31593679089292398</v>
      </c>
    </row>
    <row r="182" spans="1:15">
      <c r="B182" s="204"/>
      <c r="C182" s="220"/>
      <c r="D182" s="220"/>
      <c r="H182" s="220"/>
      <c r="I182" s="325"/>
    </row>
    <row r="183" spans="1:15">
      <c r="A183" s="226">
        <f>A179+1</f>
        <v>2019</v>
      </c>
      <c r="B183" s="227">
        <f>'Monthly Peaks'!$I$26</f>
        <v>11981.79</v>
      </c>
      <c r="C183" s="227" t="e">
        <f>'Monthly Peaks'!#REF!</f>
        <v>#REF!</v>
      </c>
      <c r="D183" s="228" t="e">
        <f>'Monthly Peaks'!#REF!</f>
        <v>#REF!</v>
      </c>
      <c r="E183" s="228" t="e">
        <f>B183-C183-D183</f>
        <v>#REF!</v>
      </c>
      <c r="F183" s="228" t="e">
        <f>'Monthly Peaks'!#REF!+'Monthly Peaks'!$I$652</f>
        <v>#REF!</v>
      </c>
      <c r="G183" s="228">
        <f>'Monthly Peaks'!$I$1052+'Monthly Peaks'!$I$932+'Monthly Peaks'!$I$892</f>
        <v>100</v>
      </c>
      <c r="H183" s="228">
        <f>'Monthly Peaks'!$I$692+'Monthly Peaks'!$I$852+'Monthly Peaks'!$I$1012</f>
        <v>500</v>
      </c>
      <c r="I183" s="228" t="e">
        <f>C183-F183-G183-H183</f>
        <v>#REF!</v>
      </c>
      <c r="K183" s="230"/>
      <c r="L183" s="230"/>
      <c r="M183" s="231"/>
      <c r="N183" s="232"/>
      <c r="O183" s="233"/>
    </row>
    <row r="184" spans="1:15">
      <c r="A184" s="204" t="str">
        <f>A180</f>
        <v>Other</v>
      </c>
      <c r="B184" s="204"/>
      <c r="C184" s="220"/>
      <c r="D184" s="221" t="e">
        <f>D183</f>
        <v>#REF!</v>
      </c>
      <c r="E184" s="221" t="e">
        <f>E183*O184</f>
        <v>#REF!</v>
      </c>
      <c r="F184" s="221" t="e">
        <f>F183-F185</f>
        <v>#REF!</v>
      </c>
      <c r="G184" s="221">
        <f>G183</f>
        <v>100</v>
      </c>
      <c r="H184" s="221">
        <f>H183</f>
        <v>500</v>
      </c>
      <c r="I184" s="221" t="e">
        <f>I183-I185</f>
        <v>#REF!</v>
      </c>
      <c r="K184" s="220" t="e">
        <f>SUM(D184:I184)</f>
        <v>#REF!</v>
      </c>
      <c r="L184" s="223" t="e">
        <f>K184/B183</f>
        <v>#REF!</v>
      </c>
      <c r="M184" s="200"/>
      <c r="N184" s="224">
        <f>N180*N180/N176</f>
        <v>6013.8964634714439</v>
      </c>
      <c r="O184" s="225">
        <f>N184/SUM(N184:N185)</f>
        <v>0.68705156910099119</v>
      </c>
    </row>
    <row r="185" spans="1:15">
      <c r="A185" s="204" t="str">
        <f>A181</f>
        <v>Suncoast</v>
      </c>
      <c r="B185" s="204"/>
      <c r="C185" s="220"/>
      <c r="D185" s="220"/>
      <c r="E185" s="221" t="e">
        <f>E183*O185</f>
        <v>#REF!</v>
      </c>
      <c r="F185" s="221" t="e">
        <f>ROUND(F183*AM$24,0)</f>
        <v>#REF!</v>
      </c>
      <c r="G185" s="220"/>
      <c r="H185" s="220"/>
      <c r="I185" s="325">
        <f>'Monthly Peaks'!$I$1546</f>
        <v>0</v>
      </c>
      <c r="K185" s="220" t="e">
        <f>SUM(D185:I185)</f>
        <v>#REF!</v>
      </c>
      <c r="L185" s="223" t="e">
        <f>K185/B183</f>
        <v>#REF!</v>
      </c>
      <c r="M185" s="200"/>
      <c r="N185" s="224">
        <f>N181*N181/N177</f>
        <v>2739.2986880084418</v>
      </c>
      <c r="O185" s="225">
        <f>N185/SUM(N184:N185)</f>
        <v>0.31294843089900881</v>
      </c>
    </row>
    <row r="186" spans="1:15">
      <c r="B186" s="204"/>
      <c r="C186" s="220"/>
      <c r="D186" s="220"/>
      <c r="H186" s="220"/>
      <c r="I186" s="325"/>
    </row>
    <row r="187" spans="1:15">
      <c r="A187" s="226">
        <f>A183+1</f>
        <v>2020</v>
      </c>
      <c r="B187" s="227">
        <f>'Monthly Peaks'!$I$27</f>
        <v>12062.89</v>
      </c>
      <c r="C187" s="227" t="e">
        <f>'Monthly Peaks'!#REF!</f>
        <v>#REF!</v>
      </c>
      <c r="D187" s="228" t="e">
        <f>'Monthly Peaks'!#REF!</f>
        <v>#REF!</v>
      </c>
      <c r="E187" s="228" t="e">
        <f>B187-C187-D187</f>
        <v>#REF!</v>
      </c>
      <c r="F187" s="228" t="e">
        <f>'Monthly Peaks'!#REF!+'Monthly Peaks'!$I$653</f>
        <v>#REF!</v>
      </c>
      <c r="G187" s="228">
        <f>'Monthly Peaks'!$I$1053+'Monthly Peaks'!$I$933+'Monthly Peaks'!$I$893</f>
        <v>100</v>
      </c>
      <c r="H187" s="228">
        <f>'Monthly Peaks'!$I$693+'Monthly Peaks'!$I$853+'Monthly Peaks'!$I$1013</f>
        <v>500</v>
      </c>
      <c r="I187" s="228" t="e">
        <f>C187-F187-G187-H187</f>
        <v>#REF!</v>
      </c>
      <c r="K187" s="230"/>
      <c r="L187" s="230"/>
      <c r="M187" s="231"/>
      <c r="N187" s="232"/>
      <c r="O187" s="233"/>
    </row>
    <row r="188" spans="1:15">
      <c r="A188" s="204" t="str">
        <f>A184</f>
        <v>Other</v>
      </c>
      <c r="B188" s="204"/>
      <c r="C188" s="220"/>
      <c r="D188" s="221" t="e">
        <f>D187</f>
        <v>#REF!</v>
      </c>
      <c r="E188" s="221" t="e">
        <f>E187*O188</f>
        <v>#REF!</v>
      </c>
      <c r="F188" s="221" t="e">
        <f>F187-F189</f>
        <v>#REF!</v>
      </c>
      <c r="G188" s="221">
        <f>G187</f>
        <v>100</v>
      </c>
      <c r="H188" s="221">
        <f>H187</f>
        <v>500</v>
      </c>
      <c r="I188" s="221" t="e">
        <f>I187-I189</f>
        <v>#REF!</v>
      </c>
      <c r="K188" s="220" t="e">
        <f>SUM(D188:I188)</f>
        <v>#REF!</v>
      </c>
      <c r="L188" s="223" t="e">
        <f>K188/B187</f>
        <v>#REF!</v>
      </c>
      <c r="M188" s="200"/>
      <c r="N188" s="224">
        <f>N184*N184/N180</f>
        <v>6134.4567107527209</v>
      </c>
      <c r="O188" s="225">
        <f>N188/SUM(N188:N189)</f>
        <v>0.6900244714688154</v>
      </c>
    </row>
    <row r="189" spans="1:15">
      <c r="A189" s="204" t="str">
        <f>A185</f>
        <v>Suncoast</v>
      </c>
      <c r="B189" s="204"/>
      <c r="C189" s="220"/>
      <c r="D189" s="220"/>
      <c r="E189" s="221" t="e">
        <f>E187*O189</f>
        <v>#REF!</v>
      </c>
      <c r="F189" s="221" t="e">
        <f>ROUND(F187*AM$25,0)</f>
        <v>#REF!</v>
      </c>
      <c r="G189" s="220"/>
      <c r="H189" s="220"/>
      <c r="I189" s="325">
        <f>'Monthly Peaks'!$I$1547</f>
        <v>0</v>
      </c>
      <c r="K189" s="220" t="e">
        <f>SUM(D189:I189)</f>
        <v>#REF!</v>
      </c>
      <c r="L189" s="223" t="e">
        <f>K189/B187</f>
        <v>#REF!</v>
      </c>
      <c r="M189" s="200"/>
      <c r="N189" s="224">
        <f>N185*N185/N181</f>
        <v>2755.7449623772995</v>
      </c>
      <c r="O189" s="225">
        <f>N189/SUM(N188:N189)</f>
        <v>0.30997552853118454</v>
      </c>
    </row>
    <row r="190" spans="1:15">
      <c r="B190" s="204"/>
      <c r="C190" s="220"/>
      <c r="D190" s="220"/>
      <c r="H190" s="220"/>
      <c r="I190" s="325"/>
    </row>
    <row r="191" spans="1:15">
      <c r="A191" s="226">
        <f>A187+1</f>
        <v>2021</v>
      </c>
      <c r="B191" s="227">
        <f>'Monthly Peaks'!$I$28</f>
        <v>12139.99</v>
      </c>
      <c r="C191" s="227" t="e">
        <f>'Monthly Peaks'!#REF!</f>
        <v>#REF!</v>
      </c>
      <c r="D191" s="228" t="e">
        <f>'Monthly Peaks'!#REF!</f>
        <v>#REF!</v>
      </c>
      <c r="E191" s="228" t="e">
        <f>B191-C191-D191</f>
        <v>#REF!</v>
      </c>
      <c r="F191" s="228" t="e">
        <f>'Monthly Peaks'!#REF!+'Monthly Peaks'!$I$654</f>
        <v>#REF!</v>
      </c>
      <c r="G191" s="228">
        <f>'Monthly Peaks'!$I$1054+'Monthly Peaks'!$I$934+'Monthly Peaks'!$I$894</f>
        <v>0</v>
      </c>
      <c r="H191" s="228">
        <f>'Monthly Peaks'!$I$694+'Monthly Peaks'!$I$854+'Monthly Peaks'!$I$1014</f>
        <v>500</v>
      </c>
      <c r="I191" s="228" t="e">
        <f>C191-F191-G191-H191</f>
        <v>#REF!</v>
      </c>
      <c r="K191" s="230"/>
      <c r="L191" s="230"/>
      <c r="M191" s="231"/>
      <c r="N191" s="232"/>
      <c r="O191" s="233"/>
    </row>
    <row r="192" spans="1:15">
      <c r="A192" s="204" t="str">
        <f>A188</f>
        <v>Other</v>
      </c>
      <c r="B192" s="204"/>
      <c r="C192" s="220"/>
      <c r="D192" s="221" t="e">
        <f>D191</f>
        <v>#REF!</v>
      </c>
      <c r="E192" s="221" t="e">
        <f>E191*O192</f>
        <v>#REF!</v>
      </c>
      <c r="F192" s="221" t="e">
        <f>F191-F193</f>
        <v>#REF!</v>
      </c>
      <c r="G192" s="221">
        <f>G191</f>
        <v>0</v>
      </c>
      <c r="H192" s="221">
        <f>H191</f>
        <v>500</v>
      </c>
      <c r="I192" s="221" t="e">
        <f>I191-I193</f>
        <v>#REF!</v>
      </c>
      <c r="K192" s="220" t="e">
        <f>SUM(D192:I192)</f>
        <v>#REF!</v>
      </c>
      <c r="L192" s="223" t="e">
        <f>K192/B191</f>
        <v>#REF!</v>
      </c>
      <c r="M192" s="200"/>
      <c r="N192" s="224">
        <f>N188*N188/N184</f>
        <v>6257.4338225930751</v>
      </c>
      <c r="O192" s="225">
        <f>N192/SUM(N192:N193)</f>
        <v>0.69298175240412174</v>
      </c>
    </row>
    <row r="193" spans="1:15">
      <c r="A193" s="204" t="str">
        <f>A189</f>
        <v>Suncoast</v>
      </c>
      <c r="B193" s="204"/>
      <c r="C193" s="220"/>
      <c r="D193" s="220"/>
      <c r="E193" s="221" t="e">
        <f>E191*O193</f>
        <v>#REF!</v>
      </c>
      <c r="F193" s="221" t="e">
        <f>ROUND(F191*AM$26,0)</f>
        <v>#REF!</v>
      </c>
      <c r="G193" s="220"/>
      <c r="H193" s="220"/>
      <c r="I193" s="325">
        <f>'Monthly Peaks'!$I$1548</f>
        <v>0</v>
      </c>
      <c r="K193" s="220" t="e">
        <f>SUM(D193:I193)</f>
        <v>#REF!</v>
      </c>
      <c r="L193" s="223" t="e">
        <f>K193/B191</f>
        <v>#REF!</v>
      </c>
      <c r="M193" s="200"/>
      <c r="N193" s="224">
        <f>N189*N189/N185</f>
        <v>2772.2899773259269</v>
      </c>
      <c r="O193" s="225">
        <f>N193/SUM(N192:N193)</f>
        <v>0.30701824759587826</v>
      </c>
    </row>
    <row r="194" spans="1:15">
      <c r="B194" s="204"/>
      <c r="C194" s="220"/>
      <c r="D194" s="220"/>
      <c r="H194" s="220"/>
      <c r="I194" s="325"/>
    </row>
    <row r="195" spans="1:15">
      <c r="A195" s="226">
        <f>A191+1</f>
        <v>2022</v>
      </c>
      <c r="B195" s="227">
        <f>'Monthly Peaks'!$I$29</f>
        <v>12216.1</v>
      </c>
      <c r="C195" s="227" t="e">
        <f>'Monthly Peaks'!#REF!</f>
        <v>#REF!</v>
      </c>
      <c r="D195" s="228" t="e">
        <f>'Monthly Peaks'!#REF!</f>
        <v>#REF!</v>
      </c>
      <c r="E195" s="228" t="e">
        <f>B195-C195-D195</f>
        <v>#REF!</v>
      </c>
      <c r="F195" s="228" t="e">
        <f>'Monthly Peaks'!#REF!+'Monthly Peaks'!$I$655</f>
        <v>#REF!</v>
      </c>
      <c r="G195" s="228">
        <f>'Monthly Peaks'!$I$1055+'Monthly Peaks'!$I$935+'Monthly Peaks'!$I$895</f>
        <v>0</v>
      </c>
      <c r="H195" s="228">
        <f>'Monthly Peaks'!$I$695+'Monthly Peaks'!$I$855+'Monthly Peaks'!$I$1015</f>
        <v>500</v>
      </c>
      <c r="I195" s="228" t="e">
        <f>C195-F195-G195-H195</f>
        <v>#REF!</v>
      </c>
      <c r="K195" s="230"/>
      <c r="L195" s="230"/>
      <c r="M195" s="231"/>
      <c r="N195" s="232"/>
      <c r="O195" s="233"/>
    </row>
    <row r="196" spans="1:15">
      <c r="A196" s="204" t="str">
        <f>A192</f>
        <v>Other</v>
      </c>
      <c r="B196" s="204"/>
      <c r="C196" s="220"/>
      <c r="D196" s="221" t="e">
        <f>D195</f>
        <v>#REF!</v>
      </c>
      <c r="E196" s="221" t="e">
        <f>E195*O196</f>
        <v>#REF!</v>
      </c>
      <c r="F196" s="221" t="e">
        <f>F195-F197</f>
        <v>#REF!</v>
      </c>
      <c r="G196" s="221">
        <f>G195</f>
        <v>0</v>
      </c>
      <c r="H196" s="221">
        <f>H195</f>
        <v>500</v>
      </c>
      <c r="I196" s="221" t="e">
        <f>I195-I197</f>
        <v>#REF!</v>
      </c>
      <c r="K196" s="220" t="e">
        <f>SUM(D196:I196)</f>
        <v>#REF!</v>
      </c>
      <c r="L196" s="223" t="e">
        <f>K196/B195</f>
        <v>#REF!</v>
      </c>
      <c r="M196" s="200"/>
      <c r="N196" s="224">
        <f>N192*N192/N188</f>
        <v>6382.8762497416437</v>
      </c>
      <c r="O196" s="225">
        <f>N196/SUM(N196:N197)</f>
        <v>0.69592325280346767</v>
      </c>
    </row>
    <row r="197" spans="1:15">
      <c r="A197" s="204" t="str">
        <f>A193</f>
        <v>Suncoast</v>
      </c>
      <c r="B197" s="204"/>
      <c r="C197" s="220"/>
      <c r="D197" s="220"/>
      <c r="E197" s="221" t="e">
        <f>E195*O197</f>
        <v>#REF!</v>
      </c>
      <c r="F197" s="221" t="e">
        <f>ROUND(F195*AM$27,0)</f>
        <v>#REF!</v>
      </c>
      <c r="G197" s="220"/>
      <c r="H197" s="220"/>
      <c r="I197" s="325">
        <f>'Monthly Peaks'!$I$1549</f>
        <v>0</v>
      </c>
      <c r="K197" s="220" t="e">
        <f>SUM(D197:I197)</f>
        <v>#REF!</v>
      </c>
      <c r="L197" s="223" t="e">
        <f>K197/B195</f>
        <v>#REF!</v>
      </c>
      <c r="M197" s="200"/>
      <c r="N197" s="224">
        <f>N193*N193/N189</f>
        <v>2788.9343256756447</v>
      </c>
      <c r="O197" s="225">
        <f>N197/SUM(N196:N197)</f>
        <v>0.30407674719653233</v>
      </c>
    </row>
    <row r="198" spans="1:15">
      <c r="B198" s="204"/>
      <c r="C198" s="220"/>
      <c r="D198" s="220"/>
      <c r="H198" s="220"/>
      <c r="I198" s="325"/>
    </row>
    <row r="199" spans="1:15">
      <c r="A199" s="226">
        <f>A195+1</f>
        <v>2023</v>
      </c>
      <c r="B199" s="227">
        <f>'Monthly Peaks'!$I$30</f>
        <v>12299.19</v>
      </c>
      <c r="C199" s="227" t="e">
        <f>'Monthly Peaks'!#REF!</f>
        <v>#REF!</v>
      </c>
      <c r="D199" s="228" t="e">
        <f>'Monthly Peaks'!#REF!</f>
        <v>#REF!</v>
      </c>
      <c r="E199" s="228" t="e">
        <f>B199-C199-D199</f>
        <v>#REF!</v>
      </c>
      <c r="F199" s="228" t="e">
        <f>'Monthly Peaks'!#REF!+'Monthly Peaks'!$I$656</f>
        <v>#REF!</v>
      </c>
      <c r="G199" s="228">
        <f>'Monthly Peaks'!$I$1056+'Monthly Peaks'!$I$936+'Monthly Peaks'!$I$896</f>
        <v>0</v>
      </c>
      <c r="H199" s="228">
        <f>'Monthly Peaks'!$I$696+'Monthly Peaks'!$I$856+'Monthly Peaks'!$I$1016</f>
        <v>500</v>
      </c>
      <c r="I199" s="228" t="e">
        <f>C199-F199-G199-H199</f>
        <v>#REF!</v>
      </c>
      <c r="K199" s="230"/>
      <c r="L199" s="230"/>
      <c r="M199" s="231"/>
      <c r="N199" s="232"/>
      <c r="O199" s="233"/>
    </row>
    <row r="200" spans="1:15">
      <c r="A200" s="204" t="str">
        <f>A196</f>
        <v>Other</v>
      </c>
      <c r="B200" s="204"/>
      <c r="C200" s="220"/>
      <c r="D200" s="221" t="e">
        <f>D199</f>
        <v>#REF!</v>
      </c>
      <c r="E200" s="221" t="e">
        <f>E199*O200</f>
        <v>#REF!</v>
      </c>
      <c r="F200" s="221" t="e">
        <f>F199-F201</f>
        <v>#REF!</v>
      </c>
      <c r="G200" s="221">
        <f>G199</f>
        <v>0</v>
      </c>
      <c r="H200" s="221">
        <f>H199</f>
        <v>500</v>
      </c>
      <c r="I200" s="221" t="e">
        <f>I199-I201</f>
        <v>#REF!</v>
      </c>
      <c r="K200" s="220" t="e">
        <f>SUM(D200:I200)</f>
        <v>#REF!</v>
      </c>
      <c r="L200" s="223" t="e">
        <f>K200/B199</f>
        <v>#REF!</v>
      </c>
      <c r="M200" s="200"/>
      <c r="N200" s="224">
        <f>N196*N196/N192</f>
        <v>6510.8334142370313</v>
      </c>
      <c r="O200" s="225">
        <f>N200/SUM(N200:N201)</f>
        <v>0.69884881827308365</v>
      </c>
    </row>
    <row r="201" spans="1:15">
      <c r="A201" s="204" t="str">
        <f>A197</f>
        <v>Suncoast</v>
      </c>
      <c r="B201" s="204"/>
      <c r="C201" s="220"/>
      <c r="D201" s="220"/>
      <c r="E201" s="221" t="e">
        <f>E199*O201</f>
        <v>#REF!</v>
      </c>
      <c r="F201" s="221" t="e">
        <f>ROUND(F199*AM$28,0)</f>
        <v>#REF!</v>
      </c>
      <c r="G201" s="220"/>
      <c r="H201" s="220"/>
      <c r="I201" s="325">
        <f>'Monthly Peaks'!$I$1550</f>
        <v>0</v>
      </c>
      <c r="K201" s="220" t="e">
        <f>SUM(D201:I201)</f>
        <v>#REF!</v>
      </c>
      <c r="L201" s="223" t="e">
        <f>K201/B199</f>
        <v>#REF!</v>
      </c>
      <c r="M201" s="200"/>
      <c r="N201" s="224">
        <f>N197*N197/N193</f>
        <v>2805.6786038069699</v>
      </c>
      <c r="O201" s="225">
        <f>N201/SUM(N200:N201)</f>
        <v>0.30115118172691646</v>
      </c>
    </row>
  </sheetData>
  <mergeCells count="10">
    <mergeCell ref="K3:L3"/>
    <mergeCell ref="K4:L4"/>
    <mergeCell ref="G4:H4"/>
    <mergeCell ref="K109:L109"/>
    <mergeCell ref="K107:L107"/>
    <mergeCell ref="R4:S4"/>
    <mergeCell ref="T4:U4"/>
    <mergeCell ref="K5:L5"/>
    <mergeCell ref="G108:H108"/>
    <mergeCell ref="K108:L108"/>
  </mergeCells>
  <phoneticPr fontId="52" type="noConversion"/>
  <printOptions horizontalCentered="1"/>
  <pageMargins left="0.5" right="0.5" top="0.5" bottom="0.75" header="0.25" footer="0.25"/>
  <pageSetup scale="37" orientation="portrait" verticalDpi="300" r:id="rId1"/>
  <headerFooter alignWithMargins="0">
    <oddFooter>&amp;R&amp;F : 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7">
    <pageSetUpPr fitToPage="1"/>
  </sheetPr>
  <dimension ref="A1:P59"/>
  <sheetViews>
    <sheetView tabSelected="1" workbookViewId="0">
      <selection activeCell="AR47" sqref="AR47"/>
    </sheetView>
  </sheetViews>
  <sheetFormatPr defaultColWidth="9.140625" defaultRowHeight="12.75"/>
  <cols>
    <col min="1" max="1" width="17.5703125" style="179" customWidth="1"/>
    <col min="2" max="2" width="11.42578125" style="179" customWidth="1"/>
    <col min="3" max="3" width="15.28515625" style="179" customWidth="1"/>
    <col min="4" max="4" width="9.7109375" style="179" customWidth="1"/>
    <col min="5" max="5" width="9.140625" style="667"/>
    <col min="6" max="6" width="10.28515625" style="179" customWidth="1"/>
    <col min="7" max="7" width="7" style="667" customWidth="1"/>
    <col min="8" max="8" width="9.85546875" style="179" customWidth="1"/>
    <col min="9" max="10" width="9.140625" style="179"/>
    <col min="11" max="11" width="10.7109375" style="179" customWidth="1"/>
    <col min="12" max="16384" width="9.140625" style="179"/>
  </cols>
  <sheetData>
    <row r="1" spans="1:12">
      <c r="A1" s="1197" t="s">
        <v>598</v>
      </c>
      <c r="B1" s="1198"/>
      <c r="C1" s="1198"/>
      <c r="D1" s="993"/>
      <c r="E1" s="1095"/>
      <c r="F1" s="993"/>
      <c r="G1" s="1095"/>
      <c r="H1" s="993"/>
      <c r="I1" s="993"/>
      <c r="J1" s="534" t="s">
        <v>420</v>
      </c>
      <c r="K1" s="992" t="str">
        <f>'FALL13 vs TYSP13'!T1</f>
        <v>10/23/2013</v>
      </c>
      <c r="L1" s="594"/>
    </row>
    <row r="2" spans="1:12">
      <c r="A2" s="587"/>
      <c r="B2" s="963"/>
      <c r="C2" s="594"/>
    </row>
    <row r="3" spans="1:12">
      <c r="A3" s="303" t="s">
        <v>337</v>
      </c>
    </row>
    <row r="4" spans="1:12">
      <c r="A4" s="303" t="s">
        <v>338</v>
      </c>
    </row>
    <row r="5" spans="1:12">
      <c r="A5" s="303" t="s">
        <v>339</v>
      </c>
    </row>
    <row r="6" spans="1:12">
      <c r="A6" s="303" t="s">
        <v>340</v>
      </c>
    </row>
    <row r="7" spans="1:12">
      <c r="A7" s="303" t="s">
        <v>216</v>
      </c>
    </row>
    <row r="8" spans="1:12">
      <c r="A8" s="303" t="s">
        <v>341</v>
      </c>
    </row>
    <row r="9" spans="1:12">
      <c r="A9" s="303" t="s">
        <v>342</v>
      </c>
    </row>
    <row r="10" spans="1:12">
      <c r="A10" s="303" t="s">
        <v>217</v>
      </c>
    </row>
    <row r="11" spans="1:12">
      <c r="A11" s="180"/>
      <c r="E11" s="668"/>
      <c r="F11" s="182"/>
    </row>
    <row r="12" spans="1:12">
      <c r="A12" s="927" t="s">
        <v>343</v>
      </c>
      <c r="B12" s="927" t="s">
        <v>344</v>
      </c>
      <c r="C12" s="982" t="s">
        <v>329</v>
      </c>
      <c r="D12" s="983" t="s">
        <v>256</v>
      </c>
      <c r="E12" s="983" t="s">
        <v>257</v>
      </c>
      <c r="F12" s="984" t="s">
        <v>260</v>
      </c>
      <c r="G12" s="179"/>
    </row>
    <row r="13" spans="1:12">
      <c r="A13" s="607" t="s">
        <v>132</v>
      </c>
      <c r="B13" s="182" t="s">
        <v>330</v>
      </c>
      <c r="C13" s="667">
        <v>33.5</v>
      </c>
      <c r="D13" s="666">
        <v>32.5</v>
      </c>
      <c r="E13" s="666">
        <v>40.4</v>
      </c>
      <c r="F13" s="980">
        <v>35.1</v>
      </c>
      <c r="G13" s="179"/>
    </row>
    <row r="14" spans="1:12">
      <c r="A14" s="179" t="s">
        <v>133</v>
      </c>
      <c r="B14" s="182" t="s">
        <v>330</v>
      </c>
      <c r="C14" s="667">
        <v>40.299999999999997</v>
      </c>
      <c r="D14" s="666">
        <v>38.9</v>
      </c>
      <c r="E14" s="666">
        <v>47</v>
      </c>
      <c r="F14" s="980">
        <v>41.5</v>
      </c>
      <c r="G14" s="179"/>
    </row>
    <row r="15" spans="1:12">
      <c r="A15" s="179" t="s">
        <v>134</v>
      </c>
      <c r="B15" s="182" t="s">
        <v>330</v>
      </c>
      <c r="C15" s="667">
        <v>44.7</v>
      </c>
      <c r="D15" s="981">
        <v>42.8</v>
      </c>
      <c r="E15" s="666">
        <v>49.6</v>
      </c>
      <c r="F15" s="181">
        <v>45.1</v>
      </c>
      <c r="G15" s="179"/>
    </row>
    <row r="16" spans="1:12">
      <c r="A16" s="179" t="s">
        <v>135</v>
      </c>
      <c r="B16" s="303" t="s">
        <v>331</v>
      </c>
      <c r="C16" s="666">
        <v>83.8</v>
      </c>
      <c r="D16" s="667"/>
      <c r="G16" s="980">
        <v>85.4</v>
      </c>
    </row>
    <row r="17" spans="1:9">
      <c r="A17" s="179" t="s">
        <v>136</v>
      </c>
      <c r="B17" s="303" t="s">
        <v>331</v>
      </c>
      <c r="C17" s="667">
        <v>89.2</v>
      </c>
      <c r="D17" s="667"/>
      <c r="G17" s="980">
        <v>89.9</v>
      </c>
    </row>
    <row r="18" spans="1:9">
      <c r="A18" s="179" t="s">
        <v>137</v>
      </c>
      <c r="B18" s="303" t="s">
        <v>331</v>
      </c>
      <c r="C18" s="666">
        <v>90.5</v>
      </c>
      <c r="D18" s="667"/>
      <c r="G18" s="980">
        <v>91.2</v>
      </c>
    </row>
    <row r="19" spans="1:9">
      <c r="A19" s="179" t="s">
        <v>138</v>
      </c>
      <c r="B19" s="303" t="s">
        <v>331</v>
      </c>
      <c r="C19" s="666">
        <v>91.8</v>
      </c>
      <c r="D19" s="667"/>
      <c r="G19" s="980">
        <v>91.8</v>
      </c>
      <c r="I19" s="182" t="s">
        <v>258</v>
      </c>
    </row>
    <row r="20" spans="1:9">
      <c r="A20" s="607" t="s">
        <v>139</v>
      </c>
      <c r="B20" s="303" t="s">
        <v>331</v>
      </c>
      <c r="C20" s="667">
        <v>91.6</v>
      </c>
      <c r="D20" s="667"/>
      <c r="G20" s="980">
        <v>92.4</v>
      </c>
    </row>
    <row r="21" spans="1:9">
      <c r="A21" s="179" t="s">
        <v>140</v>
      </c>
      <c r="B21" s="303" t="s">
        <v>331</v>
      </c>
      <c r="C21" s="667">
        <v>89.3</v>
      </c>
      <c r="D21" s="667"/>
      <c r="G21" s="980">
        <v>90</v>
      </c>
    </row>
    <row r="22" spans="1:9">
      <c r="A22" s="179" t="s">
        <v>141</v>
      </c>
      <c r="B22" s="303" t="s">
        <v>331</v>
      </c>
      <c r="C22" s="667">
        <v>85.4</v>
      </c>
      <c r="D22" s="667"/>
      <c r="G22" s="980">
        <v>86.6</v>
      </c>
    </row>
    <row r="23" spans="1:9">
      <c r="A23" s="179" t="s">
        <v>142</v>
      </c>
      <c r="B23" s="303" t="s">
        <v>331</v>
      </c>
      <c r="C23" s="667">
        <v>78.5</v>
      </c>
      <c r="D23" s="981">
        <v>79.7</v>
      </c>
      <c r="E23" s="666">
        <v>75.411111111111126</v>
      </c>
      <c r="F23" s="181">
        <v>78.2</v>
      </c>
      <c r="G23" s="179">
        <v>81.099999999999994</v>
      </c>
      <c r="H23" s="182"/>
    </row>
    <row r="24" spans="1:9">
      <c r="A24" s="179" t="s">
        <v>143</v>
      </c>
      <c r="B24" s="182" t="s">
        <v>330</v>
      </c>
      <c r="C24" s="667">
        <v>41.9</v>
      </c>
      <c r="D24" s="981">
        <v>38.6</v>
      </c>
      <c r="E24" s="981">
        <v>43.6</v>
      </c>
      <c r="F24" s="181">
        <v>40.200000000000003</v>
      </c>
      <c r="G24" s="179"/>
    </row>
    <row r="25" spans="1:9">
      <c r="A25" s="180"/>
    </row>
    <row r="26" spans="1:9">
      <c r="A26" s="927" t="s">
        <v>224</v>
      </c>
    </row>
    <row r="27" spans="1:9">
      <c r="A27" s="600" t="s">
        <v>629</v>
      </c>
    </row>
    <row r="28" spans="1:9">
      <c r="A28" s="600" t="s">
        <v>328</v>
      </c>
    </row>
    <row r="29" spans="1:9">
      <c r="A29" s="989" t="s">
        <v>600</v>
      </c>
    </row>
    <row r="30" spans="1:9">
      <c r="A30" s="600" t="s">
        <v>592</v>
      </c>
    </row>
    <row r="31" spans="1:9">
      <c r="A31" s="600" t="s">
        <v>593</v>
      </c>
    </row>
    <row r="32" spans="1:9">
      <c r="A32" s="600" t="s">
        <v>594</v>
      </c>
    </row>
    <row r="33" spans="1:16" ht="20.25" customHeight="1">
      <c r="A33" s="927" t="s">
        <v>225</v>
      </c>
    </row>
    <row r="34" spans="1:16">
      <c r="A34" s="1421" t="s">
        <v>595</v>
      </c>
      <c r="B34" s="1422"/>
      <c r="C34" s="1423"/>
      <c r="D34" s="1422"/>
      <c r="E34" s="1423"/>
      <c r="F34" s="1422"/>
      <c r="G34" s="1423"/>
      <c r="H34" s="1422"/>
      <c r="I34" s="1422"/>
      <c r="J34" s="1422"/>
      <c r="K34" s="1422"/>
      <c r="L34" s="1422"/>
      <c r="M34" s="1422"/>
      <c r="N34" s="1422"/>
      <c r="O34" s="1422"/>
      <c r="P34" s="1422"/>
    </row>
    <row r="35" spans="1:16">
      <c r="A35" s="1421" t="s">
        <v>494</v>
      </c>
      <c r="B35" s="1422"/>
      <c r="C35" s="1422"/>
      <c r="D35" s="1422"/>
      <c r="E35" s="1423"/>
      <c r="F35" s="1422"/>
      <c r="G35" s="1423"/>
      <c r="H35" s="1422"/>
      <c r="I35" s="1422"/>
      <c r="J35" s="1422"/>
      <c r="K35" s="1422"/>
      <c r="L35" s="1422"/>
      <c r="M35" s="1422"/>
      <c r="N35" s="1422"/>
      <c r="O35" s="1422"/>
      <c r="P35" s="1422"/>
    </row>
    <row r="36" spans="1:16">
      <c r="A36" s="1421" t="s">
        <v>490</v>
      </c>
      <c r="B36" s="1422"/>
      <c r="C36" s="1422"/>
      <c r="D36" s="1422"/>
      <c r="E36" s="1423"/>
      <c r="F36" s="1422"/>
      <c r="G36" s="1423"/>
      <c r="H36" s="1422"/>
      <c r="I36" s="1422"/>
      <c r="J36" s="1422"/>
      <c r="K36" s="1422"/>
      <c r="L36" s="1422"/>
      <c r="M36" s="1422"/>
      <c r="N36" s="1422"/>
      <c r="O36" s="1422"/>
      <c r="P36" s="1422"/>
    </row>
    <row r="37" spans="1:16">
      <c r="A37" s="1421" t="s">
        <v>617</v>
      </c>
      <c r="B37" s="1422"/>
      <c r="C37" s="1422"/>
      <c r="D37" s="1422"/>
      <c r="E37" s="1423"/>
      <c r="F37" s="1422"/>
      <c r="G37" s="1423"/>
      <c r="H37" s="1422"/>
      <c r="I37" s="1422"/>
      <c r="J37" s="1421"/>
      <c r="K37" s="1422"/>
      <c r="L37" s="1422"/>
      <c r="M37" s="1422"/>
      <c r="N37" s="1422"/>
      <c r="O37" s="1422"/>
      <c r="P37" s="1422"/>
    </row>
    <row r="38" spans="1:16">
      <c r="A38" s="1421" t="s">
        <v>630</v>
      </c>
      <c r="B38" s="1422"/>
      <c r="C38" s="1422"/>
      <c r="D38" s="1422"/>
      <c r="E38" s="1423"/>
      <c r="F38" s="1422"/>
      <c r="G38" s="1423"/>
      <c r="H38" s="1422"/>
      <c r="I38" s="1422"/>
      <c r="J38" s="1421"/>
      <c r="K38" s="1422"/>
      <c r="L38" s="1422"/>
      <c r="M38" s="1422"/>
      <c r="N38" s="1422"/>
      <c r="O38" s="1422"/>
      <c r="P38" s="1422"/>
    </row>
    <row r="39" spans="1:16">
      <c r="A39" s="1422" t="s">
        <v>618</v>
      </c>
      <c r="B39" s="1422"/>
      <c r="C39" s="1422"/>
      <c r="D39" s="1422"/>
      <c r="E39" s="1422"/>
      <c r="F39" s="1422"/>
      <c r="G39" s="1423"/>
      <c r="H39" s="1422"/>
      <c r="I39" s="1422"/>
      <c r="J39" s="1422"/>
      <c r="K39" s="1422"/>
      <c r="L39" s="1422"/>
      <c r="M39" s="1422"/>
      <c r="N39" s="1422"/>
      <c r="O39" s="1422"/>
      <c r="P39" s="1422"/>
    </row>
    <row r="40" spans="1:16">
      <c r="A40" s="1421" t="s">
        <v>492</v>
      </c>
      <c r="B40" s="1422"/>
      <c r="C40" s="1422"/>
      <c r="D40" s="1422"/>
      <c r="E40" s="1423"/>
      <c r="F40" s="1422"/>
      <c r="G40" s="1423"/>
      <c r="H40" s="1422"/>
      <c r="I40" s="1422"/>
      <c r="J40" s="1421"/>
      <c r="K40" s="1422"/>
      <c r="L40" s="1422"/>
      <c r="M40" s="1422"/>
      <c r="N40" s="1422"/>
      <c r="O40" s="1422"/>
      <c r="P40" s="1422"/>
    </row>
    <row r="41" spans="1:16">
      <c r="A41" s="1421" t="s">
        <v>491</v>
      </c>
      <c r="B41" s="1422"/>
      <c r="C41" s="1422"/>
      <c r="D41" s="1422"/>
      <c r="E41" s="1423"/>
      <c r="F41" s="1422"/>
      <c r="G41" s="1423"/>
      <c r="H41" s="1422"/>
      <c r="I41" s="1422"/>
      <c r="J41" s="1421"/>
      <c r="K41" s="1422"/>
      <c r="L41" s="1422"/>
      <c r="M41" s="1422"/>
      <c r="N41" s="1422"/>
      <c r="O41" s="1422"/>
      <c r="P41" s="1422"/>
    </row>
    <row r="42" spans="1:16">
      <c r="A42" s="1421" t="s">
        <v>596</v>
      </c>
      <c r="B42" s="1422"/>
      <c r="C42" s="1422"/>
      <c r="D42" s="1422"/>
      <c r="E42" s="1423"/>
      <c r="F42" s="1422"/>
      <c r="G42" s="1423"/>
      <c r="H42" s="1422"/>
      <c r="I42" s="1422"/>
      <c r="J42" s="1421"/>
      <c r="K42" s="1422"/>
      <c r="L42" s="1422"/>
      <c r="M42" s="1422"/>
      <c r="N42" s="1422"/>
      <c r="O42" s="1422"/>
      <c r="P42" s="1422"/>
    </row>
    <row r="43" spans="1:16">
      <c r="A43" s="1421" t="s">
        <v>473</v>
      </c>
      <c r="B43" s="1422"/>
      <c r="C43" s="1422"/>
      <c r="D43" s="1422"/>
      <c r="E43" s="1423"/>
      <c r="F43" s="1422"/>
      <c r="G43" s="1423"/>
      <c r="H43" s="1422"/>
      <c r="I43" s="1422"/>
      <c r="J43" s="1422"/>
      <c r="K43" s="1422"/>
      <c r="L43" s="1422"/>
      <c r="M43" s="1422"/>
      <c r="N43" s="1422"/>
      <c r="O43" s="1422"/>
      <c r="P43" s="1422"/>
    </row>
    <row r="44" spans="1:16">
      <c r="A44" s="1421" t="s">
        <v>486</v>
      </c>
      <c r="B44" s="1422"/>
      <c r="C44" s="1422"/>
      <c r="D44" s="1422"/>
      <c r="E44" s="1423"/>
      <c r="F44" s="1422"/>
      <c r="G44" s="1423"/>
      <c r="H44" s="1422"/>
      <c r="I44" s="1422"/>
      <c r="J44" s="1422"/>
      <c r="K44" s="1422"/>
      <c r="L44" s="1422"/>
      <c r="M44" s="1422"/>
      <c r="N44" s="1422"/>
      <c r="O44" s="1422"/>
      <c r="P44" s="1422"/>
    </row>
    <row r="45" spans="1:16">
      <c r="A45" s="1421" t="s">
        <v>619</v>
      </c>
      <c r="B45" s="1422"/>
      <c r="C45" s="1422"/>
      <c r="D45" s="1422"/>
      <c r="E45" s="1423"/>
      <c r="F45" s="1422"/>
      <c r="G45" s="1423"/>
      <c r="H45" s="1422"/>
      <c r="I45" s="1422"/>
      <c r="J45" s="1422"/>
      <c r="K45" s="1422"/>
      <c r="L45" s="1422"/>
      <c r="M45" s="1422"/>
      <c r="N45" s="1422"/>
      <c r="O45" s="1422"/>
      <c r="P45" s="1422"/>
    </row>
    <row r="46" spans="1:16">
      <c r="A46" s="1421" t="s">
        <v>620</v>
      </c>
      <c r="B46" s="1422"/>
      <c r="C46" s="1422"/>
      <c r="D46" s="1422"/>
      <c r="E46" s="1423"/>
      <c r="F46" s="1422"/>
      <c r="G46" s="1423"/>
      <c r="H46" s="1422"/>
      <c r="I46" s="1422"/>
      <c r="J46" s="1422"/>
      <c r="K46" s="1422"/>
      <c r="L46" s="1422"/>
      <c r="M46" s="1422"/>
      <c r="N46" s="1422"/>
      <c r="O46" s="1422"/>
      <c r="P46" s="1422"/>
    </row>
    <row r="47" spans="1:16">
      <c r="A47" s="1421" t="s">
        <v>631</v>
      </c>
      <c r="B47" s="1422"/>
      <c r="C47" s="1422"/>
      <c r="D47" s="1422"/>
      <c r="E47" s="1423"/>
      <c r="F47" s="1422"/>
      <c r="G47" s="1423"/>
      <c r="H47" s="1422"/>
      <c r="I47" s="1422"/>
      <c r="J47" s="1422"/>
      <c r="K47" s="1422"/>
      <c r="L47" s="1422"/>
      <c r="M47" s="1422"/>
      <c r="N47" s="1422"/>
      <c r="O47" s="1422"/>
      <c r="P47" s="1422"/>
    </row>
    <row r="48" spans="1:16">
      <c r="A48" s="1421" t="s">
        <v>597</v>
      </c>
      <c r="B48" s="1422"/>
      <c r="C48" s="1422"/>
      <c r="D48" s="1422"/>
      <c r="E48" s="1423"/>
      <c r="F48" s="1422"/>
      <c r="G48" s="1423"/>
      <c r="H48" s="1422"/>
      <c r="I48" s="1422"/>
      <c r="J48" s="1422"/>
      <c r="K48" s="1422"/>
      <c r="L48" s="1422"/>
      <c r="M48" s="1422"/>
      <c r="N48" s="1422"/>
      <c r="O48" s="1422"/>
      <c r="P48" s="1422"/>
    </row>
    <row r="49" spans="1:16">
      <c r="A49" s="1421" t="s">
        <v>632</v>
      </c>
      <c r="B49" s="1422"/>
      <c r="C49" s="1422"/>
      <c r="D49" s="1422"/>
      <c r="E49" s="1423"/>
      <c r="F49" s="1422"/>
      <c r="G49" s="1423"/>
      <c r="H49" s="1422"/>
      <c r="I49" s="1422"/>
      <c r="J49" s="1422"/>
      <c r="K49" s="1422"/>
      <c r="L49" s="1422"/>
      <c r="M49" s="1422"/>
      <c r="N49" s="1422"/>
      <c r="O49" s="1422"/>
      <c r="P49" s="1422"/>
    </row>
    <row r="50" spans="1:16">
      <c r="A50" s="1421" t="s">
        <v>554</v>
      </c>
      <c r="B50" s="1422"/>
      <c r="C50" s="1422"/>
      <c r="D50" s="1422"/>
      <c r="E50" s="1423"/>
      <c r="F50" s="1422"/>
      <c r="G50" s="1423"/>
      <c r="H50" s="1422"/>
      <c r="I50" s="1422"/>
      <c r="J50" s="1422"/>
      <c r="K50" s="1422"/>
      <c r="L50" s="1422"/>
      <c r="M50" s="1422"/>
      <c r="N50" s="1422"/>
      <c r="O50" s="1422"/>
      <c r="P50" s="1422"/>
    </row>
    <row r="51" spans="1:16">
      <c r="A51" s="963"/>
    </row>
    <row r="53" spans="1:16">
      <c r="A53" s="179" t="s">
        <v>354</v>
      </c>
      <c r="C53" s="924" t="s">
        <v>356</v>
      </c>
    </row>
    <row r="55" spans="1:16">
      <c r="A55" s="303" t="s">
        <v>355</v>
      </c>
      <c r="C55" s="923" t="str">
        <f>K1</f>
        <v>10/23/2013</v>
      </c>
    </row>
    <row r="57" spans="1:16">
      <c r="A57" s="303" t="s">
        <v>599</v>
      </c>
      <c r="C57" s="926" t="s">
        <v>636</v>
      </c>
    </row>
    <row r="59" spans="1:16">
      <c r="A59" s="303" t="s">
        <v>357</v>
      </c>
      <c r="C59" s="667" t="str">
        <f>C55</f>
        <v>10/23/2013</v>
      </c>
    </row>
  </sheetData>
  <phoneticPr fontId="52" type="noConversion"/>
  <printOptions horizontalCentered="1"/>
  <pageMargins left="0.25" right="0.25" top="0.5" bottom="0.75" header="0" footer="0.25"/>
  <pageSetup scale="79" orientation="landscape" r:id="rId1"/>
  <headerFooter alignWithMargins="0">
    <oddFooter>&amp;LLoad Forecasting : &amp;D&amp;R14LGBRA-NRGPOD1-6-DOC 38
14BGBRA-STAFFROG1-19A-DOC 38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BQ128"/>
  <sheetViews>
    <sheetView tabSelected="1" zoomScale="70" zoomScaleNormal="70" workbookViewId="0">
      <pane xSplit="4" ySplit="6" topLeftCell="H7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/>
  <cols>
    <col min="1" max="1" width="6.28515625" style="123" bestFit="1" customWidth="1"/>
    <col min="2" max="2" width="10.140625" style="123" bestFit="1" customWidth="1"/>
    <col min="3" max="3" width="4" style="123" bestFit="1" customWidth="1"/>
    <col min="4" max="4" width="5.5703125" style="123" bestFit="1" customWidth="1"/>
    <col min="5" max="5" width="8.7109375" style="123" bestFit="1" customWidth="1"/>
    <col min="6" max="6" width="10.42578125" style="123" bestFit="1" customWidth="1"/>
    <col min="7" max="7" width="11.140625" style="123" bestFit="1" customWidth="1"/>
    <col min="8" max="8" width="9.85546875" style="123" bestFit="1" customWidth="1"/>
    <col min="9" max="9" width="9.42578125" style="123" bestFit="1" customWidth="1"/>
    <col min="10" max="10" width="8.7109375" style="123" bestFit="1" customWidth="1"/>
    <col min="11" max="11" width="10" style="123" bestFit="1" customWidth="1"/>
    <col min="12" max="12" width="7.7109375" style="123" bestFit="1" customWidth="1"/>
    <col min="13" max="13" width="11.42578125" style="123" bestFit="1" customWidth="1"/>
    <col min="14" max="14" width="7.140625" style="123" bestFit="1" customWidth="1"/>
    <col min="15" max="15" width="7.7109375" style="123" bestFit="1" customWidth="1"/>
    <col min="16" max="16" width="12.85546875" style="123" bestFit="1" customWidth="1"/>
    <col min="17" max="17" width="12.7109375" style="123" customWidth="1"/>
    <col min="18" max="18" width="8.42578125" style="123" customWidth="1"/>
    <col min="19" max="19" width="10.42578125" style="123" bestFit="1" customWidth="1"/>
    <col min="20" max="20" width="11.140625" style="123" bestFit="1" customWidth="1"/>
    <col min="21" max="21" width="14.5703125" style="123" bestFit="1" customWidth="1"/>
    <col min="22" max="22" width="10" style="124" bestFit="1" customWidth="1"/>
    <col min="23" max="24" width="9.28515625" style="124" bestFit="1" customWidth="1"/>
    <col min="25" max="26" width="9.28515625" style="123" bestFit="1" customWidth="1"/>
    <col min="27" max="32" width="9.140625" style="124"/>
    <col min="33" max="33" width="9.85546875" style="124" bestFit="1" customWidth="1"/>
    <col min="34" max="34" width="14.140625" style="124" bestFit="1" customWidth="1"/>
    <col min="35" max="35" width="13.7109375" style="124" bestFit="1" customWidth="1"/>
    <col min="36" max="36" width="11" style="124" bestFit="1" customWidth="1"/>
    <col min="37" max="37" width="9.140625" style="124"/>
    <col min="38" max="38" width="7.42578125" style="124" customWidth="1"/>
    <col min="39" max="39" width="11.85546875" style="124" bestFit="1" customWidth="1"/>
    <col min="40" max="40" width="7.42578125" style="124" customWidth="1"/>
    <col min="41" max="41" width="5.7109375" style="124" customWidth="1"/>
    <col min="42" max="42" width="11.85546875" style="124" customWidth="1"/>
    <col min="43" max="43" width="16.85546875" style="124" customWidth="1"/>
    <col min="44" max="47" width="12.7109375" style="124" customWidth="1"/>
    <col min="48" max="48" width="15.42578125" style="124" bestFit="1" customWidth="1"/>
    <col min="49" max="49" width="11.42578125" style="124" bestFit="1" customWidth="1"/>
    <col min="50" max="50" width="12" style="124" bestFit="1" customWidth="1"/>
    <col min="51" max="51" width="11.42578125" style="124" bestFit="1" customWidth="1"/>
    <col min="52" max="52" width="11" style="124" customWidth="1"/>
    <col min="53" max="53" width="9.140625" style="124"/>
    <col min="54" max="54" width="12.5703125" style="124" bestFit="1" customWidth="1"/>
    <col min="55" max="55" width="9.140625" style="124"/>
    <col min="56" max="56" width="11" style="124" bestFit="1" customWidth="1"/>
    <col min="57" max="60" width="9.140625" style="124"/>
    <col min="61" max="61" width="20.140625" style="124" bestFit="1" customWidth="1"/>
    <col min="62" max="16384" width="9.140625" style="124"/>
  </cols>
  <sheetData>
    <row r="1" spans="1:69" s="122" customFormat="1" ht="13.5" thickBot="1">
      <c r="A1" s="906" t="s">
        <v>85</v>
      </c>
      <c r="B1" s="906"/>
      <c r="C1" s="906"/>
      <c r="D1" s="906"/>
      <c r="E1" s="906"/>
      <c r="F1" s="906"/>
      <c r="G1" s="906"/>
      <c r="H1" s="906"/>
      <c r="I1" s="906"/>
      <c r="J1" s="906"/>
      <c r="K1" s="1582" t="s">
        <v>634</v>
      </c>
      <c r="L1" s="906"/>
      <c r="M1" s="906"/>
      <c r="N1" s="906"/>
      <c r="O1" s="906"/>
      <c r="P1" s="906"/>
      <c r="Q1" s="1582" t="s">
        <v>634</v>
      </c>
      <c r="R1" s="1582" t="s">
        <v>634</v>
      </c>
      <c r="S1" s="1582" t="s">
        <v>634</v>
      </c>
      <c r="T1" s="1582" t="s">
        <v>634</v>
      </c>
      <c r="U1" s="1582" t="s">
        <v>634</v>
      </c>
      <c r="V1" s="1582" t="s">
        <v>634</v>
      </c>
      <c r="W1" s="1582" t="s">
        <v>634</v>
      </c>
      <c r="Y1" s="121"/>
      <c r="Z1" s="121"/>
      <c r="AB1" s="457" t="s">
        <v>86</v>
      </c>
      <c r="AC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</row>
    <row r="2" spans="1:69" ht="13.5" thickBot="1">
      <c r="P2" s="1479" t="s">
        <v>635</v>
      </c>
      <c r="R2" s="1010" t="s">
        <v>562</v>
      </c>
      <c r="S2" s="109"/>
      <c r="T2" s="368"/>
    </row>
    <row r="3" spans="1:69">
      <c r="J3" s="265" t="s">
        <v>21</v>
      </c>
      <c r="M3" s="123" t="s">
        <v>58</v>
      </c>
      <c r="Q3" s="92"/>
      <c r="R3" s="92"/>
      <c r="S3" s="92"/>
      <c r="T3" s="92"/>
    </row>
    <row r="4" spans="1:69">
      <c r="J4" s="123" t="s">
        <v>6</v>
      </c>
      <c r="L4" s="1429"/>
      <c r="M4" s="123" t="s">
        <v>6</v>
      </c>
      <c r="O4" s="123" t="s">
        <v>1</v>
      </c>
      <c r="P4" s="810" t="s">
        <v>396</v>
      </c>
      <c r="Q4" s="353" t="s">
        <v>186</v>
      </c>
      <c r="R4" s="687">
        <f>[2]ssr!$K$173</f>
        <v>0.15040000000000001</v>
      </c>
      <c r="S4" s="370"/>
      <c r="T4" s="92"/>
      <c r="U4" s="810" t="s">
        <v>396</v>
      </c>
      <c r="V4" s="309"/>
      <c r="AB4" s="125" t="s">
        <v>193</v>
      </c>
    </row>
    <row r="5" spans="1:69">
      <c r="H5" s="265" t="s">
        <v>66</v>
      </c>
      <c r="I5" s="265" t="s">
        <v>206</v>
      </c>
      <c r="J5" s="123" t="s">
        <v>61</v>
      </c>
      <c r="K5" s="123" t="s">
        <v>57</v>
      </c>
      <c r="L5" s="696" t="s">
        <v>87</v>
      </c>
      <c r="M5" s="123" t="s">
        <v>61</v>
      </c>
      <c r="N5" s="123" t="s">
        <v>0</v>
      </c>
      <c r="O5" s="123" t="s">
        <v>6</v>
      </c>
      <c r="P5" s="126" t="s">
        <v>6</v>
      </c>
      <c r="Q5" s="351" t="s">
        <v>187</v>
      </c>
      <c r="R5" s="350" t="s">
        <v>189</v>
      </c>
      <c r="S5" s="350" t="s">
        <v>21</v>
      </c>
      <c r="T5" s="92"/>
      <c r="U5" s="309" t="s">
        <v>315</v>
      </c>
      <c r="V5" s="351" t="s">
        <v>346</v>
      </c>
      <c r="W5" s="350" t="s">
        <v>194</v>
      </c>
      <c r="X5" s="306" t="s">
        <v>180</v>
      </c>
      <c r="Y5" s="1601" t="s">
        <v>17</v>
      </c>
      <c r="Z5" s="1602"/>
      <c r="AA5" s="458"/>
      <c r="AC5" s="265"/>
      <c r="AD5" s="306"/>
      <c r="AF5" s="306" t="s">
        <v>180</v>
      </c>
      <c r="AQ5" s="974" t="s">
        <v>568</v>
      </c>
    </row>
    <row r="6" spans="1:69" s="129" customFormat="1" ht="13.5" thickBot="1">
      <c r="A6" s="121" t="s">
        <v>9</v>
      </c>
      <c r="B6" s="121" t="s">
        <v>88</v>
      </c>
      <c r="C6" s="121" t="s">
        <v>89</v>
      </c>
      <c r="D6" s="121" t="s">
        <v>90</v>
      </c>
      <c r="E6" s="121" t="s">
        <v>91</v>
      </c>
      <c r="F6" s="121" t="s">
        <v>92</v>
      </c>
      <c r="G6" s="121" t="s">
        <v>93</v>
      </c>
      <c r="H6" s="128" t="s">
        <v>205</v>
      </c>
      <c r="I6" s="128" t="s">
        <v>207</v>
      </c>
      <c r="J6" s="121" t="s">
        <v>62</v>
      </c>
      <c r="K6" s="121" t="s">
        <v>59</v>
      </c>
      <c r="L6" s="1430" t="s">
        <v>77</v>
      </c>
      <c r="M6" s="121" t="s">
        <v>59</v>
      </c>
      <c r="N6" s="324" t="s">
        <v>66</v>
      </c>
      <c r="O6" s="1211" t="s">
        <v>567</v>
      </c>
      <c r="P6" s="127" t="s">
        <v>23</v>
      </c>
      <c r="Q6" s="352" t="s">
        <v>226</v>
      </c>
      <c r="R6" s="352" t="s">
        <v>190</v>
      </c>
      <c r="S6" s="94" t="s">
        <v>188</v>
      </c>
      <c r="T6" s="479" t="s">
        <v>246</v>
      </c>
      <c r="U6" s="112" t="s">
        <v>316</v>
      </c>
      <c r="V6" s="343" t="s">
        <v>345</v>
      </c>
      <c r="W6" s="359" t="s">
        <v>169</v>
      </c>
      <c r="X6" s="128" t="s">
        <v>8</v>
      </c>
      <c r="Y6" s="128" t="s">
        <v>236</v>
      </c>
      <c r="Z6" s="128" t="s">
        <v>237</v>
      </c>
      <c r="AA6" s="128"/>
      <c r="AB6" s="121" t="s">
        <v>9</v>
      </c>
      <c r="AC6" s="128" t="s">
        <v>179</v>
      </c>
      <c r="AD6" s="300" t="s">
        <v>237</v>
      </c>
      <c r="AE6" s="128" t="s">
        <v>236</v>
      </c>
      <c r="AF6" s="128" t="s">
        <v>8</v>
      </c>
      <c r="AG6" s="121" t="s">
        <v>97</v>
      </c>
      <c r="AH6" s="178" t="s">
        <v>130</v>
      </c>
      <c r="AI6" s="324" t="s">
        <v>115</v>
      </c>
      <c r="AJ6" s="121" t="s">
        <v>98</v>
      </c>
      <c r="AK6" s="121" t="s">
        <v>99</v>
      </c>
      <c r="AL6" s="121" t="s">
        <v>100</v>
      </c>
      <c r="AM6" s="178" t="str">
        <f>Winter!AR7</f>
        <v>Fall'13</v>
      </c>
      <c r="AN6" s="178" t="str">
        <f>Winter!AS7</f>
        <v>TYSP'13</v>
      </c>
      <c r="AO6" s="178" t="str">
        <f>Winter!AT7</f>
        <v>Diff</v>
      </c>
      <c r="AP6" s="360" t="s">
        <v>195</v>
      </c>
    </row>
    <row r="7" spans="1:69">
      <c r="L7" s="696"/>
      <c r="V7" s="123"/>
      <c r="W7" s="123"/>
      <c r="X7" s="123"/>
      <c r="AP7" s="123"/>
      <c r="AQ7" t="s">
        <v>19</v>
      </c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I7" t="s">
        <v>19</v>
      </c>
      <c r="BJ7"/>
      <c r="BK7"/>
      <c r="BL7"/>
      <c r="BM7"/>
      <c r="BN7"/>
      <c r="BO7"/>
      <c r="BP7"/>
      <c r="BQ7"/>
    </row>
    <row r="8" spans="1:69" ht="13.5" thickBot="1">
      <c r="A8" s="123">
        <v>1975</v>
      </c>
      <c r="B8" s="130">
        <v>27451</v>
      </c>
      <c r="C8" s="123">
        <v>9</v>
      </c>
      <c r="D8" s="346" t="str">
        <f>TEXT(WEEKDAY(B8),"ddd")</f>
        <v>Wed</v>
      </c>
      <c r="E8" s="347">
        <v>2466</v>
      </c>
      <c r="L8" s="696"/>
      <c r="P8" s="374">
        <f>[4]Data!$I40</f>
        <v>626220</v>
      </c>
      <c r="V8" s="123"/>
      <c r="W8" s="123"/>
      <c r="X8" s="468"/>
      <c r="Y8" s="468"/>
      <c r="Z8" s="468"/>
      <c r="AB8" s="123">
        <v>1975</v>
      </c>
      <c r="AN8" s="304" t="s">
        <v>307</v>
      </c>
      <c r="AP8" s="415">
        <f>AVERAGE(AP17:AP37)</f>
        <v>141.38095238095238</v>
      </c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I8"/>
      <c r="BJ8"/>
      <c r="BK8"/>
      <c r="BL8"/>
      <c r="BM8"/>
      <c r="BN8"/>
      <c r="BO8"/>
      <c r="BP8"/>
      <c r="BQ8"/>
    </row>
    <row r="9" spans="1:69">
      <c r="A9" s="123">
        <v>1976</v>
      </c>
      <c r="B9" s="130">
        <v>27793</v>
      </c>
      <c r="C9" s="123">
        <v>8</v>
      </c>
      <c r="D9" s="346" t="str">
        <f>TEXT(WEEKDAY(B9),"ddd")</f>
        <v>Tue</v>
      </c>
      <c r="E9" s="347">
        <v>3082</v>
      </c>
      <c r="L9" s="696"/>
      <c r="P9" s="374">
        <f>[4]Data!$I41</f>
        <v>647407</v>
      </c>
      <c r="V9" s="123"/>
      <c r="W9" s="123"/>
      <c r="X9" s="339">
        <f>[5]Feb!L4</f>
        <v>42.8</v>
      </c>
      <c r="Y9" s="339">
        <f>[5]Feb!J4</f>
        <v>40.1</v>
      </c>
      <c r="Z9" s="339">
        <f>[5]Feb!K4</f>
        <v>48.2</v>
      </c>
      <c r="AB9" s="123">
        <v>1976</v>
      </c>
      <c r="AP9" s="123"/>
      <c r="AQ9" s="938" t="s">
        <v>369</v>
      </c>
      <c r="AR9" s="938"/>
      <c r="AS9"/>
      <c r="AT9"/>
      <c r="AU9"/>
      <c r="AV9"/>
      <c r="AW9"/>
      <c r="AX9"/>
      <c r="AY9"/>
      <c r="AZ9"/>
      <c r="BA9"/>
      <c r="BB9"/>
      <c r="BC9"/>
      <c r="BD9"/>
      <c r="BE9"/>
      <c r="BI9" s="938" t="s">
        <v>369</v>
      </c>
      <c r="BJ9" s="938"/>
      <c r="BK9"/>
      <c r="BL9"/>
      <c r="BM9"/>
      <c r="BN9"/>
      <c r="BO9"/>
      <c r="BP9"/>
      <c r="BQ9"/>
    </row>
    <row r="10" spans="1:69">
      <c r="A10" s="123">
        <v>1977</v>
      </c>
      <c r="B10" s="130">
        <v>28157</v>
      </c>
      <c r="C10" s="123">
        <v>9</v>
      </c>
      <c r="D10" s="346" t="str">
        <f>TEXT(WEEKDAY(B10),"ddd")</f>
        <v>Tue</v>
      </c>
      <c r="E10" s="347">
        <v>3718</v>
      </c>
      <c r="L10" s="696"/>
      <c r="P10" s="374">
        <f>[4]Data!$I42</f>
        <v>671610</v>
      </c>
      <c r="V10" s="123"/>
      <c r="W10" s="123"/>
      <c r="X10" s="339">
        <f>[5]Feb!L5</f>
        <v>37.799999999999997</v>
      </c>
      <c r="Y10" s="339">
        <f>[5]Feb!J5</f>
        <v>36.9</v>
      </c>
      <c r="Z10" s="339">
        <f>[5]Feb!K5</f>
        <v>39.6</v>
      </c>
      <c r="AB10" s="123">
        <v>1977</v>
      </c>
      <c r="AP10" s="123"/>
      <c r="AQ10" s="1" t="s">
        <v>370</v>
      </c>
      <c r="AR10" s="797">
        <v>0.98017117631355066</v>
      </c>
      <c r="AS10"/>
      <c r="AT10"/>
      <c r="AU10"/>
      <c r="AV10"/>
      <c r="AW10"/>
      <c r="AX10"/>
      <c r="AY10"/>
      <c r="AZ10"/>
      <c r="BA10"/>
      <c r="BB10"/>
      <c r="BC10"/>
      <c r="BD10"/>
      <c r="BE10"/>
      <c r="BI10" s="1" t="s">
        <v>370</v>
      </c>
      <c r="BJ10" s="797">
        <v>0.99298485943057291</v>
      </c>
      <c r="BK10"/>
      <c r="BL10"/>
      <c r="BM10"/>
      <c r="BN10"/>
      <c r="BO10"/>
      <c r="BP10"/>
      <c r="BQ10"/>
    </row>
    <row r="11" spans="1:69">
      <c r="A11" s="123">
        <v>1978</v>
      </c>
      <c r="B11" s="130">
        <v>28528</v>
      </c>
      <c r="C11" s="131">
        <v>9</v>
      </c>
      <c r="D11" s="346" t="str">
        <f t="shared" ref="D11:D35" si="0">TEXT(WEEKDAY(B11),"ddd")</f>
        <v>Tue</v>
      </c>
      <c r="E11" s="132">
        <v>4125</v>
      </c>
      <c r="F11" s="133"/>
      <c r="G11" s="132"/>
      <c r="H11" s="134"/>
      <c r="I11" s="134"/>
      <c r="J11" s="133"/>
      <c r="K11" s="132"/>
      <c r="L11" s="570"/>
      <c r="M11" s="133"/>
      <c r="N11" s="133"/>
      <c r="O11" s="133"/>
      <c r="P11" s="374">
        <f>[4]Data!$I43</f>
        <v>700169</v>
      </c>
      <c r="U11" s="134">
        <f t="shared" ref="U11:U30" si="1">P11-Q11</f>
        <v>700169</v>
      </c>
      <c r="W11" s="132"/>
      <c r="X11" s="339">
        <f>[5]Feb!L6</f>
        <v>36.4</v>
      </c>
      <c r="Y11" s="339">
        <f>[5]Feb!J6</f>
        <v>34.299999999999997</v>
      </c>
      <c r="Z11" s="339">
        <f>[5]Feb!K6</f>
        <v>40.9</v>
      </c>
      <c r="AB11" s="123">
        <v>1978</v>
      </c>
      <c r="AP11" s="123"/>
      <c r="AQ11" s="1" t="s">
        <v>371</v>
      </c>
      <c r="AR11" s="797">
        <v>0.96073553487588959</v>
      </c>
      <c r="AS11"/>
      <c r="AT11"/>
      <c r="AU11"/>
      <c r="AV11"/>
      <c r="AW11"/>
      <c r="AX11"/>
      <c r="AY11"/>
      <c r="AZ11"/>
      <c r="BA11"/>
      <c r="BB11"/>
      <c r="BC11"/>
      <c r="BD11"/>
      <c r="BE11"/>
      <c r="BG11" s="118"/>
      <c r="BI11" s="1" t="s">
        <v>371</v>
      </c>
      <c r="BJ11" s="797">
        <v>0.9860189310583547</v>
      </c>
      <c r="BK11"/>
      <c r="BL11"/>
      <c r="BM11"/>
      <c r="BN11"/>
      <c r="BO11"/>
      <c r="BP11"/>
      <c r="BQ11"/>
    </row>
    <row r="12" spans="1:69">
      <c r="A12" s="123">
        <v>1979</v>
      </c>
      <c r="B12" s="130">
        <v>28888</v>
      </c>
      <c r="C12" s="123">
        <v>8</v>
      </c>
      <c r="D12" s="346" t="str">
        <f t="shared" si="0"/>
        <v>Fri</v>
      </c>
      <c r="E12" s="134">
        <v>4127</v>
      </c>
      <c r="F12" s="133"/>
      <c r="G12" s="134"/>
      <c r="H12" s="134"/>
      <c r="I12" s="134"/>
      <c r="J12" s="133"/>
      <c r="K12" s="134"/>
      <c r="L12" s="570"/>
      <c r="M12" s="133"/>
      <c r="N12" s="133"/>
      <c r="O12" s="133"/>
      <c r="P12" s="374">
        <f>[4]Data!$I44</f>
        <v>733380</v>
      </c>
      <c r="U12" s="134">
        <f t="shared" si="1"/>
        <v>733380</v>
      </c>
      <c r="W12" s="134"/>
      <c r="X12" s="339">
        <f>[5]Feb!L7</f>
        <v>39.200000000000003</v>
      </c>
      <c r="Y12" s="339">
        <f>[5]Feb!J7</f>
        <v>37.799999999999997</v>
      </c>
      <c r="Z12" s="339">
        <f>[5]Feb!K7</f>
        <v>42.2</v>
      </c>
      <c r="AB12" s="123">
        <v>1979</v>
      </c>
      <c r="AP12" s="123"/>
      <c r="AQ12" s="1" t="s">
        <v>372</v>
      </c>
      <c r="AR12" s="797">
        <v>0.95149683719962841</v>
      </c>
      <c r="AS12"/>
      <c r="AT12"/>
      <c r="AU12"/>
      <c r="AV12"/>
      <c r="AW12"/>
      <c r="AX12"/>
      <c r="AY12"/>
      <c r="AZ12"/>
      <c r="BA12"/>
      <c r="BB12"/>
      <c r="BC12"/>
      <c r="BD12"/>
      <c r="BE12"/>
      <c r="BI12" s="1" t="s">
        <v>372</v>
      </c>
      <c r="BJ12" s="797">
        <v>0.98368875290141389</v>
      </c>
      <c r="BK12"/>
      <c r="BL12"/>
      <c r="BM12"/>
      <c r="BN12"/>
      <c r="BO12"/>
      <c r="BP12"/>
      <c r="BQ12"/>
    </row>
    <row r="13" spans="1:69">
      <c r="A13" s="123">
        <v>1980</v>
      </c>
      <c r="B13" s="130">
        <v>29253</v>
      </c>
      <c r="C13" s="123">
        <v>9</v>
      </c>
      <c r="D13" s="346" t="str">
        <f t="shared" si="0"/>
        <v>Sat</v>
      </c>
      <c r="E13" s="134">
        <f>[6]Hist!$G$6</f>
        <v>4391</v>
      </c>
      <c r="F13" s="134">
        <f>[6]Hist!$H$6</f>
        <v>3720</v>
      </c>
      <c r="G13" s="164">
        <f>SUM([6]Hist!$M$6:$O$6)</f>
        <v>0</v>
      </c>
      <c r="H13" s="164">
        <f>[6]Hist!L$6</f>
        <v>0</v>
      </c>
      <c r="I13" s="164">
        <f>[6]Hist!$P$6</f>
        <v>0</v>
      </c>
      <c r="J13" s="133">
        <f>SUM(F13:I13)</f>
        <v>3720</v>
      </c>
      <c r="K13" s="164">
        <f>[6]Hist!$U$6</f>
        <v>0</v>
      </c>
      <c r="L13" s="1431">
        <f>[6]Hist!$V$6</f>
        <v>0</v>
      </c>
      <c r="M13" s="133">
        <f>SUM(J13:K13)</f>
        <v>3720</v>
      </c>
      <c r="N13" s="781">
        <v>150</v>
      </c>
      <c r="O13" s="133">
        <f>J13-N13-L13</f>
        <v>3570</v>
      </c>
      <c r="P13" s="374">
        <f>[4]Data!$I45</f>
        <v>770955</v>
      </c>
      <c r="U13" s="134">
        <f t="shared" si="1"/>
        <v>770955</v>
      </c>
      <c r="W13" s="134"/>
      <c r="X13" s="339">
        <f>[5]Feb!L8</f>
        <v>39</v>
      </c>
      <c r="Y13" s="339">
        <f>[5]Feb!J8</f>
        <v>38.200000000000003</v>
      </c>
      <c r="Z13" s="339">
        <f>[5]Feb!K8</f>
        <v>40.6</v>
      </c>
      <c r="AB13" s="123">
        <v>1980</v>
      </c>
      <c r="AC13" s="134">
        <f t="shared" ref="AC13:AC41" si="2">O13</f>
        <v>3570</v>
      </c>
      <c r="AD13" s="144">
        <f t="shared" ref="AD13:AD41" si="3">Z13</f>
        <v>40.6</v>
      </c>
      <c r="AE13" s="136">
        <f t="shared" ref="AE13:AE40" si="4">Y13</f>
        <v>38.200000000000003</v>
      </c>
      <c r="AF13" s="136">
        <f t="shared" ref="AF13:AF45" si="5">X13</f>
        <v>39</v>
      </c>
      <c r="AG13" s="134">
        <f t="shared" ref="AG13:AG44" si="6">P13</f>
        <v>770955</v>
      </c>
      <c r="AH13" s="134">
        <v>1</v>
      </c>
      <c r="AI13" s="134">
        <v>0</v>
      </c>
      <c r="AJ13" s="134">
        <f t="shared" ref="AJ13:AJ16" si="7">ROUND($AR$23+$AR$24*$AF13+$AR$25*$AG13+$AR$26*$AH13+$AR$27*$AI13,0)</f>
        <v>3465</v>
      </c>
      <c r="AK13" s="134">
        <f t="shared" ref="AK13:AK45" si="8">AC13-AJ13</f>
        <v>105</v>
      </c>
      <c r="AP13" s="123"/>
      <c r="AQ13" s="1" t="s">
        <v>373</v>
      </c>
      <c r="AR13" s="797">
        <v>247.22105165555286</v>
      </c>
      <c r="AS13"/>
      <c r="AT13"/>
      <c r="AU13"/>
      <c r="AV13"/>
      <c r="AW13"/>
      <c r="AX13"/>
      <c r="AY13"/>
      <c r="AZ13"/>
      <c r="BA13"/>
      <c r="BB13"/>
      <c r="BC13"/>
      <c r="BD13"/>
      <c r="BE13"/>
      <c r="BG13" s="102"/>
      <c r="BI13" s="1" t="s">
        <v>373</v>
      </c>
      <c r="BJ13" s="1137">
        <v>205.97190063491229</v>
      </c>
      <c r="BK13"/>
      <c r="BL13"/>
      <c r="BM13"/>
      <c r="BN13"/>
      <c r="BO13"/>
      <c r="BP13"/>
      <c r="BQ13"/>
    </row>
    <row r="14" spans="1:69" ht="13.5" thickBot="1">
      <c r="A14" s="123">
        <v>1981</v>
      </c>
      <c r="B14" s="130">
        <v>29621</v>
      </c>
      <c r="C14" s="123">
        <v>8</v>
      </c>
      <c r="D14" s="346" t="str">
        <f t="shared" si="0"/>
        <v>Wed</v>
      </c>
      <c r="E14" s="134">
        <f>[6]Hist!$G$18</f>
        <v>4610</v>
      </c>
      <c r="F14" s="134">
        <f>[6]Hist!$H$18</f>
        <v>3743</v>
      </c>
      <c r="G14" s="164">
        <f>SUM([6]Hist!$M$18:$O$18)</f>
        <v>0</v>
      </c>
      <c r="H14" s="164">
        <f>[6]Hist!L$18</f>
        <v>0</v>
      </c>
      <c r="I14" s="164">
        <f>[6]Hist!$P$18</f>
        <v>0</v>
      </c>
      <c r="J14" s="133">
        <f t="shared" ref="J14:J33" si="9">SUM(F14:I14)</f>
        <v>3743</v>
      </c>
      <c r="K14" s="164">
        <f>[6]Hist!$U$18</f>
        <v>0</v>
      </c>
      <c r="L14" s="1431">
        <f>[6]Hist!$V$18</f>
        <v>11</v>
      </c>
      <c r="M14" s="133">
        <f t="shared" ref="M14:M40" si="10">SUM(J14:K14)</f>
        <v>3743</v>
      </c>
      <c r="N14" s="781">
        <v>150</v>
      </c>
      <c r="O14" s="133">
        <f t="shared" ref="O14:O46" si="11">J14-N14-L14</f>
        <v>3582</v>
      </c>
      <c r="P14" s="374">
        <f>[4]Data!$I46</f>
        <v>804219</v>
      </c>
      <c r="U14" s="134">
        <f t="shared" si="1"/>
        <v>804219</v>
      </c>
      <c r="W14" s="134"/>
      <c r="X14" s="339">
        <f>[5]Feb!L9</f>
        <v>35.799999999999997</v>
      </c>
      <c r="Y14" s="339">
        <f>[5]Feb!J9</f>
        <v>33.9</v>
      </c>
      <c r="Z14" s="339">
        <f>[5]Feb!K9</f>
        <v>39.799999999999997</v>
      </c>
      <c r="AB14" s="123">
        <v>1981</v>
      </c>
      <c r="AC14" s="134">
        <f t="shared" si="2"/>
        <v>3582</v>
      </c>
      <c r="AD14" s="144">
        <f t="shared" si="3"/>
        <v>39.799999999999997</v>
      </c>
      <c r="AE14" s="136">
        <f t="shared" si="4"/>
        <v>33.9</v>
      </c>
      <c r="AF14" s="136">
        <f t="shared" si="5"/>
        <v>35.799999999999997</v>
      </c>
      <c r="AG14" s="134">
        <f t="shared" si="6"/>
        <v>804219</v>
      </c>
      <c r="AH14" s="301">
        <v>0</v>
      </c>
      <c r="AI14" s="134">
        <v>0</v>
      </c>
      <c r="AJ14" s="134">
        <f t="shared" si="7"/>
        <v>4863</v>
      </c>
      <c r="AK14" s="301">
        <f t="shared" si="8"/>
        <v>-1281</v>
      </c>
      <c r="AP14" s="322">
        <f t="shared" ref="AP14:AP45" si="12">AC14-AC13</f>
        <v>12</v>
      </c>
      <c r="AQ14" s="796" t="s">
        <v>374</v>
      </c>
      <c r="AR14" s="796">
        <v>22</v>
      </c>
      <c r="AS14"/>
      <c r="AT14"/>
      <c r="AU14"/>
      <c r="AV14"/>
      <c r="AW14"/>
      <c r="AX14"/>
      <c r="AY14"/>
      <c r="AZ14"/>
      <c r="BA14"/>
      <c r="BB14"/>
      <c r="BC14"/>
      <c r="BD14"/>
      <c r="BE14"/>
      <c r="BG14" s="102"/>
      <c r="BI14" s="796" t="s">
        <v>374</v>
      </c>
      <c r="BJ14" s="796">
        <v>29</v>
      </c>
      <c r="BK14"/>
      <c r="BL14"/>
      <c r="BM14"/>
      <c r="BN14"/>
      <c r="BO14"/>
      <c r="BP14"/>
      <c r="BQ14"/>
    </row>
    <row r="15" spans="1:69">
      <c r="A15" s="123">
        <v>1982</v>
      </c>
      <c r="B15" s="130">
        <v>30005</v>
      </c>
      <c r="C15" s="123">
        <v>8</v>
      </c>
      <c r="D15" s="346" t="str">
        <f t="shared" si="0"/>
        <v>Tue</v>
      </c>
      <c r="E15" s="134">
        <f>[6]Hist!$G$30</f>
        <v>3374</v>
      </c>
      <c r="F15" s="134">
        <f>[6]Hist!$H$30</f>
        <v>2758</v>
      </c>
      <c r="G15" s="164">
        <f>SUM([6]Hist!$M$30:$O$30)</f>
        <v>0</v>
      </c>
      <c r="H15" s="164">
        <f>[6]Hist!L$30</f>
        <v>0</v>
      </c>
      <c r="I15" s="164">
        <f>[6]Hist!$P$30</f>
        <v>0</v>
      </c>
      <c r="J15" s="133">
        <f t="shared" si="9"/>
        <v>2758</v>
      </c>
      <c r="K15" s="164">
        <f>[6]Hist!$U$30</f>
        <v>11</v>
      </c>
      <c r="L15" s="1431">
        <f>[6]Hist!$V$30</f>
        <v>12</v>
      </c>
      <c r="M15" s="133">
        <f t="shared" si="10"/>
        <v>2769</v>
      </c>
      <c r="N15" s="781">
        <v>150</v>
      </c>
      <c r="O15" s="133">
        <f t="shared" si="11"/>
        <v>2596</v>
      </c>
      <c r="P15" s="374">
        <f>[4]Data!$I47</f>
        <v>832155</v>
      </c>
      <c r="U15" s="134">
        <f t="shared" si="1"/>
        <v>832155</v>
      </c>
      <c r="W15" s="134"/>
      <c r="X15" s="339">
        <f>[5]Feb!L10</f>
        <v>47.1</v>
      </c>
      <c r="Y15" s="339">
        <f>[5]Feb!J10</f>
        <v>43.3</v>
      </c>
      <c r="Z15" s="339">
        <f>[5]Feb!K10</f>
        <v>55</v>
      </c>
      <c r="AB15" s="123">
        <v>1982</v>
      </c>
      <c r="AC15" s="134">
        <f t="shared" si="2"/>
        <v>2596</v>
      </c>
      <c r="AD15" s="144">
        <f t="shared" si="3"/>
        <v>55</v>
      </c>
      <c r="AE15" s="136">
        <f t="shared" si="4"/>
        <v>43.3</v>
      </c>
      <c r="AF15" s="136">
        <f t="shared" si="5"/>
        <v>47.1</v>
      </c>
      <c r="AG15" s="134">
        <f t="shared" si="6"/>
        <v>832155</v>
      </c>
      <c r="AH15" s="134">
        <v>0</v>
      </c>
      <c r="AI15" s="134">
        <v>0</v>
      </c>
      <c r="AJ15" s="134">
        <f t="shared" si="7"/>
        <v>3009</v>
      </c>
      <c r="AK15" s="134">
        <f t="shared" si="8"/>
        <v>-413</v>
      </c>
      <c r="AP15" s="322">
        <f t="shared" si="12"/>
        <v>-986</v>
      </c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G15" s="102"/>
      <c r="BI15"/>
      <c r="BJ15"/>
      <c r="BK15"/>
      <c r="BL15"/>
      <c r="BM15"/>
      <c r="BN15"/>
      <c r="BO15"/>
      <c r="BP15"/>
      <c r="BQ15"/>
    </row>
    <row r="16" spans="1:69" ht="13.5" thickBot="1">
      <c r="A16" s="123">
        <v>1983</v>
      </c>
      <c r="B16" s="130">
        <v>30356</v>
      </c>
      <c r="C16" s="123">
        <v>8</v>
      </c>
      <c r="D16" s="346" t="str">
        <f t="shared" si="0"/>
        <v>Wed</v>
      </c>
      <c r="E16" s="134">
        <f>[6]Hist!$G$42</f>
        <v>4554</v>
      </c>
      <c r="F16" s="134">
        <f>[6]Hist!$H$42</f>
        <v>3747</v>
      </c>
      <c r="G16" s="164">
        <f>SUM([6]Hist!$M$42:$O$42)</f>
        <v>0</v>
      </c>
      <c r="H16" s="164">
        <f>[6]Hist!L$42</f>
        <v>0</v>
      </c>
      <c r="I16" s="164">
        <f>[6]Hist!$P$42</f>
        <v>0</v>
      </c>
      <c r="J16" s="133">
        <f t="shared" si="9"/>
        <v>3747</v>
      </c>
      <c r="K16" s="164">
        <f>[6]Hist!$U$42</f>
        <v>23</v>
      </c>
      <c r="L16" s="1431">
        <f>[6]Hist!$V$42</f>
        <v>36</v>
      </c>
      <c r="M16" s="133">
        <f t="shared" si="10"/>
        <v>3770</v>
      </c>
      <c r="N16" s="781">
        <v>150</v>
      </c>
      <c r="O16" s="133">
        <f t="shared" si="11"/>
        <v>3561</v>
      </c>
      <c r="P16" s="374">
        <f>[4]Data!$I48</f>
        <v>863044</v>
      </c>
      <c r="U16" s="134">
        <f t="shared" si="1"/>
        <v>863044</v>
      </c>
      <c r="W16" s="134"/>
      <c r="X16" s="339">
        <f>[5]Feb!L11</f>
        <v>40.6</v>
      </c>
      <c r="Y16" s="339">
        <f>[5]Feb!J11</f>
        <v>37.799999999999997</v>
      </c>
      <c r="Z16" s="339">
        <f>[5]Feb!K11</f>
        <v>46.5</v>
      </c>
      <c r="AB16" s="121">
        <v>1983</v>
      </c>
      <c r="AC16" s="898">
        <f t="shared" si="2"/>
        <v>3561</v>
      </c>
      <c r="AD16" s="899">
        <f t="shared" si="3"/>
        <v>46.5</v>
      </c>
      <c r="AE16" s="900">
        <f t="shared" si="4"/>
        <v>37.799999999999997</v>
      </c>
      <c r="AF16" s="900">
        <f t="shared" si="5"/>
        <v>40.6</v>
      </c>
      <c r="AG16" s="898">
        <f t="shared" si="6"/>
        <v>863044</v>
      </c>
      <c r="AH16" s="898">
        <v>0</v>
      </c>
      <c r="AI16" s="898">
        <v>0</v>
      </c>
      <c r="AJ16" s="898">
        <f t="shared" si="7"/>
        <v>4287</v>
      </c>
      <c r="AK16" s="898">
        <f t="shared" si="8"/>
        <v>-726</v>
      </c>
      <c r="AL16" s="122"/>
      <c r="AM16" s="122"/>
      <c r="AN16" s="122"/>
      <c r="AO16" s="122"/>
      <c r="AP16" s="901">
        <f t="shared" si="12"/>
        <v>965</v>
      </c>
      <c r="AQ16" t="s">
        <v>375</v>
      </c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G16" s="102"/>
      <c r="BI16" t="s">
        <v>375</v>
      </c>
      <c r="BJ16"/>
      <c r="BK16"/>
      <c r="BL16"/>
      <c r="BM16"/>
      <c r="BN16"/>
      <c r="BO16"/>
      <c r="BP16"/>
      <c r="BQ16"/>
    </row>
    <row r="17" spans="1:69">
      <c r="A17" s="123">
        <v>1984</v>
      </c>
      <c r="B17" s="130">
        <v>30719</v>
      </c>
      <c r="C17" s="123">
        <v>8</v>
      </c>
      <c r="D17" s="346" t="str">
        <f t="shared" si="0"/>
        <v>Tue</v>
      </c>
      <c r="E17" s="134">
        <f>[6]Hist!$G$54</f>
        <v>4711</v>
      </c>
      <c r="F17" s="134">
        <f>[6]Hist!$H$54</f>
        <v>4086</v>
      </c>
      <c r="G17" s="164">
        <f>SUM([6]Hist!$M$54:$O$54)</f>
        <v>0</v>
      </c>
      <c r="H17" s="164">
        <f>[6]Hist!L$54</f>
        <v>0</v>
      </c>
      <c r="I17" s="164">
        <f>[6]Hist!$P$54</f>
        <v>0</v>
      </c>
      <c r="J17" s="133">
        <f t="shared" si="9"/>
        <v>4086</v>
      </c>
      <c r="K17" s="164">
        <f>[6]Hist!$U$54</f>
        <v>43</v>
      </c>
      <c r="L17" s="1431">
        <f>[6]Hist!$V$54</f>
        <v>36</v>
      </c>
      <c r="M17" s="133">
        <f t="shared" si="10"/>
        <v>4129</v>
      </c>
      <c r="N17" s="781">
        <v>150</v>
      </c>
      <c r="O17" s="133">
        <f t="shared" si="11"/>
        <v>3900</v>
      </c>
      <c r="P17" s="374">
        <f>[4]Data!$I49</f>
        <v>899968</v>
      </c>
      <c r="U17" s="134">
        <f t="shared" si="1"/>
        <v>899968</v>
      </c>
      <c r="W17" s="134"/>
      <c r="X17" s="339">
        <f>[5]Feb!L12</f>
        <v>37.9</v>
      </c>
      <c r="Y17" s="339">
        <f>[5]Feb!J12</f>
        <v>35.5</v>
      </c>
      <c r="Z17" s="339">
        <f>[5]Feb!K12</f>
        <v>42.9</v>
      </c>
      <c r="AB17" s="844">
        <v>1984</v>
      </c>
      <c r="AC17" s="134">
        <f t="shared" si="2"/>
        <v>3900</v>
      </c>
      <c r="AD17" s="144">
        <f t="shared" si="3"/>
        <v>42.9</v>
      </c>
      <c r="AE17" s="136">
        <f t="shared" si="4"/>
        <v>35.5</v>
      </c>
      <c r="AF17" s="904">
        <f t="shared" si="5"/>
        <v>37.9</v>
      </c>
      <c r="AG17" s="134">
        <f t="shared" si="6"/>
        <v>899968</v>
      </c>
      <c r="AH17" s="136">
        <v>1</v>
      </c>
      <c r="AI17" s="136">
        <v>0</v>
      </c>
      <c r="AJ17" s="134">
        <f>ROUND($AR$23+$AR$24*$AF17+$AR$25*$AG17+$AR$26*$AH17+$AR$27*$AI17,0)</f>
        <v>4237</v>
      </c>
      <c r="AK17" s="301">
        <f t="shared" si="8"/>
        <v>-337</v>
      </c>
      <c r="AL17" s="123"/>
      <c r="AM17" s="126"/>
      <c r="AN17" s="126"/>
      <c r="AP17" s="322">
        <f t="shared" si="12"/>
        <v>339</v>
      </c>
      <c r="AQ17" s="937"/>
      <c r="AR17" s="937" t="s">
        <v>378</v>
      </c>
      <c r="AS17" s="937" t="s">
        <v>20</v>
      </c>
      <c r="AT17" s="937" t="s">
        <v>379</v>
      </c>
      <c r="AU17" s="937" t="s">
        <v>273</v>
      </c>
      <c r="AV17" s="937" t="s">
        <v>380</v>
      </c>
      <c r="AW17"/>
      <c r="AX17"/>
      <c r="AY17"/>
      <c r="AZ17"/>
      <c r="BA17"/>
      <c r="BB17"/>
      <c r="BC17"/>
      <c r="BD17"/>
      <c r="BE17"/>
      <c r="BG17" s="102"/>
      <c r="BI17" s="937"/>
      <c r="BJ17" s="937" t="s">
        <v>378</v>
      </c>
      <c r="BK17" s="937" t="s">
        <v>20</v>
      </c>
      <c r="BL17" s="937" t="s">
        <v>379</v>
      </c>
      <c r="BM17" s="937" t="s">
        <v>273</v>
      </c>
      <c r="BN17" s="937" t="s">
        <v>380</v>
      </c>
      <c r="BO17"/>
      <c r="BP17"/>
      <c r="BQ17"/>
    </row>
    <row r="18" spans="1:69">
      <c r="A18" s="123">
        <v>1985</v>
      </c>
      <c r="B18" s="130">
        <v>31091</v>
      </c>
      <c r="C18" s="123">
        <v>8</v>
      </c>
      <c r="D18" s="346" t="str">
        <f t="shared" si="0"/>
        <v>Wed</v>
      </c>
      <c r="E18" s="134">
        <f>[6]Hist!$G$66</f>
        <v>4516</v>
      </c>
      <c r="F18" s="134">
        <f>[6]Hist!$H$66</f>
        <v>4110</v>
      </c>
      <c r="G18" s="164">
        <f>SUM([6]Hist!$M$66:$O$66)</f>
        <v>0</v>
      </c>
      <c r="H18" s="164">
        <f>[6]Hist!L$66</f>
        <v>0</v>
      </c>
      <c r="I18" s="164">
        <f>[6]Hist!$P$66</f>
        <v>0</v>
      </c>
      <c r="J18" s="133">
        <f t="shared" si="9"/>
        <v>4110</v>
      </c>
      <c r="K18" s="164">
        <f>[6]Hist!$U$66</f>
        <v>61</v>
      </c>
      <c r="L18" s="1431">
        <f>[6]Hist!$V$66</f>
        <v>42</v>
      </c>
      <c r="M18" s="133">
        <f t="shared" si="10"/>
        <v>4171</v>
      </c>
      <c r="N18" s="164">
        <f>[6]Hist!$AA$66</f>
        <v>186</v>
      </c>
      <c r="O18" s="133">
        <f t="shared" si="11"/>
        <v>3882</v>
      </c>
      <c r="P18" s="374">
        <f>[4]Data!$I50</f>
        <v>939787</v>
      </c>
      <c r="U18" s="134">
        <f t="shared" si="1"/>
        <v>939787</v>
      </c>
      <c r="W18" s="134"/>
      <c r="X18" s="339">
        <f>[5]Feb!L13</f>
        <v>42.9</v>
      </c>
      <c r="Y18" s="339">
        <f>[5]Feb!J13</f>
        <v>40.5</v>
      </c>
      <c r="Z18" s="339">
        <f>[5]Feb!K13</f>
        <v>47.7</v>
      </c>
      <c r="AB18" s="844">
        <v>1985</v>
      </c>
      <c r="AC18" s="134">
        <f t="shared" si="2"/>
        <v>3882</v>
      </c>
      <c r="AD18" s="144">
        <f t="shared" si="3"/>
        <v>47.7</v>
      </c>
      <c r="AE18" s="136">
        <f t="shared" si="4"/>
        <v>40.5</v>
      </c>
      <c r="AF18" s="904">
        <f t="shared" si="5"/>
        <v>42.9</v>
      </c>
      <c r="AG18" s="134">
        <f t="shared" si="6"/>
        <v>939787</v>
      </c>
      <c r="AH18" s="136">
        <v>0</v>
      </c>
      <c r="AI18" s="136">
        <v>0</v>
      </c>
      <c r="AJ18" s="134">
        <f t="shared" ref="AJ18:AJ46" si="13">ROUND($AR$23+$AR$24*$AF18+$AR$25*$AG18+$AR$26*$AH18+$AR$27*$AI18,0)</f>
        <v>4228</v>
      </c>
      <c r="AK18" s="134">
        <f t="shared" si="8"/>
        <v>-346</v>
      </c>
      <c r="AL18" s="134"/>
      <c r="AM18" s="134"/>
      <c r="AP18" s="322">
        <f t="shared" si="12"/>
        <v>-18</v>
      </c>
      <c r="AQ18" s="1" t="s">
        <v>376</v>
      </c>
      <c r="AR18" s="1">
        <v>4</v>
      </c>
      <c r="AS18" s="1">
        <v>25422835.601829391</v>
      </c>
      <c r="AT18" s="1">
        <v>6355708.9004573477</v>
      </c>
      <c r="AU18" s="1">
        <v>103.99036406878943</v>
      </c>
      <c r="AV18" s="1">
        <v>1.0260986669734358E-11</v>
      </c>
      <c r="AW18"/>
      <c r="AX18"/>
      <c r="AY18"/>
      <c r="AZ18"/>
      <c r="BA18" s="124">
        <f t="shared" ref="BA18:BA30" si="14">AB18</f>
        <v>1985</v>
      </c>
      <c r="BB18" s="134">
        <f t="shared" ref="BB18:BB46" si="15">ROUND($AR$23+$AR$24*$AF$73+$AR$25*$AG18+$AR$26*$AH18+$AR$27*$AI18,0)</f>
        <v>4473</v>
      </c>
      <c r="BC18" s="102">
        <f t="shared" ref="BC18:BC30" si="16">AC18</f>
        <v>3882</v>
      </c>
      <c r="BD18" s="102">
        <f t="shared" ref="BD18:BD30" si="17">BC18-BB18</f>
        <v>-591</v>
      </c>
      <c r="BE18" s="471">
        <f t="shared" ref="BE18:BE30" si="18">AJ18</f>
        <v>4228</v>
      </c>
      <c r="BF18" s="464">
        <f t="shared" ref="BF18:BF30" si="19">BB18-BE18</f>
        <v>245</v>
      </c>
      <c r="BG18" s="102"/>
      <c r="BI18" s="1" t="s">
        <v>376</v>
      </c>
      <c r="BJ18" s="1">
        <v>4</v>
      </c>
      <c r="BK18" s="1">
        <v>71807874.315332085</v>
      </c>
      <c r="BL18" s="1">
        <v>17951968.578833021</v>
      </c>
      <c r="BM18" s="1">
        <v>423.15173546765641</v>
      </c>
      <c r="BN18" s="1">
        <v>7.1579154893300263E-22</v>
      </c>
      <c r="BO18"/>
      <c r="BP18"/>
      <c r="BQ18"/>
    </row>
    <row r="19" spans="1:69">
      <c r="A19" s="123">
        <v>1986</v>
      </c>
      <c r="B19" s="130">
        <v>31457</v>
      </c>
      <c r="C19" s="123">
        <v>8</v>
      </c>
      <c r="D19" s="346" t="str">
        <f t="shared" si="0"/>
        <v>Fri</v>
      </c>
      <c r="E19" s="134">
        <f>[6]Hist!$G$78</f>
        <v>4651</v>
      </c>
      <c r="F19" s="134">
        <f>[6]Hist!$H$78</f>
        <v>4136</v>
      </c>
      <c r="G19" s="164">
        <f>SUM([6]Hist!$M$78:$O$78)</f>
        <v>0</v>
      </c>
      <c r="H19" s="164">
        <f>[6]Hist!L$78</f>
        <v>0</v>
      </c>
      <c r="I19" s="164">
        <f>[6]Hist!$P$78</f>
        <v>0</v>
      </c>
      <c r="J19" s="133">
        <f t="shared" si="9"/>
        <v>4136</v>
      </c>
      <c r="K19" s="164">
        <f>[6]Hist!$U$78</f>
        <v>76</v>
      </c>
      <c r="L19" s="1431">
        <f>[6]Hist!$V$78</f>
        <v>51</v>
      </c>
      <c r="M19" s="133">
        <f t="shared" si="10"/>
        <v>4212</v>
      </c>
      <c r="N19" s="164">
        <f>[6]Hist!$AA$78</f>
        <v>182</v>
      </c>
      <c r="O19" s="133">
        <f t="shared" si="11"/>
        <v>3903</v>
      </c>
      <c r="P19" s="374">
        <f>[4]Data!$I51</f>
        <v>980831</v>
      </c>
      <c r="U19" s="134">
        <f t="shared" si="1"/>
        <v>980831</v>
      </c>
      <c r="W19" s="134"/>
      <c r="X19" s="339">
        <f>[5]Feb!L14</f>
        <v>42</v>
      </c>
      <c r="Y19" s="339">
        <f>[5]Feb!J14</f>
        <v>40.5</v>
      </c>
      <c r="Z19" s="339">
        <f>[5]Feb!K14</f>
        <v>45.1</v>
      </c>
      <c r="AB19" s="844">
        <v>1986</v>
      </c>
      <c r="AC19" s="134">
        <f t="shared" si="2"/>
        <v>3903</v>
      </c>
      <c r="AD19" s="144">
        <f t="shared" si="3"/>
        <v>45.1</v>
      </c>
      <c r="AE19" s="136">
        <f t="shared" si="4"/>
        <v>40.5</v>
      </c>
      <c r="AF19" s="904">
        <f t="shared" si="5"/>
        <v>42</v>
      </c>
      <c r="AG19" s="134">
        <f t="shared" si="6"/>
        <v>980831</v>
      </c>
      <c r="AH19" s="136">
        <v>0</v>
      </c>
      <c r="AI19" s="136">
        <v>0</v>
      </c>
      <c r="AJ19" s="134">
        <f t="shared" si="13"/>
        <v>4570</v>
      </c>
      <c r="AK19" s="134">
        <f t="shared" si="8"/>
        <v>-667</v>
      </c>
      <c r="AL19" s="134"/>
      <c r="AM19" s="134"/>
      <c r="AP19" s="322">
        <f t="shared" si="12"/>
        <v>21</v>
      </c>
      <c r="AQ19" s="1" t="s">
        <v>377</v>
      </c>
      <c r="AR19" s="1">
        <v>17</v>
      </c>
      <c r="AS19" s="1">
        <v>1039010.2224885181</v>
      </c>
      <c r="AT19" s="1">
        <v>61118.248381677535</v>
      </c>
      <c r="AU19" s="1"/>
      <c r="AV19" s="1"/>
      <c r="AW19"/>
      <c r="AX19"/>
      <c r="AY19"/>
      <c r="AZ19"/>
      <c r="BA19" s="124">
        <f t="shared" si="14"/>
        <v>1986</v>
      </c>
      <c r="BB19" s="134">
        <f t="shared" si="15"/>
        <v>4658</v>
      </c>
      <c r="BC19" s="102">
        <f t="shared" si="16"/>
        <v>3903</v>
      </c>
      <c r="BD19" s="102">
        <f t="shared" si="17"/>
        <v>-755</v>
      </c>
      <c r="BE19" s="471">
        <f t="shared" si="18"/>
        <v>4570</v>
      </c>
      <c r="BF19" s="464">
        <f t="shared" si="19"/>
        <v>88</v>
      </c>
      <c r="BG19" s="102"/>
      <c r="BI19" s="1" t="s">
        <v>377</v>
      </c>
      <c r="BJ19" s="1">
        <v>24</v>
      </c>
      <c r="BK19" s="1">
        <v>1018186.1724277965</v>
      </c>
      <c r="BL19" s="1">
        <v>42424.423851158186</v>
      </c>
      <c r="BM19" s="1"/>
      <c r="BN19" s="1"/>
      <c r="BO19"/>
      <c r="BP19"/>
      <c r="BQ19"/>
    </row>
    <row r="20" spans="1:69" ht="13.5" thickBot="1">
      <c r="A20" s="123">
        <v>1987</v>
      </c>
      <c r="B20" s="130">
        <v>31818</v>
      </c>
      <c r="C20" s="123">
        <v>8</v>
      </c>
      <c r="D20" s="346" t="str">
        <f t="shared" si="0"/>
        <v>Tue</v>
      </c>
      <c r="E20" s="134">
        <f>[6]Hist!$G$90</f>
        <v>5087</v>
      </c>
      <c r="F20" s="134">
        <f>[6]Hist!$H$90</f>
        <v>4565</v>
      </c>
      <c r="G20" s="164">
        <f>SUM([6]Hist!$M$90:$O$90)</f>
        <v>200</v>
      </c>
      <c r="H20" s="164">
        <f>[6]Hist!L$90</f>
        <v>0</v>
      </c>
      <c r="I20" s="164">
        <f>[6]Hist!$P$90</f>
        <v>0</v>
      </c>
      <c r="J20" s="133">
        <f t="shared" si="9"/>
        <v>4765</v>
      </c>
      <c r="K20" s="164">
        <f>[6]Hist!$U$90</f>
        <v>85</v>
      </c>
      <c r="L20" s="1431">
        <f>[6]Hist!$V$90</f>
        <v>58</v>
      </c>
      <c r="M20" s="133">
        <f t="shared" si="10"/>
        <v>4850</v>
      </c>
      <c r="N20" s="164">
        <f>[6]Hist!$AA$90</f>
        <v>167</v>
      </c>
      <c r="O20" s="133">
        <f t="shared" si="11"/>
        <v>4540</v>
      </c>
      <c r="P20" s="374">
        <f>[4]Data!$I52</f>
        <v>1022732</v>
      </c>
      <c r="U20" s="134">
        <f t="shared" si="1"/>
        <v>1022732</v>
      </c>
      <c r="W20" s="134"/>
      <c r="X20" s="339">
        <f>[5]Feb!L15</f>
        <v>40.6</v>
      </c>
      <c r="Y20" s="339">
        <f>[5]Feb!J15</f>
        <v>38</v>
      </c>
      <c r="Z20" s="339">
        <f>[5]Feb!K15</f>
        <v>46</v>
      </c>
      <c r="AB20" s="844">
        <v>1987</v>
      </c>
      <c r="AC20" s="134">
        <f t="shared" si="2"/>
        <v>4540</v>
      </c>
      <c r="AD20" s="144">
        <f t="shared" si="3"/>
        <v>46</v>
      </c>
      <c r="AE20" s="136">
        <f t="shared" si="4"/>
        <v>38</v>
      </c>
      <c r="AF20" s="904">
        <f t="shared" si="5"/>
        <v>40.6</v>
      </c>
      <c r="AG20" s="134">
        <f t="shared" si="6"/>
        <v>1022732</v>
      </c>
      <c r="AH20" s="136">
        <v>0</v>
      </c>
      <c r="AI20" s="136">
        <v>0</v>
      </c>
      <c r="AJ20" s="134">
        <f t="shared" si="13"/>
        <v>5004</v>
      </c>
      <c r="AK20" s="134">
        <f t="shared" si="8"/>
        <v>-464</v>
      </c>
      <c r="AL20" s="134"/>
      <c r="AM20" s="134"/>
      <c r="AP20" s="322">
        <f t="shared" si="12"/>
        <v>637</v>
      </c>
      <c r="AQ20" s="796" t="s">
        <v>21</v>
      </c>
      <c r="AR20" s="796">
        <v>21</v>
      </c>
      <c r="AS20" s="796">
        <v>26461845.82431791</v>
      </c>
      <c r="AT20" s="796"/>
      <c r="AU20" s="796"/>
      <c r="AV20" s="796"/>
      <c r="AW20"/>
      <c r="AX20"/>
      <c r="AY20"/>
      <c r="AZ20"/>
      <c r="BA20" s="124">
        <f t="shared" si="14"/>
        <v>1987</v>
      </c>
      <c r="BB20" s="134">
        <f t="shared" si="15"/>
        <v>4846</v>
      </c>
      <c r="BC20" s="102">
        <f t="shared" si="16"/>
        <v>4540</v>
      </c>
      <c r="BD20" s="102">
        <f t="shared" si="17"/>
        <v>-306</v>
      </c>
      <c r="BE20" s="471">
        <f t="shared" si="18"/>
        <v>5004</v>
      </c>
      <c r="BF20" s="464">
        <f t="shared" si="19"/>
        <v>-158</v>
      </c>
      <c r="BG20" s="102"/>
      <c r="BI20" s="796" t="s">
        <v>21</v>
      </c>
      <c r="BJ20" s="796">
        <v>28</v>
      </c>
      <c r="BK20" s="796">
        <v>72826060.487759888</v>
      </c>
      <c r="BL20" s="796"/>
      <c r="BM20" s="796"/>
      <c r="BN20" s="796"/>
      <c r="BO20"/>
      <c r="BP20"/>
      <c r="BQ20"/>
    </row>
    <row r="21" spans="1:69" ht="13.5" thickBot="1">
      <c r="A21" s="123">
        <v>1988</v>
      </c>
      <c r="B21" s="130">
        <v>32180</v>
      </c>
      <c r="C21" s="123">
        <v>9</v>
      </c>
      <c r="D21" s="346" t="str">
        <f t="shared" si="0"/>
        <v>Sun</v>
      </c>
      <c r="E21" s="134">
        <f>[6]Hist!$G$102</f>
        <v>5385</v>
      </c>
      <c r="F21" s="134">
        <f>[6]Hist!$H$102</f>
        <v>4583</v>
      </c>
      <c r="G21" s="164">
        <f>SUM([6]Hist!$M$102:$O$102)</f>
        <v>0</v>
      </c>
      <c r="H21" s="164">
        <f>[6]Hist!L$102</f>
        <v>0</v>
      </c>
      <c r="I21" s="164">
        <f>[6]Hist!$P$102</f>
        <v>0</v>
      </c>
      <c r="J21" s="133">
        <f t="shared" si="9"/>
        <v>4583</v>
      </c>
      <c r="K21" s="164">
        <f>[6]Hist!$U$102</f>
        <v>90</v>
      </c>
      <c r="L21" s="1431">
        <f>[6]Hist!$V$102</f>
        <v>61</v>
      </c>
      <c r="M21" s="133">
        <f t="shared" si="10"/>
        <v>4673</v>
      </c>
      <c r="N21" s="164">
        <f>[6]Hist!$AA$102</f>
        <v>242</v>
      </c>
      <c r="O21" s="133">
        <f t="shared" si="11"/>
        <v>4280</v>
      </c>
      <c r="P21" s="374">
        <f>[4]Data!$I53</f>
        <v>1062603</v>
      </c>
      <c r="U21" s="134">
        <f t="shared" si="1"/>
        <v>1062603</v>
      </c>
      <c r="W21" s="134"/>
      <c r="X21" s="339">
        <f>[5]Feb!L16</f>
        <v>42.7</v>
      </c>
      <c r="Y21" s="339">
        <f>[5]Feb!J16</f>
        <v>42.6</v>
      </c>
      <c r="Z21" s="339">
        <f>[5]Feb!K16</f>
        <v>43.1</v>
      </c>
      <c r="AB21" s="844">
        <v>1988</v>
      </c>
      <c r="AC21" s="134">
        <f t="shared" si="2"/>
        <v>4280</v>
      </c>
      <c r="AD21" s="144">
        <f t="shared" si="3"/>
        <v>43.1</v>
      </c>
      <c r="AE21" s="136">
        <f t="shared" si="4"/>
        <v>42.6</v>
      </c>
      <c r="AF21" s="904">
        <f t="shared" si="5"/>
        <v>42.7</v>
      </c>
      <c r="AG21" s="134">
        <f t="shared" si="6"/>
        <v>1062603</v>
      </c>
      <c r="AH21" s="1133">
        <v>0</v>
      </c>
      <c r="AI21" s="136">
        <v>0</v>
      </c>
      <c r="AJ21" s="134">
        <f t="shared" si="13"/>
        <v>4815</v>
      </c>
      <c r="AK21" s="134">
        <f t="shared" si="8"/>
        <v>-535</v>
      </c>
      <c r="AL21" s="134"/>
      <c r="AM21" s="134"/>
      <c r="AP21" s="322">
        <f t="shared" si="12"/>
        <v>-260</v>
      </c>
      <c r="AQ21"/>
      <c r="AR21"/>
      <c r="AS21"/>
      <c r="AT21"/>
      <c r="AU21"/>
      <c r="AV21"/>
      <c r="AW21"/>
      <c r="AX21"/>
      <c r="AY21"/>
      <c r="AZ21"/>
      <c r="BA21" s="124">
        <f t="shared" si="14"/>
        <v>1988</v>
      </c>
      <c r="BB21" s="134">
        <f t="shared" si="15"/>
        <v>5025</v>
      </c>
      <c r="BC21" s="102">
        <f t="shared" si="16"/>
        <v>4280</v>
      </c>
      <c r="BD21" s="102">
        <f t="shared" si="17"/>
        <v>-745</v>
      </c>
      <c r="BE21" s="471">
        <f t="shared" si="18"/>
        <v>4815</v>
      </c>
      <c r="BF21" s="464">
        <f t="shared" si="19"/>
        <v>210</v>
      </c>
      <c r="BG21" s="102"/>
      <c r="BI21"/>
      <c r="BJ21"/>
      <c r="BK21"/>
      <c r="BL21"/>
      <c r="BM21"/>
      <c r="BN21"/>
      <c r="BO21"/>
      <c r="BP21"/>
      <c r="BQ21"/>
    </row>
    <row r="22" spans="1:69">
      <c r="A22" s="123">
        <v>1989</v>
      </c>
      <c r="B22" s="130">
        <v>32563</v>
      </c>
      <c r="C22" s="123">
        <v>8</v>
      </c>
      <c r="D22" s="346" t="str">
        <f t="shared" si="0"/>
        <v>Fri</v>
      </c>
      <c r="E22" s="134">
        <f>[6]Hist!$G$114</f>
        <v>6137</v>
      </c>
      <c r="F22" s="134">
        <f>[6]Hist!$H$114</f>
        <v>5554</v>
      </c>
      <c r="G22" s="164">
        <f>SUM([6]Hist!$M$114:$O$114)</f>
        <v>493</v>
      </c>
      <c r="H22" s="164">
        <f>[6]Hist!L$114</f>
        <v>0</v>
      </c>
      <c r="I22" s="164">
        <f>[6]Hist!$P$114</f>
        <v>0</v>
      </c>
      <c r="J22" s="133">
        <f t="shared" si="9"/>
        <v>6047</v>
      </c>
      <c r="K22" s="164">
        <f>[6]Hist!$U$114</f>
        <v>96</v>
      </c>
      <c r="L22" s="1431">
        <f>[6]Hist!$V$114</f>
        <v>66</v>
      </c>
      <c r="M22" s="133">
        <f t="shared" si="10"/>
        <v>6143</v>
      </c>
      <c r="N22" s="164">
        <f>[6]Hist!$AA$114</f>
        <v>202</v>
      </c>
      <c r="O22" s="133">
        <f t="shared" si="11"/>
        <v>5779</v>
      </c>
      <c r="P22" s="374">
        <f>[4]Data!$I54</f>
        <v>1100403</v>
      </c>
      <c r="U22" s="134">
        <f t="shared" si="1"/>
        <v>1100403</v>
      </c>
      <c r="W22" s="134"/>
      <c r="X22" s="339">
        <f>[5]Feb!L17</f>
        <v>35.6</v>
      </c>
      <c r="Y22" s="339">
        <f>[5]Feb!J17</f>
        <v>33.200000000000003</v>
      </c>
      <c r="Z22" s="339">
        <f>[5]Feb!K17</f>
        <v>40.299999999999997</v>
      </c>
      <c r="AB22" s="844">
        <v>1989</v>
      </c>
      <c r="AC22" s="134">
        <f t="shared" si="2"/>
        <v>5779</v>
      </c>
      <c r="AD22" s="144">
        <f t="shared" si="3"/>
        <v>40.299999999999997</v>
      </c>
      <c r="AE22" s="136">
        <f t="shared" si="4"/>
        <v>33.200000000000003</v>
      </c>
      <c r="AF22" s="904">
        <f t="shared" si="5"/>
        <v>35.6</v>
      </c>
      <c r="AG22" s="134">
        <f t="shared" si="6"/>
        <v>1100403</v>
      </c>
      <c r="AH22" s="136">
        <v>0</v>
      </c>
      <c r="AI22" s="136">
        <v>0</v>
      </c>
      <c r="AJ22" s="134">
        <f t="shared" si="13"/>
        <v>6228</v>
      </c>
      <c r="AK22" s="134">
        <f t="shared" si="8"/>
        <v>-449</v>
      </c>
      <c r="AL22" s="134"/>
      <c r="AM22" s="134"/>
      <c r="AP22" s="322">
        <f t="shared" si="12"/>
        <v>1499</v>
      </c>
      <c r="AQ22" s="920" t="s">
        <v>393</v>
      </c>
      <c r="AR22" s="937" t="s">
        <v>381</v>
      </c>
      <c r="AS22" s="937" t="s">
        <v>373</v>
      </c>
      <c r="AT22" s="937" t="s">
        <v>382</v>
      </c>
      <c r="AU22" s="937" t="s">
        <v>383</v>
      </c>
      <c r="AV22" s="937" t="s">
        <v>384</v>
      </c>
      <c r="AW22" s="937" t="s">
        <v>385</v>
      </c>
      <c r="AX22" s="937" t="s">
        <v>386</v>
      </c>
      <c r="AY22" s="937" t="s">
        <v>387</v>
      </c>
      <c r="AZ22"/>
      <c r="BA22" s="124">
        <f t="shared" si="14"/>
        <v>1989</v>
      </c>
      <c r="BB22" s="134">
        <f t="shared" si="15"/>
        <v>5195</v>
      </c>
      <c r="BC22" s="102">
        <f t="shared" si="16"/>
        <v>5779</v>
      </c>
      <c r="BD22" s="102">
        <f t="shared" si="17"/>
        <v>584</v>
      </c>
      <c r="BE22" s="471">
        <f t="shared" si="18"/>
        <v>6228</v>
      </c>
      <c r="BF22" s="464">
        <f t="shared" si="19"/>
        <v>-1033</v>
      </c>
      <c r="BG22" s="102"/>
      <c r="BI22" s="920" t="s">
        <v>393</v>
      </c>
      <c r="BJ22" s="937" t="s">
        <v>381</v>
      </c>
      <c r="BK22" s="937" t="s">
        <v>373</v>
      </c>
      <c r="BL22" s="937" t="s">
        <v>382</v>
      </c>
      <c r="BM22" s="937" t="s">
        <v>383</v>
      </c>
      <c r="BN22" s="937" t="s">
        <v>384</v>
      </c>
      <c r="BO22" s="937" t="s">
        <v>385</v>
      </c>
      <c r="BP22" s="937" t="s">
        <v>386</v>
      </c>
      <c r="BQ22" s="937" t="s">
        <v>387</v>
      </c>
    </row>
    <row r="23" spans="1:69">
      <c r="A23" s="123">
        <v>1990</v>
      </c>
      <c r="B23" s="130">
        <v>32930</v>
      </c>
      <c r="C23" s="123">
        <v>8</v>
      </c>
      <c r="D23" s="346" t="str">
        <f t="shared" si="0"/>
        <v>Mon</v>
      </c>
      <c r="E23" s="133">
        <f>[7]MoCoinMW!$F$6</f>
        <v>4345</v>
      </c>
      <c r="F23" s="133">
        <f>[7]MoCoinMW!$G$6</f>
        <v>3999.1872689222182</v>
      </c>
      <c r="G23" s="164">
        <f>SUM([6]Hist!$M$86:$O$86)</f>
        <v>0</v>
      </c>
      <c r="H23" s="164">
        <f>[6]Hist!L$86</f>
        <v>0</v>
      </c>
      <c r="I23" s="164">
        <f>[6]Hist!$P$86</f>
        <v>0</v>
      </c>
      <c r="J23" s="133">
        <f t="shared" si="9"/>
        <v>3999.1872689222182</v>
      </c>
      <c r="K23" s="164">
        <f>[6]Hist!$U$86</f>
        <v>66</v>
      </c>
      <c r="L23" s="1431">
        <f>[6]Hist!$V$86</f>
        <v>51</v>
      </c>
      <c r="M23" s="133">
        <f t="shared" si="10"/>
        <v>4065.1872689222182</v>
      </c>
      <c r="N23" s="164">
        <f>[6]Hist!$AA$86</f>
        <v>193</v>
      </c>
      <c r="O23" s="133">
        <f t="shared" si="11"/>
        <v>3755.1872689222182</v>
      </c>
      <c r="P23" s="374">
        <f>[4]Data!$I55</f>
        <v>1139186</v>
      </c>
      <c r="U23" s="134">
        <f t="shared" si="1"/>
        <v>1139186</v>
      </c>
      <c r="W23" s="134"/>
      <c r="X23" s="339">
        <f>[5]Feb!L18</f>
        <v>51.4</v>
      </c>
      <c r="Y23" s="339">
        <f>[5]Feb!J18</f>
        <v>49.7</v>
      </c>
      <c r="Z23" s="339">
        <f>[5]Feb!K18</f>
        <v>54.8</v>
      </c>
      <c r="AB23" s="844">
        <v>1990</v>
      </c>
      <c r="AC23" s="134">
        <f t="shared" si="2"/>
        <v>3755.1872689222182</v>
      </c>
      <c r="AD23" s="144">
        <f t="shared" si="3"/>
        <v>54.8</v>
      </c>
      <c r="AE23" s="136">
        <f t="shared" si="4"/>
        <v>49.7</v>
      </c>
      <c r="AF23" s="904">
        <f t="shared" si="5"/>
        <v>51.4</v>
      </c>
      <c r="AG23" s="134">
        <f t="shared" si="6"/>
        <v>1139186</v>
      </c>
      <c r="AH23" s="136">
        <v>0</v>
      </c>
      <c r="AI23" s="136">
        <v>0</v>
      </c>
      <c r="AJ23" s="134">
        <f t="shared" si="13"/>
        <v>3634</v>
      </c>
      <c r="AK23" s="134">
        <f t="shared" si="8"/>
        <v>121.18726892221821</v>
      </c>
      <c r="AL23" s="134"/>
      <c r="AM23" s="134"/>
      <c r="AP23" s="322">
        <f t="shared" si="12"/>
        <v>-2023.8127310777818</v>
      </c>
      <c r="AQ23" s="939" t="s">
        <v>22</v>
      </c>
      <c r="AR23" s="1137">
        <v>7524.3901019057075</v>
      </c>
      <c r="AS23" s="1137">
        <v>690.51862359422387</v>
      </c>
      <c r="AT23" s="1137">
        <v>10.896722904793569</v>
      </c>
      <c r="AU23" s="1137">
        <v>4.3351768221388279E-9</v>
      </c>
      <c r="AV23" s="1137">
        <v>6067.5231530625933</v>
      </c>
      <c r="AW23" s="1137">
        <v>8981.2570507488217</v>
      </c>
      <c r="AX23" s="1137">
        <v>6067.5231530625933</v>
      </c>
      <c r="AY23" s="1137">
        <v>8981.2570507488217</v>
      </c>
      <c r="AZ23"/>
      <c r="BA23" s="124">
        <f t="shared" si="14"/>
        <v>1990</v>
      </c>
      <c r="BB23" s="134">
        <f t="shared" si="15"/>
        <v>5369</v>
      </c>
      <c r="BC23" s="102">
        <f t="shared" si="16"/>
        <v>3755.1872689222182</v>
      </c>
      <c r="BD23" s="102">
        <f t="shared" si="17"/>
        <v>-1613.8127310777818</v>
      </c>
      <c r="BE23" s="471">
        <f t="shared" si="18"/>
        <v>3634</v>
      </c>
      <c r="BF23" s="464">
        <f t="shared" si="19"/>
        <v>1735</v>
      </c>
      <c r="BG23" s="102"/>
      <c r="BI23" s="939" t="s">
        <v>22</v>
      </c>
      <c r="BJ23" s="1137">
        <v>5570.5596066626094</v>
      </c>
      <c r="BK23" s="1137">
        <v>390.51802628644185</v>
      </c>
      <c r="BL23" s="1137">
        <v>14.264538975664721</v>
      </c>
      <c r="BM23" s="1137">
        <v>3.2274247716551195E-13</v>
      </c>
      <c r="BN23" s="1137">
        <v>4764.5700195085028</v>
      </c>
      <c r="BO23" s="1137">
        <v>6376.5491938167161</v>
      </c>
      <c r="BP23" s="1137">
        <v>4764.5700195085028</v>
      </c>
      <c r="BQ23" s="1137">
        <v>6376.5491938167161</v>
      </c>
    </row>
    <row r="24" spans="1:69">
      <c r="A24" s="123">
        <v>1991</v>
      </c>
      <c r="B24" s="130">
        <v>33285</v>
      </c>
      <c r="C24" s="123">
        <v>9</v>
      </c>
      <c r="D24" s="915" t="str">
        <f t="shared" si="0"/>
        <v>Sat</v>
      </c>
      <c r="E24" s="133">
        <f>[7]MoCoinMW!$F$18</f>
        <v>6056</v>
      </c>
      <c r="F24" s="133">
        <f>[7]MoCoinMW!$G$18</f>
        <v>5282.4884083246134</v>
      </c>
      <c r="G24" s="164">
        <f>SUM([6]Hist!$M$138:$O$138)</f>
        <v>0</v>
      </c>
      <c r="H24" s="164">
        <f>[6]Hist!L$138</f>
        <v>0</v>
      </c>
      <c r="I24" s="164">
        <f>[6]Hist!$P$138</f>
        <v>0</v>
      </c>
      <c r="J24" s="133">
        <f t="shared" si="9"/>
        <v>5282.4884083246134</v>
      </c>
      <c r="K24" s="164">
        <f>[6]Hist!$U$138</f>
        <v>103</v>
      </c>
      <c r="L24" s="1431">
        <f>[6]Hist!$V$138</f>
        <v>65.5</v>
      </c>
      <c r="M24" s="133">
        <f t="shared" si="10"/>
        <v>5385.4884083246134</v>
      </c>
      <c r="N24" s="164">
        <f>[6]Hist!$AA$138</f>
        <v>163</v>
      </c>
      <c r="O24" s="133">
        <f t="shared" si="11"/>
        <v>5053.9884083246134</v>
      </c>
      <c r="P24" s="374">
        <f>[4]Data!$I56</f>
        <v>1166991</v>
      </c>
      <c r="U24" s="134">
        <f t="shared" si="1"/>
        <v>1166991</v>
      </c>
      <c r="W24" s="134"/>
      <c r="X24" s="339">
        <f>[5]Feb!L19</f>
        <v>38.6</v>
      </c>
      <c r="Y24" s="339">
        <f>[5]Feb!J19</f>
        <v>34.1</v>
      </c>
      <c r="Z24" s="339">
        <f>[5]Feb!K19</f>
        <v>47.7</v>
      </c>
      <c r="AB24" s="844">
        <v>1991</v>
      </c>
      <c r="AC24" s="134">
        <f t="shared" si="2"/>
        <v>5053.9884083246134</v>
      </c>
      <c r="AD24" s="144">
        <f t="shared" si="3"/>
        <v>47.7</v>
      </c>
      <c r="AE24" s="136">
        <f t="shared" si="4"/>
        <v>34.1</v>
      </c>
      <c r="AF24" s="904">
        <f t="shared" si="5"/>
        <v>38.6</v>
      </c>
      <c r="AG24" s="134">
        <f t="shared" si="6"/>
        <v>1166991</v>
      </c>
      <c r="AH24" s="1134">
        <v>0</v>
      </c>
      <c r="AI24" s="136">
        <v>1</v>
      </c>
      <c r="AJ24" s="134">
        <f t="shared" si="13"/>
        <v>4951</v>
      </c>
      <c r="AK24" s="301">
        <f t="shared" si="8"/>
        <v>102.98840832461337</v>
      </c>
      <c r="AL24" s="134"/>
      <c r="AM24" s="134"/>
      <c r="AP24" s="322">
        <f t="shared" si="12"/>
        <v>1298.8011394023952</v>
      </c>
      <c r="AQ24" s="940" t="s">
        <v>388</v>
      </c>
      <c r="AR24" s="1137">
        <v>-175.20597629091617</v>
      </c>
      <c r="AS24" s="1137">
        <v>10.803210072473693</v>
      </c>
      <c r="AT24" s="1137">
        <v>-16.217955136995492</v>
      </c>
      <c r="AU24" s="1137">
        <v>8.9155442404400004E-12</v>
      </c>
      <c r="AV24" s="1137">
        <v>-197.99875719242698</v>
      </c>
      <c r="AW24" s="1137">
        <v>-152.41319538940536</v>
      </c>
      <c r="AX24" s="1137">
        <v>-197.99875719242698</v>
      </c>
      <c r="AY24" s="1137">
        <v>-152.41319538940536</v>
      </c>
      <c r="AZ24"/>
      <c r="BA24" s="124">
        <f t="shared" si="14"/>
        <v>1991</v>
      </c>
      <c r="BB24" s="134">
        <f t="shared" si="15"/>
        <v>4443</v>
      </c>
      <c r="BC24" s="102">
        <f t="shared" si="16"/>
        <v>5053.9884083246134</v>
      </c>
      <c r="BD24" s="102">
        <f t="shared" si="17"/>
        <v>610.98840832461337</v>
      </c>
      <c r="BE24" s="471">
        <f t="shared" si="18"/>
        <v>4951</v>
      </c>
      <c r="BF24" s="464">
        <f t="shared" si="19"/>
        <v>-508</v>
      </c>
      <c r="BG24" s="102"/>
      <c r="BI24" s="940" t="s">
        <v>388</v>
      </c>
      <c r="BJ24" s="1137">
        <v>-173.63100725886341</v>
      </c>
      <c r="BK24" s="1137">
        <v>8.0025707810725493</v>
      </c>
      <c r="BL24" s="1137">
        <v>-21.696903658700588</v>
      </c>
      <c r="BM24" s="1137">
        <v>2.7996751289580256E-17</v>
      </c>
      <c r="BN24" s="1137">
        <v>-190.14750146872905</v>
      </c>
      <c r="BO24" s="1137">
        <v>-157.11451304899776</v>
      </c>
      <c r="BP24" s="1137">
        <v>-190.14750146872905</v>
      </c>
      <c r="BQ24" s="1137">
        <v>-157.11451304899776</v>
      </c>
    </row>
    <row r="25" spans="1:69">
      <c r="A25" s="123">
        <v>1992</v>
      </c>
      <c r="B25" s="130">
        <v>33643</v>
      </c>
      <c r="C25" s="123">
        <v>9</v>
      </c>
      <c r="D25" s="915" t="str">
        <f t="shared" si="0"/>
        <v>Sun</v>
      </c>
      <c r="E25" s="133">
        <f>[7]MoCoinMW!$F$30</f>
        <v>5390</v>
      </c>
      <c r="F25" s="133">
        <f>[7]MoCoinMW!$G$30</f>
        <v>4775.196290591708</v>
      </c>
      <c r="G25" s="164">
        <f>SUM([6]Hist!$M$150:$O$150)</f>
        <v>0</v>
      </c>
      <c r="H25" s="164">
        <f>[6]Hist!L$150</f>
        <v>0</v>
      </c>
      <c r="I25" s="164">
        <f>[6]Hist!$P$150</f>
        <v>0</v>
      </c>
      <c r="J25" s="133">
        <f t="shared" si="9"/>
        <v>4775.196290591708</v>
      </c>
      <c r="K25" s="164">
        <f>[6]Hist!$U$150</f>
        <v>114</v>
      </c>
      <c r="L25" s="1431">
        <f>[6]Hist!$V$150</f>
        <v>65.5</v>
      </c>
      <c r="M25" s="133">
        <f t="shared" si="10"/>
        <v>4889.196290591708</v>
      </c>
      <c r="N25" s="164">
        <f>[6]Hist!$AA$150</f>
        <v>165</v>
      </c>
      <c r="O25" s="133">
        <f t="shared" si="11"/>
        <v>4544.696290591708</v>
      </c>
      <c r="P25" s="374">
        <f>[4]Data!$I57</f>
        <v>1189160</v>
      </c>
      <c r="U25" s="134">
        <f t="shared" si="1"/>
        <v>1189160</v>
      </c>
      <c r="W25" s="134"/>
      <c r="X25" s="339">
        <f>[5]Feb!L20</f>
        <v>46.4</v>
      </c>
      <c r="Y25" s="339">
        <f>[5]Feb!J20</f>
        <v>44.4</v>
      </c>
      <c r="Z25" s="339">
        <f>[5]Feb!K20</f>
        <v>50.7</v>
      </c>
      <c r="AB25" s="844">
        <v>1992</v>
      </c>
      <c r="AC25" s="134">
        <f t="shared" si="2"/>
        <v>4544.696290591708</v>
      </c>
      <c r="AD25" s="144">
        <f t="shared" si="3"/>
        <v>50.7</v>
      </c>
      <c r="AE25" s="136">
        <f t="shared" si="4"/>
        <v>44.4</v>
      </c>
      <c r="AF25" s="904">
        <f t="shared" si="5"/>
        <v>46.4</v>
      </c>
      <c r="AG25" s="134">
        <f t="shared" si="6"/>
        <v>1189160</v>
      </c>
      <c r="AH25" s="1133">
        <v>0</v>
      </c>
      <c r="AI25" s="136">
        <v>0</v>
      </c>
      <c r="AJ25" s="134">
        <f t="shared" si="13"/>
        <v>4735</v>
      </c>
      <c r="AK25" s="134">
        <f t="shared" si="8"/>
        <v>-190.30370940829198</v>
      </c>
      <c r="AL25" s="134"/>
      <c r="AM25" s="134"/>
      <c r="AP25" s="322">
        <f t="shared" si="12"/>
        <v>-509.29211773290535</v>
      </c>
      <c r="AQ25" s="939" t="s">
        <v>389</v>
      </c>
      <c r="AR25" s="1006">
        <v>4.4904692519025556E-3</v>
      </c>
      <c r="AS25" s="1137">
        <v>3.7224571838400771E-4</v>
      </c>
      <c r="AT25" s="1137">
        <v>12.063185767177043</v>
      </c>
      <c r="AU25" s="1137">
        <v>9.2851189664099595E-10</v>
      </c>
      <c r="AV25" s="1137">
        <v>3.7050994364742221E-3</v>
      </c>
      <c r="AW25" s="1137">
        <v>5.2758390673308892E-3</v>
      </c>
      <c r="AX25" s="1137">
        <v>3.7050994364742221E-3</v>
      </c>
      <c r="AY25" s="1137">
        <v>5.2758390673308892E-3</v>
      </c>
      <c r="AZ25"/>
      <c r="BA25" s="124">
        <f t="shared" si="14"/>
        <v>1992</v>
      </c>
      <c r="BB25" s="134">
        <f t="shared" si="15"/>
        <v>5593</v>
      </c>
      <c r="BC25" s="102">
        <f t="shared" si="16"/>
        <v>4544.696290591708</v>
      </c>
      <c r="BD25" s="102">
        <f t="shared" si="17"/>
        <v>-1048.303709408292</v>
      </c>
      <c r="BE25" s="471">
        <f t="shared" si="18"/>
        <v>4735</v>
      </c>
      <c r="BF25" s="464">
        <f t="shared" si="19"/>
        <v>858</v>
      </c>
      <c r="BG25" s="102"/>
      <c r="BI25" s="939" t="s">
        <v>389</v>
      </c>
      <c r="BJ25" s="1006">
        <v>6.0980588542172507E-3</v>
      </c>
      <c r="BK25" s="1137">
        <v>1.6822831027207236E-4</v>
      </c>
      <c r="BL25" s="1137">
        <v>36.248707749337669</v>
      </c>
      <c r="BM25" s="1137">
        <v>1.8035189809203118E-22</v>
      </c>
      <c r="BN25" s="1137">
        <v>5.7508526890289475E-3</v>
      </c>
      <c r="BO25" s="1137">
        <v>6.4452650194055539E-3</v>
      </c>
      <c r="BP25" s="1137">
        <v>5.7508526890289475E-3</v>
      </c>
      <c r="BQ25" s="1137">
        <v>6.4452650194055539E-3</v>
      </c>
    </row>
    <row r="26" spans="1:69">
      <c r="A26" s="123">
        <v>1993</v>
      </c>
      <c r="B26" s="130">
        <v>34019</v>
      </c>
      <c r="C26" s="123">
        <v>8</v>
      </c>
      <c r="D26" s="346" t="str">
        <f t="shared" si="0"/>
        <v>Fri</v>
      </c>
      <c r="E26" s="133">
        <f>[7]MoCoinMW!$F$42</f>
        <v>6134</v>
      </c>
      <c r="F26" s="133">
        <f>[7]MoCoinMW!$G$42</f>
        <v>5335.189719911813</v>
      </c>
      <c r="G26" s="164">
        <f>SUM([6]Hist!$M$162:$O$162)</f>
        <v>11</v>
      </c>
      <c r="H26" s="164">
        <f>[6]Hist!L$162</f>
        <v>0</v>
      </c>
      <c r="I26" s="164">
        <f>[6]Hist!$P$162</f>
        <v>0</v>
      </c>
      <c r="J26" s="133">
        <f t="shared" si="9"/>
        <v>5346.189719911813</v>
      </c>
      <c r="K26" s="164">
        <f>[6]Hist!$U$162</f>
        <v>130</v>
      </c>
      <c r="L26" s="1431">
        <f>[6]Hist!$V$162</f>
        <v>65.5</v>
      </c>
      <c r="M26" s="133">
        <f t="shared" si="10"/>
        <v>5476.189719911813</v>
      </c>
      <c r="N26" s="164">
        <f>[6]Hist!$AA$162</f>
        <v>230</v>
      </c>
      <c r="O26" s="133">
        <f t="shared" si="11"/>
        <v>5050.689719911813</v>
      </c>
      <c r="P26" s="374">
        <f>[4]Data!$I58</f>
        <v>1213990</v>
      </c>
      <c r="U26" s="134">
        <f t="shared" si="1"/>
        <v>1213990</v>
      </c>
      <c r="W26" s="134">
        <f>U26-U25</f>
        <v>24830</v>
      </c>
      <c r="X26" s="339">
        <f>[5]Feb!L21</f>
        <v>41</v>
      </c>
      <c r="Y26" s="339">
        <f>[5]Feb!J21</f>
        <v>36.1</v>
      </c>
      <c r="Z26" s="339">
        <f>[5]Feb!K21</f>
        <v>51.2</v>
      </c>
      <c r="AB26" s="844">
        <v>1993</v>
      </c>
      <c r="AC26" s="134">
        <f t="shared" si="2"/>
        <v>5050.689719911813</v>
      </c>
      <c r="AD26" s="144">
        <f t="shared" si="3"/>
        <v>51.2</v>
      </c>
      <c r="AE26" s="136">
        <f t="shared" si="4"/>
        <v>36.1</v>
      </c>
      <c r="AF26" s="904">
        <f t="shared" si="5"/>
        <v>41</v>
      </c>
      <c r="AG26" s="134">
        <f t="shared" si="6"/>
        <v>1213990</v>
      </c>
      <c r="AH26" s="136">
        <v>1</v>
      </c>
      <c r="AI26" s="136">
        <v>0</v>
      </c>
      <c r="AJ26" s="134">
        <f t="shared" si="13"/>
        <v>5104</v>
      </c>
      <c r="AK26" s="134">
        <f t="shared" si="8"/>
        <v>-53.310280088187028</v>
      </c>
      <c r="AL26" s="134"/>
      <c r="AM26" s="134"/>
      <c r="AP26" s="322">
        <f t="shared" si="12"/>
        <v>505.99342932010495</v>
      </c>
      <c r="AQ26" s="974" t="s">
        <v>542</v>
      </c>
      <c r="AR26" s="1137">
        <v>-688.56715967824857</v>
      </c>
      <c r="AS26" s="1137">
        <v>120.12651130512805</v>
      </c>
      <c r="AT26" s="1137">
        <v>-5.7320166231186844</v>
      </c>
      <c r="AU26" s="1137">
        <v>2.4429754425620631E-5</v>
      </c>
      <c r="AV26" s="1137">
        <v>-942.01194454057782</v>
      </c>
      <c r="AW26" s="1137">
        <v>-435.12237481591933</v>
      </c>
      <c r="AX26" s="1137">
        <v>-942.01194454057782</v>
      </c>
      <c r="AY26" s="1137">
        <v>-435.12237481591933</v>
      </c>
      <c r="AZ26"/>
      <c r="BA26" s="124">
        <f t="shared" si="14"/>
        <v>1993</v>
      </c>
      <c r="BB26" s="134">
        <f t="shared" si="15"/>
        <v>5016</v>
      </c>
      <c r="BC26" s="102">
        <f t="shared" si="16"/>
        <v>5050.689719911813</v>
      </c>
      <c r="BD26" s="102">
        <f t="shared" si="17"/>
        <v>34.689719911812972</v>
      </c>
      <c r="BE26" s="471">
        <f t="shared" si="18"/>
        <v>5104</v>
      </c>
      <c r="BF26" s="464">
        <f t="shared" si="19"/>
        <v>-88</v>
      </c>
      <c r="BG26" s="102"/>
      <c r="BI26" s="974" t="s">
        <v>542</v>
      </c>
      <c r="BJ26" s="1137">
        <v>-512.04765891305306</v>
      </c>
      <c r="BK26" s="1137">
        <v>96.404553726847965</v>
      </c>
      <c r="BL26" s="1137">
        <v>-5.3114468053437136</v>
      </c>
      <c r="BM26" s="1137">
        <v>1.8925828779948301E-5</v>
      </c>
      <c r="BN26" s="1137">
        <v>-711.01687730474123</v>
      </c>
      <c r="BO26" s="1137">
        <v>-313.07844052136488</v>
      </c>
      <c r="BP26" s="1137">
        <v>-711.01687730474123</v>
      </c>
      <c r="BQ26" s="1137">
        <v>-313.07844052136488</v>
      </c>
    </row>
    <row r="27" spans="1:69" ht="13.5" thickBot="1">
      <c r="A27" s="123">
        <v>1994</v>
      </c>
      <c r="B27" s="130">
        <v>34368</v>
      </c>
      <c r="C27" s="123">
        <v>8</v>
      </c>
      <c r="D27" s="346" t="str">
        <f t="shared" si="0"/>
        <v>Thu</v>
      </c>
      <c r="E27" s="133">
        <f>[7]MoCoinMW!$F$54</f>
        <v>6955</v>
      </c>
      <c r="F27" s="133">
        <f>[7]MoCoinMW!$G$54</f>
        <v>5983.3130660555562</v>
      </c>
      <c r="G27" s="164">
        <f>SUM([6]Hist!$M$174:$O$174)</f>
        <v>7</v>
      </c>
      <c r="H27" s="164">
        <f>[6]Hist!L$174</f>
        <v>0</v>
      </c>
      <c r="I27" s="164">
        <f>[6]Hist!$P$174</f>
        <v>0</v>
      </c>
      <c r="J27" s="133">
        <f t="shared" si="9"/>
        <v>5990.3130660555562</v>
      </c>
      <c r="K27" s="164">
        <f>[6]Hist!$U$174</f>
        <v>157</v>
      </c>
      <c r="L27" s="1431">
        <f>[6]Hist!$V$174</f>
        <v>65.5</v>
      </c>
      <c r="M27" s="133">
        <f t="shared" si="10"/>
        <v>6147.3130660555562</v>
      </c>
      <c r="N27" s="164">
        <f>[6]Hist!$AA$174</f>
        <v>199</v>
      </c>
      <c r="O27" s="133">
        <f t="shared" si="11"/>
        <v>5725.8130660555562</v>
      </c>
      <c r="P27" s="374">
        <f>[4]Data!$I59</f>
        <v>1252452</v>
      </c>
      <c r="U27" s="134">
        <f t="shared" si="1"/>
        <v>1252452</v>
      </c>
      <c r="W27" s="134">
        <f t="shared" ref="W27:W58" si="20">U27-U26</f>
        <v>38462</v>
      </c>
      <c r="X27" s="339">
        <f>[5]Feb!L22</f>
        <v>39.5</v>
      </c>
      <c r="Y27" s="339">
        <f>[5]Feb!J22</f>
        <v>36.9</v>
      </c>
      <c r="Z27" s="339">
        <f>[5]Feb!K22</f>
        <v>45</v>
      </c>
      <c r="AB27" s="844">
        <v>1994</v>
      </c>
      <c r="AC27" s="134">
        <f t="shared" si="2"/>
        <v>5725.8130660555562</v>
      </c>
      <c r="AD27" s="144">
        <f t="shared" si="3"/>
        <v>45</v>
      </c>
      <c r="AE27" s="136">
        <f t="shared" si="4"/>
        <v>36.9</v>
      </c>
      <c r="AF27" s="904">
        <f t="shared" si="5"/>
        <v>39.5</v>
      </c>
      <c r="AG27" s="134">
        <f t="shared" si="6"/>
        <v>1252452</v>
      </c>
      <c r="AH27" s="136">
        <v>1</v>
      </c>
      <c r="AI27" s="136">
        <v>0</v>
      </c>
      <c r="AJ27" s="134">
        <f t="shared" si="13"/>
        <v>5539</v>
      </c>
      <c r="AK27" s="134">
        <f t="shared" si="8"/>
        <v>186.81306605555619</v>
      </c>
      <c r="AL27" s="134"/>
      <c r="AM27" s="134"/>
      <c r="AP27" s="322">
        <f t="shared" si="12"/>
        <v>675.12334614374322</v>
      </c>
      <c r="AQ27" s="1132" t="s">
        <v>543</v>
      </c>
      <c r="AR27" s="1138">
        <v>-1051.1114396376734</v>
      </c>
      <c r="AS27" s="1138">
        <v>196.9534159941592</v>
      </c>
      <c r="AT27" s="1138">
        <v>-5.3368530539670598</v>
      </c>
      <c r="AU27" s="1138">
        <v>5.4494229730879492E-5</v>
      </c>
      <c r="AV27" s="1138">
        <v>-1466.646824809636</v>
      </c>
      <c r="AW27" s="1138">
        <v>-635.57605446571074</v>
      </c>
      <c r="AX27" s="1138">
        <v>-1466.646824809636</v>
      </c>
      <c r="AY27" s="1138">
        <v>-635.57605446571074</v>
      </c>
      <c r="AZ27"/>
      <c r="BA27" s="124">
        <f t="shared" si="14"/>
        <v>1994</v>
      </c>
      <c r="BB27" s="134">
        <f t="shared" si="15"/>
        <v>5189</v>
      </c>
      <c r="BC27" s="102">
        <f t="shared" si="16"/>
        <v>5725.8130660555562</v>
      </c>
      <c r="BD27" s="102">
        <f t="shared" si="17"/>
        <v>536.81306605555619</v>
      </c>
      <c r="BE27" s="471">
        <f t="shared" si="18"/>
        <v>5539</v>
      </c>
      <c r="BF27" s="464">
        <f t="shared" si="19"/>
        <v>-350</v>
      </c>
      <c r="BG27" s="102"/>
      <c r="BI27" s="1132" t="s">
        <v>543</v>
      </c>
      <c r="BJ27" s="1138">
        <v>-931.46409251593673</v>
      </c>
      <c r="BK27" s="1138">
        <v>131.69937767474835</v>
      </c>
      <c r="BL27" s="1138">
        <v>-7.0726537130367388</v>
      </c>
      <c r="BM27" s="1138">
        <v>2.5994772724257288E-7</v>
      </c>
      <c r="BN27" s="1138">
        <v>-1203.2782467815434</v>
      </c>
      <c r="BO27" s="1138">
        <v>-659.64993825033002</v>
      </c>
      <c r="BP27" s="1138">
        <v>-1203.2782467815434</v>
      </c>
      <c r="BQ27" s="1138">
        <v>-659.64993825033002</v>
      </c>
    </row>
    <row r="28" spans="1:69">
      <c r="A28" s="123">
        <v>1995</v>
      </c>
      <c r="B28" s="130">
        <v>34739</v>
      </c>
      <c r="C28" s="123">
        <v>8</v>
      </c>
      <c r="D28" s="346" t="str">
        <f t="shared" si="0"/>
        <v>Thu</v>
      </c>
      <c r="E28" s="133">
        <f>[7]MoCoinMW!$F$66</f>
        <v>7722</v>
      </c>
      <c r="F28" s="133">
        <f>[7]MoCoinMW!$G$66</f>
        <v>6576.6527825594803</v>
      </c>
      <c r="G28" s="164">
        <f>SUM([6]Hist!$M$186:$O$186)</f>
        <v>1062</v>
      </c>
      <c r="H28" s="164">
        <f>[6]Hist!L$186</f>
        <v>58</v>
      </c>
      <c r="I28" s="164">
        <f>[6]Hist!$P$186</f>
        <v>0</v>
      </c>
      <c r="J28" s="133">
        <f t="shared" si="9"/>
        <v>7696.6527825594803</v>
      </c>
      <c r="K28" s="164">
        <f>[6]Hist!$U$186</f>
        <v>176</v>
      </c>
      <c r="L28" s="1431">
        <f>[6]Hist!$V$186</f>
        <v>65.5</v>
      </c>
      <c r="M28" s="133">
        <f t="shared" si="10"/>
        <v>7872.6527825594803</v>
      </c>
      <c r="N28" s="164">
        <f>[6]Hist!$AA$186</f>
        <v>281</v>
      </c>
      <c r="O28" s="133">
        <f t="shared" si="11"/>
        <v>7350.1527825594803</v>
      </c>
      <c r="P28" s="374">
        <f>[4]Data!$I60</f>
        <v>1277812</v>
      </c>
      <c r="U28" s="134">
        <f t="shared" si="1"/>
        <v>1277812</v>
      </c>
      <c r="W28" s="134">
        <f t="shared" si="20"/>
        <v>25360</v>
      </c>
      <c r="X28" s="339">
        <f>[5]Feb!L23</f>
        <v>32.799999999999997</v>
      </c>
      <c r="Y28" s="339">
        <f>[5]Feb!J23</f>
        <v>29.1</v>
      </c>
      <c r="Z28" s="339">
        <f>[5]Feb!K23</f>
        <v>40.5</v>
      </c>
      <c r="AB28" s="844">
        <v>1995</v>
      </c>
      <c r="AC28" s="134">
        <f t="shared" si="2"/>
        <v>7350.1527825594803</v>
      </c>
      <c r="AD28" s="144">
        <f t="shared" si="3"/>
        <v>40.5</v>
      </c>
      <c r="AE28" s="136">
        <f t="shared" si="4"/>
        <v>29.1</v>
      </c>
      <c r="AF28" s="904">
        <f t="shared" si="5"/>
        <v>32.799999999999997</v>
      </c>
      <c r="AG28" s="134">
        <f t="shared" si="6"/>
        <v>1277812</v>
      </c>
      <c r="AH28" s="136">
        <v>0</v>
      </c>
      <c r="AI28" s="136">
        <v>0</v>
      </c>
      <c r="AJ28" s="134">
        <f t="shared" si="13"/>
        <v>7516</v>
      </c>
      <c r="AK28" s="134">
        <f t="shared" si="8"/>
        <v>-165.84721744051967</v>
      </c>
      <c r="AL28" s="134"/>
      <c r="AM28" s="134"/>
      <c r="AP28" s="322">
        <f t="shared" si="12"/>
        <v>1624.3397165039241</v>
      </c>
      <c r="AQ28"/>
      <c r="AR28"/>
      <c r="AS28"/>
      <c r="AT28"/>
      <c r="AU28"/>
      <c r="AV28"/>
      <c r="AW28"/>
      <c r="AX28"/>
      <c r="AY28"/>
      <c r="AZ28"/>
      <c r="BA28" s="124">
        <f t="shared" si="14"/>
        <v>1995</v>
      </c>
      <c r="BB28" s="134">
        <f t="shared" si="15"/>
        <v>5991</v>
      </c>
      <c r="BC28" s="102">
        <f t="shared" si="16"/>
        <v>7350.1527825594803</v>
      </c>
      <c r="BD28" s="102">
        <f t="shared" si="17"/>
        <v>1359.1527825594803</v>
      </c>
      <c r="BE28" s="471">
        <f t="shared" si="18"/>
        <v>7516</v>
      </c>
      <c r="BF28" s="464">
        <f t="shared" si="19"/>
        <v>-1525</v>
      </c>
      <c r="BG28" s="102"/>
    </row>
    <row r="29" spans="1:69">
      <c r="A29" s="123">
        <v>1996</v>
      </c>
      <c r="B29" s="130">
        <v>35100</v>
      </c>
      <c r="C29" s="123">
        <v>8</v>
      </c>
      <c r="D29" s="346" t="str">
        <f t="shared" si="0"/>
        <v>Mon</v>
      </c>
      <c r="E29" s="133">
        <f>[7]MoCoinMW!$F$78</f>
        <v>8807</v>
      </c>
      <c r="F29" s="133">
        <f>[7]MoCoinMW!$G$78</f>
        <v>7322.2203334661881</v>
      </c>
      <c r="G29" s="164">
        <f>SUM([6]Hist!$M$198:$O$198)</f>
        <v>1272</v>
      </c>
      <c r="H29" s="164">
        <f>[6]Hist!L$198</f>
        <v>210</v>
      </c>
      <c r="I29" s="164">
        <f>[6]Hist!$P$198</f>
        <v>0</v>
      </c>
      <c r="J29" s="133">
        <f t="shared" si="9"/>
        <v>8804.2203334661881</v>
      </c>
      <c r="K29" s="164">
        <f>[6]Hist!$U$198</f>
        <v>201</v>
      </c>
      <c r="L29" s="1431">
        <f>[6]Hist!$V$198</f>
        <v>71.5</v>
      </c>
      <c r="M29" s="133">
        <f t="shared" si="10"/>
        <v>9005.2203334661881</v>
      </c>
      <c r="N29" s="164">
        <f>[6]Hist!$AA$198</f>
        <v>255</v>
      </c>
      <c r="O29" s="133">
        <f t="shared" si="11"/>
        <v>8477.7203334661881</v>
      </c>
      <c r="P29" s="816">
        <f>[8]FCST!$BD3</f>
        <v>1300136</v>
      </c>
      <c r="S29" s="677" t="s">
        <v>336</v>
      </c>
      <c r="U29" s="134">
        <f t="shared" si="1"/>
        <v>1300136</v>
      </c>
      <c r="W29" s="134">
        <f t="shared" si="20"/>
        <v>22324</v>
      </c>
      <c r="X29" s="339">
        <f>[5]Feb!L24</f>
        <v>29.3</v>
      </c>
      <c r="Y29" s="339">
        <f>[5]Feb!J24</f>
        <v>26.3</v>
      </c>
      <c r="Z29" s="339">
        <f>[5]Feb!K24</f>
        <v>35.6</v>
      </c>
      <c r="AB29" s="844">
        <v>1996</v>
      </c>
      <c r="AC29" s="134">
        <f t="shared" si="2"/>
        <v>8477.7203334661881</v>
      </c>
      <c r="AD29" s="144">
        <f t="shared" si="3"/>
        <v>35.6</v>
      </c>
      <c r="AE29" s="136">
        <f t="shared" si="4"/>
        <v>26.3</v>
      </c>
      <c r="AF29" s="904">
        <f t="shared" si="5"/>
        <v>29.3</v>
      </c>
      <c r="AG29" s="134">
        <f t="shared" si="6"/>
        <v>1300136</v>
      </c>
      <c r="AH29" s="136">
        <v>0</v>
      </c>
      <c r="AI29" s="136">
        <v>0</v>
      </c>
      <c r="AJ29" s="134">
        <f t="shared" si="13"/>
        <v>8229</v>
      </c>
      <c r="AK29" s="134">
        <f t="shared" si="8"/>
        <v>248.72033346618809</v>
      </c>
      <c r="AL29" s="134"/>
      <c r="AM29" s="134"/>
      <c r="AP29" s="322">
        <f t="shared" si="12"/>
        <v>1127.5675509067078</v>
      </c>
      <c r="AQ29"/>
      <c r="AR29"/>
      <c r="AS29"/>
      <c r="AT29"/>
      <c r="AU29"/>
      <c r="AV29"/>
      <c r="AW29"/>
      <c r="AX29"/>
      <c r="AY29"/>
      <c r="AZ29"/>
      <c r="BA29" s="124">
        <f t="shared" si="14"/>
        <v>1996</v>
      </c>
      <c r="BB29" s="134">
        <f t="shared" si="15"/>
        <v>6092</v>
      </c>
      <c r="BC29" s="102">
        <f t="shared" si="16"/>
        <v>8477.7203334661881</v>
      </c>
      <c r="BD29" s="102">
        <f t="shared" si="17"/>
        <v>2385.7203334661881</v>
      </c>
      <c r="BE29" s="471">
        <f t="shared" si="18"/>
        <v>8229</v>
      </c>
      <c r="BF29" s="464">
        <f t="shared" si="19"/>
        <v>-2137</v>
      </c>
      <c r="BG29" s="102"/>
    </row>
    <row r="30" spans="1:69">
      <c r="A30" s="123">
        <v>1997</v>
      </c>
      <c r="B30" s="130">
        <v>35473</v>
      </c>
      <c r="C30" s="123">
        <v>8</v>
      </c>
      <c r="D30" s="346" t="str">
        <f t="shared" si="0"/>
        <v>Wed</v>
      </c>
      <c r="E30" s="133">
        <f>[7]MoCoinMW!$F$90</f>
        <v>5794</v>
      </c>
      <c r="F30" s="133">
        <f>[7]MoCoinMW!$G$90</f>
        <v>5101.7669862056628</v>
      </c>
      <c r="G30" s="164">
        <f>SUM([6]Hist!$M$210:$O$210)</f>
        <v>497</v>
      </c>
      <c r="H30" s="164">
        <f>[6]Hist!L$210</f>
        <v>0</v>
      </c>
      <c r="I30" s="164">
        <f>[6]Hist!$P$210</f>
        <v>0</v>
      </c>
      <c r="J30" s="133">
        <f t="shared" si="9"/>
        <v>5598.7669862056628</v>
      </c>
      <c r="K30" s="164">
        <f>[6]Hist!$U$210</f>
        <v>229.5</v>
      </c>
      <c r="L30" s="1431">
        <f>[6]Hist!$V$210</f>
        <v>71.5</v>
      </c>
      <c r="M30" s="133">
        <f t="shared" si="10"/>
        <v>5828.2669862056628</v>
      </c>
      <c r="N30" s="164">
        <f>[6]Hist!$AA$210</f>
        <v>346.4</v>
      </c>
      <c r="O30" s="133">
        <f t="shared" si="11"/>
        <v>5180.8669862056631</v>
      </c>
      <c r="P30" s="134">
        <f>[8]FCST!$BD4</f>
        <v>1326197</v>
      </c>
      <c r="S30" s="123">
        <f>[9]Sheet1!$R$8</f>
        <v>0</v>
      </c>
      <c r="U30" s="134">
        <f t="shared" si="1"/>
        <v>1326197</v>
      </c>
      <c r="W30" s="134">
        <f t="shared" si="20"/>
        <v>26061</v>
      </c>
      <c r="X30" s="339">
        <f>[5]Feb!L25</f>
        <v>47.1</v>
      </c>
      <c r="Y30" s="339">
        <f>[5]Feb!J25</f>
        <v>44.7</v>
      </c>
      <c r="Z30" s="339">
        <f>[5]Feb!K25</f>
        <v>52.1</v>
      </c>
      <c r="AB30" s="844">
        <v>1997</v>
      </c>
      <c r="AC30" s="134">
        <f t="shared" si="2"/>
        <v>5180.8669862056631</v>
      </c>
      <c r="AD30" s="144">
        <f t="shared" si="3"/>
        <v>52.1</v>
      </c>
      <c r="AE30" s="136">
        <f t="shared" si="4"/>
        <v>44.7</v>
      </c>
      <c r="AF30" s="904">
        <f t="shared" si="5"/>
        <v>47.1</v>
      </c>
      <c r="AG30" s="134">
        <f t="shared" si="6"/>
        <v>1326197</v>
      </c>
      <c r="AH30" s="136">
        <v>0</v>
      </c>
      <c r="AI30" s="136">
        <v>0</v>
      </c>
      <c r="AJ30" s="134">
        <f t="shared" si="13"/>
        <v>5227</v>
      </c>
      <c r="AK30" s="134">
        <f t="shared" si="8"/>
        <v>-46.133013794336875</v>
      </c>
      <c r="AL30" s="134"/>
      <c r="AM30" s="134"/>
      <c r="AP30" s="322">
        <f t="shared" si="12"/>
        <v>-3296.853347260525</v>
      </c>
      <c r="AQ30"/>
      <c r="AR30"/>
      <c r="AS30"/>
      <c r="AT30"/>
      <c r="AU30"/>
      <c r="AV30"/>
      <c r="AW30"/>
      <c r="AX30"/>
      <c r="AY30"/>
      <c r="AZ30"/>
      <c r="BA30" s="124">
        <f t="shared" si="14"/>
        <v>1997</v>
      </c>
      <c r="BB30" s="134">
        <f t="shared" si="15"/>
        <v>6209</v>
      </c>
      <c r="BC30" s="102">
        <f t="shared" si="16"/>
        <v>5180.8669862056631</v>
      </c>
      <c r="BD30" s="102">
        <f t="shared" si="17"/>
        <v>-1028.1330137943369</v>
      </c>
      <c r="BE30" s="471">
        <f t="shared" si="18"/>
        <v>5227</v>
      </c>
      <c r="BF30" s="464">
        <f t="shared" si="19"/>
        <v>982</v>
      </c>
      <c r="BG30" s="102"/>
    </row>
    <row r="31" spans="1:69">
      <c r="A31" s="123">
        <v>1998</v>
      </c>
      <c r="B31" s="139">
        <v>35836</v>
      </c>
      <c r="C31" s="131">
        <v>8</v>
      </c>
      <c r="D31" s="346" t="str">
        <f t="shared" si="0"/>
        <v>Tue</v>
      </c>
      <c r="E31" s="133">
        <f>[7]MoCoinMW!$F$102</f>
        <v>6156</v>
      </c>
      <c r="F31" s="133">
        <f>[7]MoCoinMW!$G$102</f>
        <v>5415.0520354171949</v>
      </c>
      <c r="G31" s="164">
        <f>SUM([6]Hist!$M$222:$O$222)</f>
        <v>504</v>
      </c>
      <c r="H31" s="164">
        <f>[6]Hist!L$222</f>
        <v>0</v>
      </c>
      <c r="I31" s="164">
        <f>[6]Hist!$P$222</f>
        <v>0</v>
      </c>
      <c r="J31" s="133">
        <f t="shared" si="9"/>
        <v>5919.0520354171949</v>
      </c>
      <c r="K31" s="164">
        <f>[6]Hist!$U$222</f>
        <v>272</v>
      </c>
      <c r="L31" s="1431">
        <f>[6]Hist!$V$222</f>
        <v>75</v>
      </c>
      <c r="M31" s="133">
        <f t="shared" si="10"/>
        <v>6191.0520354171949</v>
      </c>
      <c r="N31" s="164">
        <f>'Interruptible Forecast'!AI9</f>
        <v>340</v>
      </c>
      <c r="O31" s="133">
        <f t="shared" si="11"/>
        <v>5504.0520354171949</v>
      </c>
      <c r="P31" s="134">
        <f>[8]FCST!$BD5</f>
        <v>1345013</v>
      </c>
      <c r="S31" s="123">
        <f>[9]Sheet1!$R$20</f>
        <v>6508</v>
      </c>
      <c r="U31" s="134">
        <f t="shared" ref="U31:U40" si="21">P31-Q31+S$31</f>
        <v>1351521</v>
      </c>
      <c r="W31" s="134">
        <f t="shared" si="20"/>
        <v>25324</v>
      </c>
      <c r="X31" s="339">
        <f>[5]Feb!L26</f>
        <v>47.8</v>
      </c>
      <c r="Y31" s="339">
        <f>[5]Feb!J26</f>
        <v>45.8</v>
      </c>
      <c r="Z31" s="339">
        <f>[5]Feb!K26</f>
        <v>51.8</v>
      </c>
      <c r="AB31" s="844">
        <v>1998</v>
      </c>
      <c r="AC31" s="134">
        <f t="shared" si="2"/>
        <v>5504.0520354171949</v>
      </c>
      <c r="AD31" s="144">
        <f t="shared" si="3"/>
        <v>51.8</v>
      </c>
      <c r="AE31" s="136">
        <f t="shared" si="4"/>
        <v>45.8</v>
      </c>
      <c r="AF31" s="904">
        <f t="shared" si="5"/>
        <v>47.8</v>
      </c>
      <c r="AG31" s="134">
        <f t="shared" si="6"/>
        <v>1345013</v>
      </c>
      <c r="AH31" s="136">
        <v>0</v>
      </c>
      <c r="AI31" s="136">
        <v>0</v>
      </c>
      <c r="AJ31" s="134">
        <f t="shared" si="13"/>
        <v>5189</v>
      </c>
      <c r="AK31" s="134">
        <f t="shared" si="8"/>
        <v>315.05203541719493</v>
      </c>
      <c r="AL31" s="134"/>
      <c r="AM31" s="134"/>
      <c r="AP31" s="322">
        <f t="shared" si="12"/>
        <v>323.1850492115318</v>
      </c>
      <c r="AQ31"/>
      <c r="AR31"/>
      <c r="AS31"/>
      <c r="AT31"/>
      <c r="AU31"/>
      <c r="AV31"/>
      <c r="AW31"/>
      <c r="AX31"/>
      <c r="AY31"/>
      <c r="AZ31"/>
      <c r="BA31" s="124">
        <f t="shared" ref="BA31:BA33" si="22">AB31</f>
        <v>1998</v>
      </c>
      <c r="BB31" s="134">
        <f t="shared" si="15"/>
        <v>6293</v>
      </c>
      <c r="BC31" s="102">
        <f t="shared" ref="BC31:BC33" si="23">AC31</f>
        <v>5504.0520354171949</v>
      </c>
      <c r="BD31" s="102">
        <f t="shared" ref="BD31:BD33" si="24">BC31-BB31</f>
        <v>-788.94796458280507</v>
      </c>
      <c r="BE31" s="471">
        <f t="shared" ref="BE31:BE33" si="25">AJ31</f>
        <v>5189</v>
      </c>
      <c r="BF31" s="464">
        <f t="shared" ref="BF31:BF33" si="26">BB31-BE31</f>
        <v>1104</v>
      </c>
      <c r="BG31" s="102"/>
    </row>
    <row r="32" spans="1:69">
      <c r="A32" s="123">
        <v>1999</v>
      </c>
      <c r="B32" s="139">
        <v>36214</v>
      </c>
      <c r="C32" s="123">
        <v>8</v>
      </c>
      <c r="D32" s="346" t="str">
        <f t="shared" si="0"/>
        <v>Tue</v>
      </c>
      <c r="E32" s="133">
        <f>[7]MoCoinMW!$F$114</f>
        <v>7460</v>
      </c>
      <c r="F32" s="133">
        <f>[7]MoCoinMW!$G$114</f>
        <v>6377.0261349082175</v>
      </c>
      <c r="G32" s="164">
        <f>SUM([6]Hist!$M$234:$O$234)</f>
        <v>0</v>
      </c>
      <c r="H32" s="164">
        <f>[6]Hist!L$234</f>
        <v>0</v>
      </c>
      <c r="I32" s="164">
        <f>[6]Hist!$P$234</f>
        <v>0</v>
      </c>
      <c r="J32" s="133">
        <f t="shared" si="9"/>
        <v>6377.0261349082175</v>
      </c>
      <c r="K32" s="164">
        <f>[6]Hist!$U$234</f>
        <v>307</v>
      </c>
      <c r="L32" s="1431">
        <f>[6]Hist!$V$234</f>
        <v>75</v>
      </c>
      <c r="M32" s="133">
        <f t="shared" si="10"/>
        <v>6684.0261349082175</v>
      </c>
      <c r="N32" s="164">
        <f>'Interruptible Forecast'!AI10</f>
        <v>336</v>
      </c>
      <c r="O32" s="133">
        <f t="shared" si="11"/>
        <v>5966.0261349082175</v>
      </c>
      <c r="P32" s="134">
        <f>[8]FCST!$BD6</f>
        <v>1371769</v>
      </c>
      <c r="Q32" s="123">
        <v>2400</v>
      </c>
      <c r="U32" s="134">
        <f t="shared" si="21"/>
        <v>1375877</v>
      </c>
      <c r="W32" s="134">
        <f t="shared" si="20"/>
        <v>24356</v>
      </c>
      <c r="X32" s="339">
        <f>[5]Feb!L27</f>
        <v>43.3</v>
      </c>
      <c r="Y32" s="339">
        <f>[5]Feb!J27</f>
        <v>41.8</v>
      </c>
      <c r="Z32" s="339">
        <f>[5]Feb!K27</f>
        <v>46.4</v>
      </c>
      <c r="AB32" s="844">
        <v>1999</v>
      </c>
      <c r="AC32" s="134">
        <f t="shared" si="2"/>
        <v>5966.0261349082175</v>
      </c>
      <c r="AD32" s="144">
        <f t="shared" si="3"/>
        <v>46.4</v>
      </c>
      <c r="AE32" s="136">
        <f t="shared" si="4"/>
        <v>41.8</v>
      </c>
      <c r="AF32" s="904">
        <f t="shared" si="5"/>
        <v>43.3</v>
      </c>
      <c r="AG32" s="134">
        <f t="shared" si="6"/>
        <v>1371769</v>
      </c>
      <c r="AH32" s="136">
        <v>0</v>
      </c>
      <c r="AI32" s="136">
        <v>0</v>
      </c>
      <c r="AJ32" s="134">
        <f t="shared" si="13"/>
        <v>6098</v>
      </c>
      <c r="AK32" s="134">
        <f t="shared" si="8"/>
        <v>-131.9738650917825</v>
      </c>
      <c r="AL32" s="134"/>
      <c r="AM32" s="134"/>
      <c r="AN32" s="134"/>
      <c r="AP32" s="322">
        <f t="shared" si="12"/>
        <v>461.97409949102257</v>
      </c>
      <c r="AQ32" s="1"/>
      <c r="AR32" s="1"/>
      <c r="AS32" s="1"/>
      <c r="AT32" s="1"/>
      <c r="AU32" s="1"/>
      <c r="AV32" s="1"/>
      <c r="AW32"/>
      <c r="AX32"/>
      <c r="AY32"/>
      <c r="AZ32"/>
      <c r="BA32" s="124">
        <f t="shared" si="22"/>
        <v>1999</v>
      </c>
      <c r="BB32" s="134">
        <f t="shared" si="15"/>
        <v>6413</v>
      </c>
      <c r="BC32" s="102">
        <f t="shared" si="23"/>
        <v>5966.0261349082175</v>
      </c>
      <c r="BD32" s="102">
        <f t="shared" si="24"/>
        <v>-446.9738650917825</v>
      </c>
      <c r="BE32" s="471">
        <f t="shared" si="25"/>
        <v>6098</v>
      </c>
      <c r="BF32" s="464">
        <f t="shared" si="26"/>
        <v>315</v>
      </c>
      <c r="BG32" s="102"/>
    </row>
    <row r="33" spans="1:59">
      <c r="A33" s="123">
        <v>2000</v>
      </c>
      <c r="B33" s="139">
        <v>36562</v>
      </c>
      <c r="C33" s="123">
        <v>9</v>
      </c>
      <c r="D33" s="915" t="str">
        <f t="shared" si="0"/>
        <v>Sun</v>
      </c>
      <c r="E33" s="133">
        <f>[7]MoCoinMW!$F$126</f>
        <v>8127</v>
      </c>
      <c r="F33" s="133">
        <f>[7]MoCoinMW!$G$126</f>
        <v>6607.7</v>
      </c>
      <c r="G33" s="164">
        <f>SUM([6]Hist!$M$246:$O$246)</f>
        <v>0</v>
      </c>
      <c r="H33" s="164">
        <f>[6]Hist!L$246</f>
        <v>0</v>
      </c>
      <c r="I33" s="164">
        <f>[6]Hist!$P$246</f>
        <v>0</v>
      </c>
      <c r="J33" s="133">
        <f t="shared" si="9"/>
        <v>6607.7</v>
      </c>
      <c r="K33" s="164">
        <f>[6]Hist!$U$246</f>
        <v>340</v>
      </c>
      <c r="L33" s="1431">
        <f>[6]Hist!$V$246</f>
        <v>75</v>
      </c>
      <c r="M33" s="133">
        <f t="shared" si="10"/>
        <v>6947.7</v>
      </c>
      <c r="N33" s="164">
        <f>'Interruptible Forecast'!AI11</f>
        <v>302</v>
      </c>
      <c r="O33" s="133">
        <f t="shared" si="11"/>
        <v>6230.7</v>
      </c>
      <c r="P33" s="134">
        <f>[8]FCST!$BD7</f>
        <v>1402730</v>
      </c>
      <c r="Q33" s="463">
        <f>[8]FCST!$DF7</f>
        <v>3746</v>
      </c>
      <c r="U33" s="134">
        <f t="shared" si="21"/>
        <v>1405492</v>
      </c>
      <c r="W33" s="134">
        <f t="shared" si="20"/>
        <v>29615</v>
      </c>
      <c r="X33" s="339">
        <f>[5]Feb!L28</f>
        <v>44</v>
      </c>
      <c r="Y33" s="339">
        <f>[5]Feb!J28</f>
        <v>43.2</v>
      </c>
      <c r="Z33" s="339">
        <f>[5]Feb!K28</f>
        <v>45.8</v>
      </c>
      <c r="AB33" s="844">
        <v>2000</v>
      </c>
      <c r="AC33" s="134">
        <f t="shared" si="2"/>
        <v>6230.7</v>
      </c>
      <c r="AD33" s="144">
        <f t="shared" si="3"/>
        <v>45.8</v>
      </c>
      <c r="AE33" s="136">
        <f t="shared" si="4"/>
        <v>43.2</v>
      </c>
      <c r="AF33" s="904">
        <f t="shared" si="5"/>
        <v>44</v>
      </c>
      <c r="AG33" s="134">
        <f t="shared" si="6"/>
        <v>1402730</v>
      </c>
      <c r="AH33" s="1133">
        <v>0</v>
      </c>
      <c r="AI33" s="136">
        <v>0</v>
      </c>
      <c r="AJ33" s="134">
        <f t="shared" si="13"/>
        <v>6114</v>
      </c>
      <c r="AK33" s="134">
        <f t="shared" si="8"/>
        <v>116.69999999999982</v>
      </c>
      <c r="AL33" s="134"/>
      <c r="AM33" s="134"/>
      <c r="AN33" s="134"/>
      <c r="AO33" s="138"/>
      <c r="AP33" s="322">
        <f t="shared" si="12"/>
        <v>264.67386509178232</v>
      </c>
      <c r="AQ33" s="1"/>
      <c r="AR33" s="1"/>
      <c r="AS33" s="1"/>
      <c r="AT33" s="1"/>
      <c r="AU33" s="1"/>
      <c r="AV33" s="1"/>
      <c r="AW33"/>
      <c r="AX33"/>
      <c r="AY33"/>
      <c r="AZ33"/>
      <c r="BA33" s="124">
        <f t="shared" si="22"/>
        <v>2000</v>
      </c>
      <c r="BB33" s="134">
        <f t="shared" si="15"/>
        <v>6552</v>
      </c>
      <c r="BC33" s="102">
        <f t="shared" si="23"/>
        <v>6230.7</v>
      </c>
      <c r="BD33" s="102">
        <f t="shared" si="24"/>
        <v>-321.30000000000018</v>
      </c>
      <c r="BE33" s="471">
        <f t="shared" si="25"/>
        <v>6114</v>
      </c>
      <c r="BF33" s="464">
        <f t="shared" si="26"/>
        <v>438</v>
      </c>
      <c r="BG33" s="102"/>
    </row>
    <row r="34" spans="1:59">
      <c r="A34" s="123">
        <v>2001</v>
      </c>
      <c r="B34" s="139">
        <v>36928</v>
      </c>
      <c r="C34" s="123">
        <v>8</v>
      </c>
      <c r="D34" s="346" t="str">
        <f t="shared" si="0"/>
        <v>Tue</v>
      </c>
      <c r="E34" s="133">
        <f>[7]MoCoinMW!$F$138</f>
        <v>7735</v>
      </c>
      <c r="F34" s="133">
        <f>[7]MoCoinMW!$G$138</f>
        <v>6499.9</v>
      </c>
      <c r="G34" s="164">
        <f>SUM([6]Hist!$M$258:$O$258)</f>
        <v>0</v>
      </c>
      <c r="H34" s="164">
        <f>[6]Hist!L$258</f>
        <v>0</v>
      </c>
      <c r="I34" s="164">
        <f>[6]Hist!$P$258</f>
        <v>0</v>
      </c>
      <c r="J34" s="133">
        <f t="shared" ref="J34:J39" si="27">SUM(F34:I34)</f>
        <v>6499.9</v>
      </c>
      <c r="K34" s="164">
        <f>[6]Hist!$U$258</f>
        <v>365</v>
      </c>
      <c r="L34" s="1431">
        <f>[6]Hist!$V$258</f>
        <v>75</v>
      </c>
      <c r="M34" s="133">
        <f t="shared" si="10"/>
        <v>6864.9</v>
      </c>
      <c r="N34" s="164">
        <f>'Interruptible Forecast'!AI12</f>
        <v>315</v>
      </c>
      <c r="O34" s="133">
        <f t="shared" si="11"/>
        <v>6109.9</v>
      </c>
      <c r="P34" s="134">
        <f>[8]FCST!$BD8</f>
        <v>1441263</v>
      </c>
      <c r="Q34" s="463">
        <f>[8]FCST!$DF8</f>
        <v>5089</v>
      </c>
      <c r="U34" s="134">
        <f t="shared" si="21"/>
        <v>1442682</v>
      </c>
      <c r="W34" s="134">
        <f t="shared" si="20"/>
        <v>37190</v>
      </c>
      <c r="X34" s="339">
        <f>[5]Feb!L29</f>
        <v>44.5</v>
      </c>
      <c r="Y34" s="339">
        <f>[5]Feb!J29</f>
        <v>40.799999999999997</v>
      </c>
      <c r="Z34" s="339">
        <f>[5]Feb!K29</f>
        <v>52.2</v>
      </c>
      <c r="AB34" s="844">
        <v>2001</v>
      </c>
      <c r="AC34" s="134">
        <f t="shared" si="2"/>
        <v>6109.9</v>
      </c>
      <c r="AD34" s="144">
        <f t="shared" si="3"/>
        <v>52.2</v>
      </c>
      <c r="AE34" s="136">
        <f t="shared" si="4"/>
        <v>40.799999999999997</v>
      </c>
      <c r="AF34" s="904">
        <f t="shared" si="5"/>
        <v>44.5</v>
      </c>
      <c r="AG34" s="134">
        <f t="shared" si="6"/>
        <v>1441263</v>
      </c>
      <c r="AH34" s="1135">
        <v>0</v>
      </c>
      <c r="AI34" s="136">
        <v>0</v>
      </c>
      <c r="AJ34" s="134">
        <f t="shared" si="13"/>
        <v>6200</v>
      </c>
      <c r="AK34" s="134">
        <f t="shared" si="8"/>
        <v>-90.100000000000364</v>
      </c>
      <c r="AL34" s="301"/>
      <c r="AM34" s="134"/>
      <c r="AN34" s="134"/>
      <c r="AO34" s="138"/>
      <c r="AP34" s="322">
        <f t="shared" si="12"/>
        <v>-120.80000000000018</v>
      </c>
      <c r="AQ34" s="1"/>
      <c r="AR34" s="1"/>
      <c r="AS34" s="1"/>
      <c r="AT34" s="1"/>
      <c r="AU34" s="1"/>
      <c r="AV34" s="1"/>
      <c r="AW34" s="1"/>
      <c r="AX34" s="1"/>
      <c r="BA34" s="124">
        <f t="shared" ref="BA34:BA49" si="28">AB34</f>
        <v>2001</v>
      </c>
      <c r="BB34" s="134">
        <f t="shared" si="15"/>
        <v>6725</v>
      </c>
      <c r="BC34" s="102">
        <f t="shared" ref="BC34:BC40" si="29">AC34</f>
        <v>6109.9</v>
      </c>
      <c r="BD34" s="102">
        <f t="shared" ref="BD34:BD36" si="30">BC34-BB34</f>
        <v>-615.10000000000036</v>
      </c>
      <c r="BE34" s="471">
        <f t="shared" ref="BE34:BE36" si="31">AJ34</f>
        <v>6200</v>
      </c>
      <c r="BF34" s="464">
        <f t="shared" ref="BF34:BF36" si="32">BB34-BE34</f>
        <v>525</v>
      </c>
      <c r="BG34" s="102"/>
    </row>
    <row r="35" spans="1:59">
      <c r="A35" s="123">
        <v>2002</v>
      </c>
      <c r="B35" s="139">
        <v>37315</v>
      </c>
      <c r="C35" s="123">
        <v>8</v>
      </c>
      <c r="D35" s="346" t="str">
        <f t="shared" si="0"/>
        <v>Thu</v>
      </c>
      <c r="E35" s="133">
        <f>[7]MoCoinMW!$F$150</f>
        <v>8941</v>
      </c>
      <c r="F35" s="133">
        <f>[7]MoCoinMW!$G$150</f>
        <v>7543.2</v>
      </c>
      <c r="G35" s="164">
        <f>SUM([6]Hist!$M$270:$O$270)</f>
        <v>0</v>
      </c>
      <c r="H35" s="164">
        <f>[6]Hist!L$270</f>
        <v>0</v>
      </c>
      <c r="I35" s="164">
        <f>[6]Hist!$P$270</f>
        <v>0</v>
      </c>
      <c r="J35" s="133">
        <f t="shared" si="27"/>
        <v>7543.2</v>
      </c>
      <c r="K35" s="164">
        <f>[6]Hist!$U$270</f>
        <v>390</v>
      </c>
      <c r="L35" s="1431">
        <f>[6]Hist!$V$270</f>
        <v>75</v>
      </c>
      <c r="M35" s="133">
        <f t="shared" si="10"/>
        <v>7933.2</v>
      </c>
      <c r="N35" s="164">
        <f>'Interruptible Forecast'!AI13</f>
        <v>305</v>
      </c>
      <c r="O35" s="133">
        <f t="shared" si="11"/>
        <v>7163.2</v>
      </c>
      <c r="P35" s="134">
        <f>[8]FCST!$BD9</f>
        <v>1472991</v>
      </c>
      <c r="Q35" s="463">
        <f>[8]FCST!$DF9</f>
        <v>6534</v>
      </c>
      <c r="U35" s="134">
        <f t="shared" si="21"/>
        <v>1472965</v>
      </c>
      <c r="W35" s="134">
        <f t="shared" si="20"/>
        <v>30283</v>
      </c>
      <c r="X35" s="339">
        <f>[5]Feb!L30</f>
        <v>38.1</v>
      </c>
      <c r="Y35" s="339">
        <f>[5]Feb!J30</f>
        <v>35</v>
      </c>
      <c r="Z35" s="339">
        <f>[5]Feb!K30</f>
        <v>44.3</v>
      </c>
      <c r="AB35" s="844">
        <v>2002</v>
      </c>
      <c r="AC35" s="134">
        <f t="shared" si="2"/>
        <v>7163.2</v>
      </c>
      <c r="AD35" s="144">
        <f t="shared" si="3"/>
        <v>44.3</v>
      </c>
      <c r="AE35" s="136">
        <f t="shared" si="4"/>
        <v>35</v>
      </c>
      <c r="AF35" s="904">
        <f t="shared" si="5"/>
        <v>38.1</v>
      </c>
      <c r="AG35" s="134">
        <f t="shared" si="6"/>
        <v>1472991</v>
      </c>
      <c r="AH35" s="136">
        <v>0</v>
      </c>
      <c r="AI35" s="136">
        <v>0</v>
      </c>
      <c r="AJ35" s="134">
        <f t="shared" si="13"/>
        <v>7463</v>
      </c>
      <c r="AK35" s="134">
        <f t="shared" si="8"/>
        <v>-299.80000000000018</v>
      </c>
      <c r="AL35" s="134"/>
      <c r="AM35" s="134"/>
      <c r="AN35" s="134"/>
      <c r="AO35" s="138"/>
      <c r="AP35" s="322">
        <f t="shared" si="12"/>
        <v>1053.3000000000002</v>
      </c>
      <c r="AQ35"/>
      <c r="AR35"/>
      <c r="AS35"/>
      <c r="AT35"/>
      <c r="AU35"/>
      <c r="AV35"/>
      <c r="AW35"/>
      <c r="AX35"/>
      <c r="BA35" s="124">
        <f t="shared" si="28"/>
        <v>2002</v>
      </c>
      <c r="BB35" s="134">
        <f t="shared" si="15"/>
        <v>6868</v>
      </c>
      <c r="BC35" s="102">
        <f t="shared" si="29"/>
        <v>7163.2</v>
      </c>
      <c r="BD35" s="102">
        <f t="shared" si="30"/>
        <v>295.19999999999982</v>
      </c>
      <c r="BE35" s="471">
        <f t="shared" si="31"/>
        <v>7463</v>
      </c>
      <c r="BF35" s="464">
        <f t="shared" si="32"/>
        <v>-595</v>
      </c>
      <c r="BG35" s="102"/>
    </row>
    <row r="36" spans="1:59">
      <c r="A36" s="123">
        <v>2003</v>
      </c>
      <c r="B36" s="139">
        <v>37664</v>
      </c>
      <c r="C36" s="123">
        <v>8</v>
      </c>
      <c r="D36" s="346" t="str">
        <f t="shared" ref="D36:D41" si="33">TEXT(WEEKDAY(B36),"ddd")</f>
        <v>Wed</v>
      </c>
      <c r="E36" s="133">
        <f>[7]MoCoinMW!$F$162</f>
        <v>6508</v>
      </c>
      <c r="F36" s="133">
        <f>[7]MoCoinMW!$G$162</f>
        <v>5857.5</v>
      </c>
      <c r="G36" s="164">
        <f>SUM([6]Hist!$M$282:$O$282)</f>
        <v>0</v>
      </c>
      <c r="H36" s="164">
        <f>[6]Hist!L$282</f>
        <v>0</v>
      </c>
      <c r="I36" s="164">
        <f>[6]Hist!$P$282</f>
        <v>0</v>
      </c>
      <c r="J36" s="133">
        <f t="shared" si="27"/>
        <v>5857.5</v>
      </c>
      <c r="K36" s="164">
        <f>[6]Hist!$U$282</f>
        <v>417</v>
      </c>
      <c r="L36" s="1431">
        <f>[6]Hist!$V$282</f>
        <v>75</v>
      </c>
      <c r="M36" s="133">
        <f t="shared" si="10"/>
        <v>6274.5</v>
      </c>
      <c r="N36" s="164">
        <f>'Interruptible Forecast'!AI14</f>
        <v>245</v>
      </c>
      <c r="O36" s="133">
        <f t="shared" si="11"/>
        <v>5537.5</v>
      </c>
      <c r="P36" s="134">
        <f>[8]FCST!$BD10</f>
        <v>1502391</v>
      </c>
      <c r="Q36" s="463">
        <f>[8]FCST!$DF10</f>
        <v>5710</v>
      </c>
      <c r="R36" s="372"/>
      <c r="S36" s="371">
        <f>[8]FCST!$CN10</f>
        <v>44762</v>
      </c>
      <c r="T36" s="369"/>
      <c r="U36" s="134">
        <f t="shared" si="21"/>
        <v>1503189</v>
      </c>
      <c r="W36" s="134">
        <f t="shared" si="20"/>
        <v>30224</v>
      </c>
      <c r="X36" s="339">
        <f>[5]Feb!L31</f>
        <v>48.9</v>
      </c>
      <c r="Y36" s="339">
        <f>[5]Feb!J31</f>
        <v>45.8</v>
      </c>
      <c r="Z36" s="339">
        <f>[5]Feb!K31</f>
        <v>55.3</v>
      </c>
      <c r="AB36" s="844">
        <v>2003</v>
      </c>
      <c r="AC36" s="134">
        <f t="shared" si="2"/>
        <v>5537.5</v>
      </c>
      <c r="AD36" s="144">
        <f t="shared" si="3"/>
        <v>55.3</v>
      </c>
      <c r="AE36" s="136">
        <f t="shared" si="4"/>
        <v>45.8</v>
      </c>
      <c r="AF36" s="904">
        <f t="shared" si="5"/>
        <v>48.9</v>
      </c>
      <c r="AG36" s="134">
        <f t="shared" si="6"/>
        <v>1502391</v>
      </c>
      <c r="AH36" s="136">
        <v>0</v>
      </c>
      <c r="AI36" s="136">
        <v>0</v>
      </c>
      <c r="AJ36" s="134">
        <f t="shared" si="13"/>
        <v>5703</v>
      </c>
      <c r="AK36" s="134">
        <f t="shared" si="8"/>
        <v>-165.5</v>
      </c>
      <c r="AL36" s="134"/>
      <c r="AM36" s="134"/>
      <c r="AN36" s="134"/>
      <c r="AO36" s="138"/>
      <c r="AP36" s="322">
        <f t="shared" si="12"/>
        <v>-1625.6999999999998</v>
      </c>
      <c r="AQ36"/>
      <c r="AR36"/>
      <c r="AS36"/>
      <c r="AT36"/>
      <c r="AU36"/>
      <c r="AV36"/>
      <c r="AW36"/>
      <c r="AX36"/>
      <c r="BA36" s="124">
        <f t="shared" si="28"/>
        <v>2003</v>
      </c>
      <c r="BB36" s="134">
        <f t="shared" si="15"/>
        <v>7000</v>
      </c>
      <c r="BC36" s="102">
        <f t="shared" si="29"/>
        <v>5537.5</v>
      </c>
      <c r="BD36" s="102">
        <f t="shared" si="30"/>
        <v>-1462.5</v>
      </c>
      <c r="BE36" s="471">
        <f t="shared" si="31"/>
        <v>5703</v>
      </c>
      <c r="BF36" s="464">
        <f t="shared" si="32"/>
        <v>1297</v>
      </c>
      <c r="BG36" s="102"/>
    </row>
    <row r="37" spans="1:59">
      <c r="A37" s="123">
        <v>2004</v>
      </c>
      <c r="B37" s="139">
        <v>38036</v>
      </c>
      <c r="C37" s="123">
        <v>8</v>
      </c>
      <c r="D37" s="346" t="str">
        <f t="shared" si="33"/>
        <v>Thu</v>
      </c>
      <c r="E37" s="133">
        <f>[7]MoCoinMW!$F$174</f>
        <v>7791.3</v>
      </c>
      <c r="F37" s="133">
        <f>[7]MoCoinMW!$G$174</f>
        <v>6901</v>
      </c>
      <c r="G37" s="164">
        <f>SUM([6]Hist!$M$294:$O$294)</f>
        <v>0</v>
      </c>
      <c r="H37" s="164">
        <f>[6]Hist!L$294</f>
        <v>0</v>
      </c>
      <c r="I37" s="164">
        <f>[6]Hist!$P$294</f>
        <v>0</v>
      </c>
      <c r="J37" s="133">
        <f t="shared" si="27"/>
        <v>6901</v>
      </c>
      <c r="K37" s="164">
        <f>[6]Hist!$U$294</f>
        <v>446</v>
      </c>
      <c r="L37" s="1431">
        <f>[6]Hist!$V$294</f>
        <v>110</v>
      </c>
      <c r="M37" s="133">
        <f t="shared" si="10"/>
        <v>7347</v>
      </c>
      <c r="N37" s="164">
        <f>'Interruptible Forecast'!AI15</f>
        <v>261</v>
      </c>
      <c r="O37" s="133">
        <f t="shared" si="11"/>
        <v>6530</v>
      </c>
      <c r="P37" s="134">
        <f>[8]FCST!$BD11</f>
        <v>1537189</v>
      </c>
      <c r="Q37" s="463">
        <f>[8]FCST!$DF11</f>
        <v>6406</v>
      </c>
      <c r="R37" s="560"/>
      <c r="S37" s="371">
        <f>[8]FCST!$CN11</f>
        <v>46741</v>
      </c>
      <c r="T37" s="369"/>
      <c r="U37" s="134">
        <f t="shared" si="21"/>
        <v>1537291</v>
      </c>
      <c r="W37" s="134">
        <f t="shared" si="20"/>
        <v>34102</v>
      </c>
      <c r="X37" s="339">
        <f>[5]Feb!L32</f>
        <v>44.2</v>
      </c>
      <c r="Y37" s="339">
        <f>[5]Feb!J32</f>
        <v>41.7</v>
      </c>
      <c r="Z37" s="339">
        <f>[5]Feb!K32</f>
        <v>49.3</v>
      </c>
      <c r="AB37" s="844">
        <v>2004</v>
      </c>
      <c r="AC37" s="134">
        <f t="shared" si="2"/>
        <v>6530</v>
      </c>
      <c r="AD37" s="144">
        <f t="shared" si="3"/>
        <v>49.3</v>
      </c>
      <c r="AE37" s="136">
        <f t="shared" si="4"/>
        <v>41.7</v>
      </c>
      <c r="AF37" s="904">
        <f t="shared" si="5"/>
        <v>44.2</v>
      </c>
      <c r="AG37" s="134">
        <f t="shared" si="6"/>
        <v>1537189</v>
      </c>
      <c r="AH37" s="136">
        <v>0</v>
      </c>
      <c r="AI37" s="136">
        <v>0</v>
      </c>
      <c r="AJ37" s="134">
        <f t="shared" si="13"/>
        <v>6683</v>
      </c>
      <c r="AK37" s="134">
        <f t="shared" si="8"/>
        <v>-153</v>
      </c>
      <c r="AL37" s="569"/>
      <c r="AM37" s="134"/>
      <c r="AN37" s="134"/>
      <c r="AO37" s="138"/>
      <c r="AP37" s="322">
        <f t="shared" si="12"/>
        <v>992.5</v>
      </c>
      <c r="AQ37"/>
      <c r="AR37"/>
      <c r="AS37"/>
      <c r="AT37"/>
      <c r="AU37"/>
      <c r="AV37"/>
      <c r="AW37"/>
      <c r="AX37"/>
      <c r="BA37" s="124">
        <f t="shared" si="28"/>
        <v>2004</v>
      </c>
      <c r="BB37" s="134">
        <f t="shared" si="15"/>
        <v>7156</v>
      </c>
      <c r="BC37" s="102">
        <f t="shared" si="29"/>
        <v>6530</v>
      </c>
      <c r="BD37" s="102">
        <f t="shared" ref="BD37:BD42" si="34">BC37-BB37</f>
        <v>-626</v>
      </c>
      <c r="BE37" s="471">
        <f t="shared" ref="BE37:BE42" si="35">AJ37</f>
        <v>6683</v>
      </c>
      <c r="BF37" s="464">
        <f t="shared" ref="BF37:BF42" si="36">BB37-BE37</f>
        <v>473</v>
      </c>
    </row>
    <row r="38" spans="1:59">
      <c r="A38" s="123">
        <v>2005</v>
      </c>
      <c r="B38" s="139">
        <v>38394</v>
      </c>
      <c r="C38" s="123">
        <v>9</v>
      </c>
      <c r="D38" s="346" t="str">
        <f t="shared" si="33"/>
        <v>Fri</v>
      </c>
      <c r="E38" s="133">
        <f>[7]MoCoinMW!$F$186</f>
        <v>7399.3</v>
      </c>
      <c r="F38" s="133">
        <f>[7]MoCoinMW!$G$186</f>
        <v>6449.6</v>
      </c>
      <c r="G38" s="164">
        <f>SUM([6]Hist!$M$306:$O$306)</f>
        <v>0</v>
      </c>
      <c r="H38" s="164">
        <f>[6]Hist!L$306</f>
        <v>0</v>
      </c>
      <c r="I38" s="164">
        <f>[6]Hist!$P$306</f>
        <v>0</v>
      </c>
      <c r="J38" s="133">
        <f t="shared" si="27"/>
        <v>6449.6</v>
      </c>
      <c r="K38" s="164">
        <f>[6]Hist!$U$306</f>
        <v>475</v>
      </c>
      <c r="L38" s="1431">
        <f>[6]Hist!$V$306</f>
        <v>110</v>
      </c>
      <c r="M38" s="133">
        <f t="shared" si="10"/>
        <v>6924.6</v>
      </c>
      <c r="N38" s="164">
        <f>'Interruptible Forecast'!AI16</f>
        <v>291</v>
      </c>
      <c r="O38" s="133">
        <f t="shared" si="11"/>
        <v>6048.6</v>
      </c>
      <c r="P38" s="134">
        <f>[8]FCST!$BD12</f>
        <v>1572502</v>
      </c>
      <c r="Q38" s="463">
        <f>[8]FCST!$DF12</f>
        <v>7003</v>
      </c>
      <c r="R38" s="560"/>
      <c r="S38" s="371">
        <f>[8]FCST!$CN12</f>
        <v>52012</v>
      </c>
      <c r="T38" s="369"/>
      <c r="U38" s="134">
        <f t="shared" si="21"/>
        <v>1572007</v>
      </c>
      <c r="W38" s="134">
        <f t="shared" si="20"/>
        <v>34716</v>
      </c>
      <c r="X38" s="339">
        <f>[5]Feb!L33</f>
        <v>46.7</v>
      </c>
      <c r="Y38" s="339">
        <f>[5]Feb!J33</f>
        <v>41.6</v>
      </c>
      <c r="Z38" s="339">
        <f>[5]Feb!K33</f>
        <v>57.1</v>
      </c>
      <c r="AB38" s="844">
        <v>2005</v>
      </c>
      <c r="AC38" s="134">
        <f t="shared" si="2"/>
        <v>6048.6</v>
      </c>
      <c r="AD38" s="144">
        <f t="shared" si="3"/>
        <v>57.1</v>
      </c>
      <c r="AE38" s="136">
        <f t="shared" si="4"/>
        <v>41.6</v>
      </c>
      <c r="AF38" s="904">
        <f t="shared" si="5"/>
        <v>46.7</v>
      </c>
      <c r="AG38" s="134">
        <f t="shared" si="6"/>
        <v>1572502</v>
      </c>
      <c r="AH38" s="136">
        <v>1</v>
      </c>
      <c r="AI38" s="136">
        <v>0</v>
      </c>
      <c r="AJ38" s="134">
        <f t="shared" si="13"/>
        <v>5715</v>
      </c>
      <c r="AK38" s="134">
        <f t="shared" si="8"/>
        <v>333.60000000000036</v>
      </c>
      <c r="AL38" s="569"/>
      <c r="AM38" s="134"/>
      <c r="AN38" s="134"/>
      <c r="AO38" s="138"/>
      <c r="AP38" s="322">
        <f t="shared" si="12"/>
        <v>-481.39999999999964</v>
      </c>
      <c r="BA38" s="124">
        <f t="shared" si="28"/>
        <v>2005</v>
      </c>
      <c r="BB38" s="134">
        <f t="shared" si="15"/>
        <v>6626</v>
      </c>
      <c r="BC38" s="102">
        <f t="shared" si="29"/>
        <v>6048.6</v>
      </c>
      <c r="BD38" s="102">
        <f t="shared" si="34"/>
        <v>-577.39999999999964</v>
      </c>
      <c r="BE38" s="471">
        <f t="shared" si="35"/>
        <v>5715</v>
      </c>
      <c r="BF38" s="464">
        <f t="shared" si="36"/>
        <v>911</v>
      </c>
    </row>
    <row r="39" spans="1:59">
      <c r="A39" s="123">
        <v>2006</v>
      </c>
      <c r="B39" s="139">
        <v>38762</v>
      </c>
      <c r="C39" s="123">
        <v>8</v>
      </c>
      <c r="D39" s="346" t="str">
        <f t="shared" si="33"/>
        <v>Tue</v>
      </c>
      <c r="E39" s="133">
        <f>[7]MoCoinMW!$F$198</f>
        <v>10094</v>
      </c>
      <c r="F39" s="133">
        <f>[7]MoCoinMW!$G$198</f>
        <v>8627.2000000000007</v>
      </c>
      <c r="G39" s="164">
        <f>SUM([6]Hist!$M$318:$O$318)</f>
        <v>52</v>
      </c>
      <c r="H39" s="164">
        <f>[6]Hist!L$318</f>
        <v>0</v>
      </c>
      <c r="I39" s="164">
        <f>[6]Hist!$P$318</f>
        <v>0</v>
      </c>
      <c r="J39" s="133">
        <f t="shared" si="27"/>
        <v>8679.2000000000007</v>
      </c>
      <c r="K39" s="164">
        <f>[6]Hist!$U$318</f>
        <v>515</v>
      </c>
      <c r="L39" s="1431">
        <f>[6]Hist!$V$318</f>
        <v>66</v>
      </c>
      <c r="M39" s="133">
        <f t="shared" si="10"/>
        <v>9194.2000000000007</v>
      </c>
      <c r="N39" s="164">
        <f>'Interruptible Forecast'!AI17</f>
        <v>282</v>
      </c>
      <c r="O39" s="133">
        <f t="shared" si="11"/>
        <v>8331.2000000000007</v>
      </c>
      <c r="P39" s="134">
        <f>[8]FCST!$BD13</f>
        <v>1602962</v>
      </c>
      <c r="Q39" s="463">
        <f>[8]FCST!$DF13</f>
        <v>8133</v>
      </c>
      <c r="R39" s="560"/>
      <c r="S39" s="371">
        <f>[8]FCST!$CN13</f>
        <v>56135</v>
      </c>
      <c r="T39" s="369"/>
      <c r="U39" s="581">
        <f t="shared" si="21"/>
        <v>1601337</v>
      </c>
      <c r="V39" s="374">
        <f>[10]WP2005!$D$15</f>
        <v>13825</v>
      </c>
      <c r="W39" s="134">
        <f t="shared" si="20"/>
        <v>29330</v>
      </c>
      <c r="X39" s="339">
        <f>[5]Feb!L34</f>
        <v>38.5</v>
      </c>
      <c r="Y39" s="339">
        <f>[5]Feb!J34</f>
        <v>36</v>
      </c>
      <c r="Z39" s="339">
        <f>[5]Feb!K34</f>
        <v>43.7</v>
      </c>
      <c r="AB39" s="844">
        <v>2006</v>
      </c>
      <c r="AC39" s="134">
        <f t="shared" si="2"/>
        <v>8331.2000000000007</v>
      </c>
      <c r="AD39" s="144">
        <f t="shared" si="3"/>
        <v>43.7</v>
      </c>
      <c r="AE39" s="136">
        <f t="shared" si="4"/>
        <v>36</v>
      </c>
      <c r="AF39" s="904">
        <f t="shared" si="5"/>
        <v>38.5</v>
      </c>
      <c r="AG39" s="134">
        <f t="shared" si="6"/>
        <v>1602962</v>
      </c>
      <c r="AH39" s="136">
        <v>0</v>
      </c>
      <c r="AI39" s="136">
        <v>0</v>
      </c>
      <c r="AJ39" s="134">
        <f t="shared" si="13"/>
        <v>7977</v>
      </c>
      <c r="AK39" s="134">
        <f t="shared" si="8"/>
        <v>354.20000000000073</v>
      </c>
      <c r="AL39" s="569"/>
      <c r="AM39" s="134"/>
      <c r="AN39" s="134"/>
      <c r="AO39" s="138"/>
      <c r="AP39" s="322">
        <f t="shared" si="12"/>
        <v>2282.6000000000004</v>
      </c>
      <c r="BA39" s="124">
        <f t="shared" si="28"/>
        <v>2006</v>
      </c>
      <c r="BB39" s="134">
        <f t="shared" si="15"/>
        <v>7451</v>
      </c>
      <c r="BC39" s="102">
        <f t="shared" si="29"/>
        <v>8331.2000000000007</v>
      </c>
      <c r="BD39" s="102">
        <f t="shared" si="34"/>
        <v>880.20000000000073</v>
      </c>
      <c r="BE39" s="471">
        <f t="shared" si="35"/>
        <v>7977</v>
      </c>
      <c r="BF39" s="464">
        <f t="shared" si="36"/>
        <v>-526</v>
      </c>
    </row>
    <row r="40" spans="1:59">
      <c r="A40" s="123">
        <v>2007</v>
      </c>
      <c r="B40" s="139">
        <v>39130</v>
      </c>
      <c r="C40" s="123">
        <v>8</v>
      </c>
      <c r="D40" s="915" t="str">
        <f t="shared" si="33"/>
        <v>Sat</v>
      </c>
      <c r="E40" s="133">
        <f>[7]MoCoinMW!$F$210</f>
        <v>9097</v>
      </c>
      <c r="F40" s="133">
        <f>[7]MoCoinMW!$G$210</f>
        <v>7522</v>
      </c>
      <c r="G40" s="164">
        <f>SUM([6]Hist!$M$330:$O$330)</f>
        <v>30</v>
      </c>
      <c r="H40" s="164">
        <f>[6]Hist!L$330</f>
        <v>55</v>
      </c>
      <c r="I40" s="164">
        <f>[6]Hist!$P$330</f>
        <v>0</v>
      </c>
      <c r="J40" s="133">
        <f t="shared" ref="J40:J45" si="37">SUM(F40:I40)</f>
        <v>7607</v>
      </c>
      <c r="K40" s="164">
        <f>[6]Hist!$U$330</f>
        <v>555</v>
      </c>
      <c r="L40" s="1431">
        <f>[6]Hist!$V$330</f>
        <v>110</v>
      </c>
      <c r="M40" s="133">
        <f t="shared" si="10"/>
        <v>8162</v>
      </c>
      <c r="N40" s="164">
        <f>'Interruptible Forecast'!AI18</f>
        <v>288</v>
      </c>
      <c r="O40" s="133">
        <f t="shared" si="11"/>
        <v>7209</v>
      </c>
      <c r="P40" s="134">
        <f>[8]FCST!$BD14</f>
        <v>1633647</v>
      </c>
      <c r="Q40" s="463">
        <f>[8]FCST!$DF14</f>
        <v>8488</v>
      </c>
      <c r="R40" s="560"/>
      <c r="S40" s="371">
        <f>[8]FCST!$CN14</f>
        <v>56743</v>
      </c>
      <c r="T40" s="369"/>
      <c r="U40" s="581">
        <f t="shared" si="21"/>
        <v>1631667</v>
      </c>
      <c r="V40" s="374">
        <f>ROUND(V39*1.01,0)</f>
        <v>13963</v>
      </c>
      <c r="W40" s="134">
        <f t="shared" si="20"/>
        <v>30330</v>
      </c>
      <c r="X40" s="339">
        <f>[5]Feb!L35</f>
        <v>38.5</v>
      </c>
      <c r="Y40" s="339">
        <f>[5]Feb!J35</f>
        <v>35.4</v>
      </c>
      <c r="Z40" s="339">
        <f>[5]Feb!K35</f>
        <v>44.7</v>
      </c>
      <c r="AB40" s="844">
        <v>2007</v>
      </c>
      <c r="AC40" s="134">
        <f t="shared" si="2"/>
        <v>7209</v>
      </c>
      <c r="AD40" s="144">
        <f t="shared" si="3"/>
        <v>44.7</v>
      </c>
      <c r="AE40" s="136">
        <f t="shared" si="4"/>
        <v>35.4</v>
      </c>
      <c r="AF40" s="904">
        <f t="shared" si="5"/>
        <v>38.5</v>
      </c>
      <c r="AG40" s="134">
        <f t="shared" si="6"/>
        <v>1633647</v>
      </c>
      <c r="AH40" s="136">
        <v>0</v>
      </c>
      <c r="AI40" s="136">
        <v>1</v>
      </c>
      <c r="AJ40" s="134">
        <f t="shared" si="13"/>
        <v>7064</v>
      </c>
      <c r="AK40" s="134">
        <f t="shared" si="8"/>
        <v>145</v>
      </c>
      <c r="AL40" s="569"/>
      <c r="AM40" s="134"/>
      <c r="AN40" s="134"/>
      <c r="AO40" s="138"/>
      <c r="AP40" s="322">
        <f t="shared" si="12"/>
        <v>-1122.2000000000007</v>
      </c>
      <c r="BA40" s="124">
        <f t="shared" si="28"/>
        <v>2007</v>
      </c>
      <c r="BB40" s="134">
        <f t="shared" si="15"/>
        <v>6538</v>
      </c>
      <c r="BC40" s="102">
        <f t="shared" si="29"/>
        <v>7209</v>
      </c>
      <c r="BD40" s="102">
        <f t="shared" si="34"/>
        <v>671</v>
      </c>
      <c r="BE40" s="471">
        <f t="shared" si="35"/>
        <v>7064</v>
      </c>
      <c r="BF40" s="464">
        <f t="shared" si="36"/>
        <v>-526</v>
      </c>
    </row>
    <row r="41" spans="1:59">
      <c r="A41" s="123">
        <v>2008</v>
      </c>
      <c r="B41" s="139">
        <v>39506</v>
      </c>
      <c r="C41" s="123">
        <v>8</v>
      </c>
      <c r="D41" s="346" t="str">
        <f t="shared" si="33"/>
        <v>Thu</v>
      </c>
      <c r="E41" s="133">
        <f>[7]MoCoinMW!$F$222</f>
        <v>8223</v>
      </c>
      <c r="F41" s="133">
        <f>[7]MoCoinMW!$G$222</f>
        <v>6796</v>
      </c>
      <c r="G41" s="164">
        <f>SUM([6]Hist!$M$342:$O$342)</f>
        <v>0</v>
      </c>
      <c r="H41" s="164">
        <f>[6]Hist!L$342</f>
        <v>0</v>
      </c>
      <c r="I41" s="164">
        <f>[6]Hist!$P$342</f>
        <v>0</v>
      </c>
      <c r="J41" s="133">
        <f t="shared" si="37"/>
        <v>6796</v>
      </c>
      <c r="K41" s="164">
        <f>[6]Hist!$U$342</f>
        <v>594</v>
      </c>
      <c r="L41" s="1431">
        <f>[6]Hist!$V$342</f>
        <v>110</v>
      </c>
      <c r="M41" s="133">
        <f t="shared" ref="M41:M46" si="38">SUM(J41:K41)</f>
        <v>7390</v>
      </c>
      <c r="N41" s="164">
        <f>'Interruptible Forecast'!AI19</f>
        <v>294</v>
      </c>
      <c r="O41" s="133">
        <f t="shared" si="11"/>
        <v>6392</v>
      </c>
      <c r="P41" s="134">
        <f>[8]FCST!$BD15</f>
        <v>1639271</v>
      </c>
      <c r="Q41" s="463">
        <f>[8]FCST!$DF15</f>
        <v>9342</v>
      </c>
      <c r="R41" s="560"/>
      <c r="S41" s="371">
        <f>[8]FCST!$CN15</f>
        <v>58427</v>
      </c>
      <c r="T41" s="369"/>
      <c r="U41" s="301">
        <f>P41-Q41+S$31</f>
        <v>1636437</v>
      </c>
      <c r="V41" s="374">
        <f>ROUND(V40*1.005,0)</f>
        <v>14033</v>
      </c>
      <c r="W41" s="134">
        <f t="shared" si="20"/>
        <v>4770</v>
      </c>
      <c r="X41" s="339">
        <f>[5]Feb!L36</f>
        <v>42.5</v>
      </c>
      <c r="Y41" s="339">
        <f>[5]Feb!J36</f>
        <v>39.5</v>
      </c>
      <c r="Z41" s="339">
        <f>[5]Feb!K36</f>
        <v>48.5</v>
      </c>
      <c r="AB41" s="844">
        <v>2008</v>
      </c>
      <c r="AC41" s="134">
        <f t="shared" si="2"/>
        <v>6392</v>
      </c>
      <c r="AD41" s="144">
        <f t="shared" si="3"/>
        <v>48.5</v>
      </c>
      <c r="AE41" s="136">
        <f>Y41</f>
        <v>39.5</v>
      </c>
      <c r="AF41" s="904">
        <f t="shared" si="5"/>
        <v>42.5</v>
      </c>
      <c r="AG41" s="134">
        <f t="shared" si="6"/>
        <v>1639271</v>
      </c>
      <c r="AH41" s="1136">
        <v>0</v>
      </c>
      <c r="AI41" s="136">
        <v>1</v>
      </c>
      <c r="AJ41" s="134">
        <f t="shared" si="13"/>
        <v>6388</v>
      </c>
      <c r="AK41" s="134">
        <f t="shared" si="8"/>
        <v>4</v>
      </c>
      <c r="AL41" s="569"/>
      <c r="AM41" s="134"/>
      <c r="AN41" s="134"/>
      <c r="AO41" s="138"/>
      <c r="AP41" s="322">
        <f t="shared" si="12"/>
        <v>-817</v>
      </c>
      <c r="BA41" s="124">
        <f t="shared" si="28"/>
        <v>2008</v>
      </c>
      <c r="BB41" s="134">
        <f t="shared" si="15"/>
        <v>6563</v>
      </c>
      <c r="BC41" s="102">
        <f t="shared" ref="BC41:BC46" si="39">AC41</f>
        <v>6392</v>
      </c>
      <c r="BD41" s="102">
        <f t="shared" si="34"/>
        <v>-171</v>
      </c>
      <c r="BE41" s="471">
        <f t="shared" si="35"/>
        <v>6388</v>
      </c>
      <c r="BF41" s="464">
        <f t="shared" si="36"/>
        <v>175</v>
      </c>
    </row>
    <row r="42" spans="1:59">
      <c r="A42" s="123">
        <v>2009</v>
      </c>
      <c r="B42" s="139">
        <v>39850</v>
      </c>
      <c r="C42" s="123">
        <v>8</v>
      </c>
      <c r="D42" s="346" t="str">
        <f>TEXT(WEEKDAY(B42),"ddd")</f>
        <v>Fri</v>
      </c>
      <c r="E42" s="133">
        <f>[7]MoCoinMW!$F$234</f>
        <v>11313</v>
      </c>
      <c r="F42" s="133">
        <f>[7]MoCoinMW!$G$234</f>
        <v>9085</v>
      </c>
      <c r="G42" s="164">
        <f>SUM([6]Hist!$M$354:$O$354)</f>
        <v>0</v>
      </c>
      <c r="H42" s="164">
        <f>[6]Hist!L$354</f>
        <v>0</v>
      </c>
      <c r="I42" s="164">
        <f>[6]Hist!$P$354</f>
        <v>0</v>
      </c>
      <c r="J42" s="133">
        <f t="shared" si="37"/>
        <v>9085</v>
      </c>
      <c r="K42" s="164">
        <f>[6]Hist!$U$354</f>
        <v>641</v>
      </c>
      <c r="L42" s="1431">
        <f>[6]Hist!$V$354</f>
        <v>110</v>
      </c>
      <c r="M42" s="133">
        <f t="shared" si="38"/>
        <v>9726</v>
      </c>
      <c r="N42" s="164">
        <f>[6]Hist!$AA$354</f>
        <v>261.0897566959722</v>
      </c>
      <c r="O42" s="133">
        <f t="shared" si="11"/>
        <v>8713.910243304028</v>
      </c>
      <c r="P42" s="134">
        <f>[8]FCST!$BD16</f>
        <v>1632376</v>
      </c>
      <c r="Q42" s="463">
        <f>[8]FCST!$DF16</f>
        <v>8614</v>
      </c>
      <c r="R42" s="560"/>
      <c r="S42" s="371">
        <f>[8]FCST!$CN16</f>
        <v>61398</v>
      </c>
      <c r="T42" s="369"/>
      <c r="U42" s="301">
        <f t="shared" ref="U42:U58" si="40">P42-Q42+S$31</f>
        <v>1630270</v>
      </c>
      <c r="V42" s="374">
        <f t="shared" ref="V42:V73" si="41">ROUND(V41*1.005,0)</f>
        <v>14103</v>
      </c>
      <c r="W42" s="134">
        <f t="shared" si="20"/>
        <v>-6167</v>
      </c>
      <c r="X42" s="339">
        <f>[5]Feb!L37</f>
        <v>36.6</v>
      </c>
      <c r="Y42" s="339">
        <f>[5]Feb!J37</f>
        <v>34.700000000000003</v>
      </c>
      <c r="Z42" s="339">
        <f>[5]Feb!K37</f>
        <v>40.5</v>
      </c>
      <c r="AB42" s="844">
        <v>2009</v>
      </c>
      <c r="AC42" s="134">
        <f>O42</f>
        <v>8713.910243304028</v>
      </c>
      <c r="AD42" s="144">
        <f>Z42</f>
        <v>40.5</v>
      </c>
      <c r="AE42" s="136">
        <f>Y42</f>
        <v>34.700000000000003</v>
      </c>
      <c r="AF42" s="904">
        <f t="shared" si="5"/>
        <v>36.6</v>
      </c>
      <c r="AG42" s="134">
        <f t="shared" si="6"/>
        <v>1632376</v>
      </c>
      <c r="AH42" s="1136">
        <v>0</v>
      </c>
      <c r="AI42" s="136">
        <v>0</v>
      </c>
      <c r="AJ42" s="134">
        <f t="shared" si="13"/>
        <v>8442</v>
      </c>
      <c r="AK42" s="134">
        <f t="shared" si="8"/>
        <v>271.91024330402797</v>
      </c>
      <c r="AL42" s="569"/>
      <c r="AM42" s="134"/>
      <c r="AN42" s="134"/>
      <c r="AO42" s="138"/>
      <c r="AP42" s="322">
        <f t="shared" si="12"/>
        <v>2321.910243304028</v>
      </c>
      <c r="BA42" s="124">
        <f t="shared" si="28"/>
        <v>2009</v>
      </c>
      <c r="BB42" s="134">
        <f t="shared" si="15"/>
        <v>7583</v>
      </c>
      <c r="BC42" s="102">
        <f t="shared" si="39"/>
        <v>8713.910243304028</v>
      </c>
      <c r="BD42" s="102">
        <f t="shared" si="34"/>
        <v>1130.910243304028</v>
      </c>
      <c r="BE42" s="471">
        <f t="shared" si="35"/>
        <v>8442</v>
      </c>
      <c r="BF42" s="464">
        <f t="shared" si="36"/>
        <v>-859</v>
      </c>
    </row>
    <row r="43" spans="1:59">
      <c r="A43" s="123">
        <v>2010</v>
      </c>
      <c r="B43" s="139">
        <v>40235</v>
      </c>
      <c r="C43" s="123">
        <v>8</v>
      </c>
      <c r="D43" s="346" t="str">
        <f>TEXT(WEEKDAY(B43),"ddd")</f>
        <v>Fri</v>
      </c>
      <c r="E43" s="133">
        <f>[7]MoCoinMW!$F$246</f>
        <v>8746</v>
      </c>
      <c r="F43" s="133">
        <f>[7]MoCoinMW!$G$246</f>
        <v>7478</v>
      </c>
      <c r="G43" s="164">
        <f>SUM([6]Hist!$M$366:$O$366)</f>
        <v>388</v>
      </c>
      <c r="H43" s="164">
        <f>[6]Hist!L$366</f>
        <v>0</v>
      </c>
      <c r="I43" s="164">
        <f>[6]Hist!$P$366</f>
        <v>0</v>
      </c>
      <c r="J43" s="133">
        <f t="shared" si="37"/>
        <v>7866</v>
      </c>
      <c r="K43" s="164">
        <f>[6]Hist!$U$366</f>
        <v>696</v>
      </c>
      <c r="L43" s="1431">
        <f>[6]Hist!$V$366</f>
        <v>110</v>
      </c>
      <c r="M43" s="133">
        <f t="shared" si="38"/>
        <v>8562</v>
      </c>
      <c r="N43" s="164">
        <f>[6]Hist!$AA$366</f>
        <v>250.77235107796054</v>
      </c>
      <c r="O43" s="133">
        <f t="shared" si="11"/>
        <v>7505.2276489220394</v>
      </c>
      <c r="P43" s="134">
        <f>[8]FCST!$BD17</f>
        <v>1631062</v>
      </c>
      <c r="Q43" s="463">
        <f>[8]FCST!$DF17</f>
        <v>8634</v>
      </c>
      <c r="R43" s="560"/>
      <c r="S43" s="371">
        <f>[8]FCST!$CN17</f>
        <v>57767</v>
      </c>
      <c r="T43" s="369"/>
      <c r="U43" s="301">
        <f t="shared" si="40"/>
        <v>1628936</v>
      </c>
      <c r="V43" s="374">
        <f t="shared" si="41"/>
        <v>14174</v>
      </c>
      <c r="W43" s="134">
        <f t="shared" si="20"/>
        <v>-1334</v>
      </c>
      <c r="X43" s="339">
        <f>[5]Feb!L38</f>
        <v>40.700000000000003</v>
      </c>
      <c r="Y43" s="339">
        <f>[5]Feb!J38</f>
        <v>37.9</v>
      </c>
      <c r="Z43" s="339">
        <f>[5]Feb!K38</f>
        <v>46.3</v>
      </c>
      <c r="AB43" s="844">
        <v>2010</v>
      </c>
      <c r="AC43" s="134">
        <f>O43</f>
        <v>7505.2276489220394</v>
      </c>
      <c r="AD43" s="144">
        <f>Z43</f>
        <v>46.3</v>
      </c>
      <c r="AE43" s="136">
        <f>Y43</f>
        <v>37.9</v>
      </c>
      <c r="AF43" s="904">
        <f t="shared" si="5"/>
        <v>40.700000000000003</v>
      </c>
      <c r="AG43" s="134">
        <f t="shared" si="6"/>
        <v>1631062</v>
      </c>
      <c r="AH43" s="1136">
        <v>0</v>
      </c>
      <c r="AI43" s="136">
        <v>0</v>
      </c>
      <c r="AJ43" s="134">
        <f t="shared" si="13"/>
        <v>7718</v>
      </c>
      <c r="AK43" s="134">
        <f t="shared" si="8"/>
        <v>-212.77235107796059</v>
      </c>
      <c r="AL43" s="569"/>
      <c r="AM43" s="134"/>
      <c r="AN43" s="134"/>
      <c r="AO43" s="138"/>
      <c r="AP43" s="322">
        <f t="shared" si="12"/>
        <v>-1208.6825943819886</v>
      </c>
      <c r="BA43" s="124">
        <f t="shared" si="28"/>
        <v>2010</v>
      </c>
      <c r="BB43" s="134">
        <f t="shared" si="15"/>
        <v>7578</v>
      </c>
      <c r="BC43" s="102">
        <f t="shared" si="39"/>
        <v>7505.2276489220394</v>
      </c>
      <c r="BD43" s="102">
        <f>BC43-BB43</f>
        <v>-72.772351077960593</v>
      </c>
      <c r="BE43" s="471">
        <f>AJ43</f>
        <v>7718</v>
      </c>
      <c r="BF43" s="464">
        <f>BB43-BE43</f>
        <v>-140</v>
      </c>
    </row>
    <row r="44" spans="1:59">
      <c r="A44" s="123">
        <v>2011</v>
      </c>
      <c r="B44" s="139">
        <v>40588</v>
      </c>
      <c r="C44" s="123">
        <v>8</v>
      </c>
      <c r="D44" s="915" t="str">
        <f t="shared" ref="D44:D46" si="42">TEXT(WEEKDAY(B44),"ddd")</f>
        <v>Mon</v>
      </c>
      <c r="E44" s="133">
        <f>[7]MoCoinMW!$F$258</f>
        <v>7395</v>
      </c>
      <c r="F44" s="133">
        <f>[7]MoCoinMW!$G$258</f>
        <v>6692</v>
      </c>
      <c r="G44" s="164">
        <f>SUM([6]Hist!$M$378:$O$378)</f>
        <v>0</v>
      </c>
      <c r="H44" s="164">
        <f>[6]Hist!L$378</f>
        <v>0</v>
      </c>
      <c r="I44" s="164">
        <f>[6]Hist!$P$378</f>
        <v>0</v>
      </c>
      <c r="J44" s="133">
        <f t="shared" si="37"/>
        <v>6692</v>
      </c>
      <c r="K44" s="164">
        <f>[6]Hist!$U$378</f>
        <v>774</v>
      </c>
      <c r="L44" s="1431">
        <f>[6]Hist!$V$378</f>
        <v>110</v>
      </c>
      <c r="M44" s="133">
        <f t="shared" si="38"/>
        <v>7466</v>
      </c>
      <c r="N44" s="164">
        <f>[6]Hist!$AA$378</f>
        <v>254.62768885717199</v>
      </c>
      <c r="O44" s="133">
        <f t="shared" si="11"/>
        <v>6327.372311142828</v>
      </c>
      <c r="P44" s="134">
        <f>[8]FCST!$BD18</f>
        <v>1639251</v>
      </c>
      <c r="Q44" s="463">
        <f>[8]FCST!$DF18</f>
        <v>10250</v>
      </c>
      <c r="R44" s="560"/>
      <c r="S44" s="371">
        <f>[8]FCST!$CN18</f>
        <v>61111</v>
      </c>
      <c r="T44" s="369"/>
      <c r="U44" s="301">
        <f t="shared" si="40"/>
        <v>1635509</v>
      </c>
      <c r="V44" s="374">
        <f t="shared" si="41"/>
        <v>14245</v>
      </c>
      <c r="W44" s="134">
        <f t="shared" si="20"/>
        <v>6573</v>
      </c>
      <c r="X44" s="339">
        <f>[5]Feb!L39</f>
        <v>45.8</v>
      </c>
      <c r="Y44" s="339">
        <f>[5]Feb!J39</f>
        <v>42.5</v>
      </c>
      <c r="Z44" s="339">
        <f>[5]Feb!K39</f>
        <v>52.6</v>
      </c>
      <c r="AB44" s="844">
        <v>2011</v>
      </c>
      <c r="AC44" s="134">
        <f t="shared" ref="AC44:AC45" si="43">O44</f>
        <v>6327.372311142828</v>
      </c>
      <c r="AD44" s="144">
        <f t="shared" ref="AD44:AD45" si="44">Z44</f>
        <v>52.6</v>
      </c>
      <c r="AE44" s="136">
        <f t="shared" ref="AE44:AE45" si="45">Y44</f>
        <v>42.5</v>
      </c>
      <c r="AF44" s="904">
        <f t="shared" si="5"/>
        <v>45.8</v>
      </c>
      <c r="AG44" s="134">
        <f t="shared" si="6"/>
        <v>1639251</v>
      </c>
      <c r="AH44" s="136">
        <v>1</v>
      </c>
      <c r="AI44" s="136">
        <v>0</v>
      </c>
      <c r="AJ44" s="134">
        <f t="shared" si="13"/>
        <v>6172</v>
      </c>
      <c r="AK44" s="134">
        <f t="shared" si="8"/>
        <v>155.37231114282804</v>
      </c>
      <c r="AL44" s="569"/>
      <c r="AM44" s="134"/>
      <c r="AN44" s="134"/>
      <c r="AO44" s="138"/>
      <c r="AP44" s="322">
        <f t="shared" si="12"/>
        <v>-1177.8553377792114</v>
      </c>
      <c r="BA44" s="124">
        <f t="shared" si="28"/>
        <v>2011</v>
      </c>
      <c r="BB44" s="134">
        <f t="shared" si="15"/>
        <v>6926</v>
      </c>
      <c r="BC44" s="102">
        <f t="shared" si="39"/>
        <v>6327.372311142828</v>
      </c>
      <c r="BD44" s="102">
        <f>BC44-BB44</f>
        <v>-598.62768885717196</v>
      </c>
      <c r="BE44" s="471">
        <f>AJ44</f>
        <v>6172</v>
      </c>
      <c r="BF44" s="464">
        <f>BB44-BE44</f>
        <v>754</v>
      </c>
    </row>
    <row r="45" spans="1:59">
      <c r="A45" s="123">
        <v>2012</v>
      </c>
      <c r="B45" s="139">
        <v>40952</v>
      </c>
      <c r="C45" s="123">
        <v>8</v>
      </c>
      <c r="D45" s="915" t="str">
        <f t="shared" si="42"/>
        <v>Mon</v>
      </c>
      <c r="E45" s="133">
        <f>[7]MoCoinMW!$F$270</f>
        <v>8519</v>
      </c>
      <c r="F45" s="133">
        <f>[7]MoCoinMW!$G$270</f>
        <v>7632</v>
      </c>
      <c r="G45" s="164">
        <f>SUM([6]Hist!$M$390:$O$390)</f>
        <v>0</v>
      </c>
      <c r="H45" s="164">
        <f>[6]Hist!L$390</f>
        <v>0</v>
      </c>
      <c r="I45" s="164">
        <f>[6]Hist!$P$390</f>
        <v>0</v>
      </c>
      <c r="J45" s="133">
        <f t="shared" si="37"/>
        <v>7632</v>
      </c>
      <c r="K45" s="164">
        <f>[6]Hist!$U$390</f>
        <v>850</v>
      </c>
      <c r="L45" s="1431">
        <f>[6]Hist!$V$390</f>
        <v>110</v>
      </c>
      <c r="M45" s="133">
        <f t="shared" si="38"/>
        <v>8482</v>
      </c>
      <c r="N45" s="164">
        <f>[6]Hist!$AA$390</f>
        <v>241.52900468145737</v>
      </c>
      <c r="O45" s="133">
        <f t="shared" si="11"/>
        <v>7280.4709953185429</v>
      </c>
      <c r="P45" s="134">
        <f>[8]FCST!$BD19</f>
        <v>1650080</v>
      </c>
      <c r="Q45" s="463">
        <f>[8]FCST!$DF19</f>
        <v>11174</v>
      </c>
      <c r="R45" s="560"/>
      <c r="S45" s="371">
        <f>[8]FCST!$CN19</f>
        <v>57887</v>
      </c>
      <c r="T45" s="369"/>
      <c r="U45" s="301">
        <f t="shared" si="40"/>
        <v>1645414</v>
      </c>
      <c r="V45" s="374">
        <f t="shared" si="41"/>
        <v>14316</v>
      </c>
      <c r="W45" s="134">
        <f t="shared" si="20"/>
        <v>9905</v>
      </c>
      <c r="X45" s="339">
        <f>[5]Feb!L40</f>
        <v>37.9</v>
      </c>
      <c r="Y45" s="339">
        <f>[5]Feb!J40</f>
        <v>36</v>
      </c>
      <c r="Z45" s="339">
        <f>[5]Feb!K40</f>
        <v>42</v>
      </c>
      <c r="AB45" s="844">
        <v>2012</v>
      </c>
      <c r="AC45" s="134">
        <f t="shared" si="43"/>
        <v>7280.4709953185429</v>
      </c>
      <c r="AD45" s="144">
        <f t="shared" si="44"/>
        <v>42</v>
      </c>
      <c r="AE45" s="136">
        <f t="shared" si="45"/>
        <v>36</v>
      </c>
      <c r="AF45" s="904">
        <f t="shared" si="5"/>
        <v>37.9</v>
      </c>
      <c r="AG45" s="134">
        <f t="shared" ref="AG45:AG73" si="46">P45</f>
        <v>1650080</v>
      </c>
      <c r="AH45" s="136">
        <v>1</v>
      </c>
      <c r="AI45" s="136">
        <v>0</v>
      </c>
      <c r="AJ45" s="134">
        <f t="shared" si="13"/>
        <v>7605</v>
      </c>
      <c r="AK45" s="134">
        <f t="shared" si="8"/>
        <v>-324.52900468145708</v>
      </c>
      <c r="AL45" s="569"/>
      <c r="AM45" s="134"/>
      <c r="AN45" s="134"/>
      <c r="AO45" s="138"/>
      <c r="AP45" s="322">
        <f t="shared" si="12"/>
        <v>953.09868417571488</v>
      </c>
      <c r="BA45" s="124">
        <f t="shared" si="28"/>
        <v>2012</v>
      </c>
      <c r="BB45" s="134">
        <f t="shared" si="15"/>
        <v>6974</v>
      </c>
      <c r="BC45" s="102">
        <f t="shared" si="39"/>
        <v>7280.4709953185429</v>
      </c>
      <c r="BD45" s="102">
        <f>BC45-BB45</f>
        <v>306.47099531854292</v>
      </c>
      <c r="BE45" s="471">
        <f>AJ45</f>
        <v>7605</v>
      </c>
      <c r="BF45" s="464">
        <f>BB45-BE45</f>
        <v>-631</v>
      </c>
    </row>
    <row r="46" spans="1:59">
      <c r="A46" s="123">
        <v>2013</v>
      </c>
      <c r="B46" s="139">
        <v>41323</v>
      </c>
      <c r="C46" s="123">
        <v>8</v>
      </c>
      <c r="D46" s="915" t="str">
        <f t="shared" si="42"/>
        <v>Mon</v>
      </c>
      <c r="E46" s="133">
        <f>[7]MoCoinMW!$F$282</f>
        <v>8032</v>
      </c>
      <c r="F46" s="133">
        <f>[7]MoCoinMW!$G$282</f>
        <v>7200</v>
      </c>
      <c r="G46" s="164">
        <f>SUM([6]Hist!$M$402:$O$402)</f>
        <v>0</v>
      </c>
      <c r="H46" s="164">
        <f>[6]Hist!L$402</f>
        <v>0</v>
      </c>
      <c r="I46" s="164">
        <f>[6]Hist!$P$402</f>
        <v>0</v>
      </c>
      <c r="J46" s="133">
        <f t="shared" ref="J46" si="47">SUM(F46:I46)</f>
        <v>7200</v>
      </c>
      <c r="K46" s="164">
        <f>[6]Hist!$U$402</f>
        <v>915</v>
      </c>
      <c r="L46" s="1431">
        <f>[6]Hist!$V$402</f>
        <v>124</v>
      </c>
      <c r="M46" s="133">
        <f t="shared" si="38"/>
        <v>8115</v>
      </c>
      <c r="N46" s="164">
        <f>[6]Hist!$AA$402</f>
        <v>230</v>
      </c>
      <c r="O46" s="133">
        <f t="shared" si="11"/>
        <v>6846</v>
      </c>
      <c r="P46" s="134">
        <f>[8]FCST!$BD20</f>
        <v>1664507</v>
      </c>
      <c r="Q46" s="463">
        <f>[8]FCST!$DF20</f>
        <v>11076</v>
      </c>
      <c r="R46" s="560"/>
      <c r="S46" s="371">
        <f>[8]FCST!$CN20</f>
        <v>61505</v>
      </c>
      <c r="T46" s="369"/>
      <c r="U46" s="301">
        <f t="shared" si="40"/>
        <v>1659939</v>
      </c>
      <c r="V46" s="374">
        <f t="shared" si="41"/>
        <v>14388</v>
      </c>
      <c r="W46" s="134">
        <f t="shared" si="20"/>
        <v>14525</v>
      </c>
      <c r="X46" s="339">
        <f>[5]Feb!L41</f>
        <v>37.9</v>
      </c>
      <c r="Y46" s="339">
        <f>[5]Feb!J41</f>
        <v>35.1</v>
      </c>
      <c r="Z46" s="339">
        <f>[5]Feb!K41</f>
        <v>43.7</v>
      </c>
      <c r="AB46" s="844">
        <v>2013</v>
      </c>
      <c r="AC46" s="134">
        <f t="shared" ref="AC46" si="48">O46</f>
        <v>6846</v>
      </c>
      <c r="AD46" s="144">
        <f t="shared" ref="AD46" si="49">Z46</f>
        <v>43.7</v>
      </c>
      <c r="AE46" s="136">
        <f t="shared" ref="AE46" si="50">Y46</f>
        <v>35.1</v>
      </c>
      <c r="AF46" s="904">
        <f t="shared" ref="AF46" si="51">X46</f>
        <v>37.9</v>
      </c>
      <c r="AG46" s="134">
        <f t="shared" si="46"/>
        <v>1664507</v>
      </c>
      <c r="AH46" s="709">
        <v>1</v>
      </c>
      <c r="AI46" s="136">
        <v>1</v>
      </c>
      <c r="AJ46" s="134">
        <f t="shared" si="13"/>
        <v>6619</v>
      </c>
      <c r="AK46" s="134">
        <f t="shared" ref="AK46" si="52">AC46-AJ46</f>
        <v>227</v>
      </c>
      <c r="AL46" s="569"/>
      <c r="AM46" s="134"/>
      <c r="AN46" s="134"/>
      <c r="AO46" s="138"/>
      <c r="AP46" s="322">
        <f>AM46-AC45</f>
        <v>-7280.4709953185429</v>
      </c>
      <c r="BA46" s="124">
        <f t="shared" si="28"/>
        <v>2013</v>
      </c>
      <c r="BB46" s="134">
        <f t="shared" si="15"/>
        <v>5988</v>
      </c>
      <c r="BC46" s="102">
        <f t="shared" si="39"/>
        <v>6846</v>
      </c>
      <c r="BD46" s="102">
        <f>BC46-BB46</f>
        <v>858</v>
      </c>
      <c r="BE46" s="471">
        <f>AJ46</f>
        <v>6619</v>
      </c>
      <c r="BF46" s="464">
        <f>BB46-BE46</f>
        <v>-631</v>
      </c>
    </row>
    <row r="47" spans="1:59">
      <c r="A47" s="123">
        <v>2014</v>
      </c>
      <c r="L47" s="696"/>
      <c r="P47" s="134">
        <f>[8]FCST!$BD21</f>
        <v>1682451.5950996799</v>
      </c>
      <c r="Q47" s="371">
        <f t="shared" ref="Q47:Q53" si="53">R47*S47</f>
        <v>9408.9973783256592</v>
      </c>
      <c r="R47" s="560">
        <f t="shared" ref="R47:R73" si="54">$R$4</f>
        <v>0.15040000000000001</v>
      </c>
      <c r="S47" s="371">
        <f>[8]FCST!$CN21</f>
        <v>62559.822994186557</v>
      </c>
      <c r="T47" s="369">
        <f>[8]FCST!$BV21</f>
        <v>1489519.5950996799</v>
      </c>
      <c r="U47" s="618">
        <f t="shared" si="40"/>
        <v>1679550.5977213543</v>
      </c>
      <c r="V47" s="374">
        <f t="shared" si="41"/>
        <v>14460</v>
      </c>
      <c r="W47" s="134">
        <f t="shared" si="20"/>
        <v>19611.597721354337</v>
      </c>
      <c r="X47" s="123"/>
      <c r="AB47" s="123">
        <v>2014</v>
      </c>
      <c r="AD47" s="697">
        <f t="shared" ref="AD47:AD63" si="55">$Z$74</f>
        <v>47</v>
      </c>
      <c r="AE47" s="697">
        <f t="shared" ref="AE47:AE63" si="56">$Y$74</f>
        <v>38.9</v>
      </c>
      <c r="AF47" s="905">
        <f t="shared" ref="AF47:AF63" si="57">$X$74</f>
        <v>41.5</v>
      </c>
      <c r="AG47" s="134">
        <f t="shared" si="46"/>
        <v>1682451.5950996799</v>
      </c>
      <c r="AH47" s="391">
        <v>0.6</v>
      </c>
      <c r="AI47" s="391"/>
      <c r="AJ47" s="134"/>
      <c r="AK47" s="134"/>
      <c r="AL47" s="826">
        <v>25</v>
      </c>
      <c r="AM47" s="134">
        <f>ROUND($AR$23+$AR$24*$AF47+$AR$25*$AG47+$AR$26*$AH47+$AR$27*$AI47,0)-AL47</f>
        <v>7370</v>
      </c>
      <c r="AN47" s="134">
        <f>[11]Feb!$AM47</f>
        <v>8611</v>
      </c>
      <c r="AO47" s="138">
        <f t="shared" ref="AO47:AO53" si="58">AM47-AN47</f>
        <v>-1241</v>
      </c>
      <c r="AP47" s="322">
        <f t="shared" ref="AP47:AP53" si="59">AM47-AM46</f>
        <v>7370</v>
      </c>
      <c r="BA47" s="124">
        <f t="shared" si="28"/>
        <v>2014</v>
      </c>
    </row>
    <row r="48" spans="1:59">
      <c r="A48" s="123">
        <v>2015</v>
      </c>
      <c r="L48" s="696"/>
      <c r="P48" s="134">
        <f>[8]FCST!$BD22</f>
        <v>1707291.26190074</v>
      </c>
      <c r="Q48" s="371">
        <f t="shared" si="53"/>
        <v>9550.0051999745956</v>
      </c>
      <c r="R48" s="560">
        <f t="shared" si="54"/>
        <v>0.15040000000000001</v>
      </c>
      <c r="S48" s="371">
        <f>[8]FCST!$CN22</f>
        <v>63497.374999831081</v>
      </c>
      <c r="T48" s="369">
        <f>[8]FCST!$BV22</f>
        <v>1511842.26190074</v>
      </c>
      <c r="U48" s="618">
        <f t="shared" si="40"/>
        <v>1704249.2567007653</v>
      </c>
      <c r="V48" s="374">
        <f t="shared" si="41"/>
        <v>14532</v>
      </c>
      <c r="W48" s="134">
        <f t="shared" si="20"/>
        <v>24698.658979411004</v>
      </c>
      <c r="X48" s="123"/>
      <c r="AB48" s="123">
        <v>2015</v>
      </c>
      <c r="AD48" s="697">
        <f t="shared" si="55"/>
        <v>47</v>
      </c>
      <c r="AE48" s="697">
        <f t="shared" si="56"/>
        <v>38.9</v>
      </c>
      <c r="AF48" s="905">
        <f t="shared" si="57"/>
        <v>41.5</v>
      </c>
      <c r="AG48" s="134">
        <f t="shared" si="46"/>
        <v>1707291.26190074</v>
      </c>
      <c r="AH48" s="391">
        <v>0.4</v>
      </c>
      <c r="AI48" s="391"/>
      <c r="AJ48" s="134"/>
      <c r="AK48" s="134"/>
      <c r="AL48" s="826">
        <v>25</v>
      </c>
      <c r="AM48" s="134">
        <f t="shared" ref="AM48:AM73" si="60">ROUND($AR$23+$AR$24*$AF48+$AR$25*$AG48+$AR$26*$AH48+$AR$27*$AI48,0)-AL48</f>
        <v>7619</v>
      </c>
      <c r="AN48" s="134">
        <f>[11]Feb!$AM48</f>
        <v>8772</v>
      </c>
      <c r="AO48" s="138">
        <f t="shared" si="58"/>
        <v>-1153</v>
      </c>
      <c r="AP48" s="322">
        <f t="shared" si="59"/>
        <v>249</v>
      </c>
      <c r="BA48" s="124">
        <f t="shared" si="28"/>
        <v>2015</v>
      </c>
    </row>
    <row r="49" spans="1:53">
      <c r="A49" s="123">
        <v>2016</v>
      </c>
      <c r="P49" s="134">
        <f>[8]FCST!$BD23</f>
        <v>1733940.5279121001</v>
      </c>
      <c r="Q49" s="371">
        <f t="shared" si="53"/>
        <v>9701.0163011151544</v>
      </c>
      <c r="R49" s="560">
        <f t="shared" si="54"/>
        <v>0.15040000000000001</v>
      </c>
      <c r="S49" s="371">
        <f>[8]FCST!$CN23</f>
        <v>64501.438172308204</v>
      </c>
      <c r="T49" s="369">
        <f>[8]FCST!$BV23</f>
        <v>1535748.5279121001</v>
      </c>
      <c r="U49" s="618">
        <f t="shared" si="40"/>
        <v>1730747.511610985</v>
      </c>
      <c r="V49" s="374">
        <f t="shared" si="41"/>
        <v>14605</v>
      </c>
      <c r="W49" s="134">
        <f t="shared" si="20"/>
        <v>26498.254910219694</v>
      </c>
      <c r="X49" s="123"/>
      <c r="AB49" s="123">
        <v>2016</v>
      </c>
      <c r="AD49" s="697">
        <f t="shared" si="55"/>
        <v>47</v>
      </c>
      <c r="AE49" s="697">
        <f t="shared" si="56"/>
        <v>38.9</v>
      </c>
      <c r="AF49" s="905">
        <f t="shared" si="57"/>
        <v>41.5</v>
      </c>
      <c r="AG49" s="134">
        <f t="shared" si="46"/>
        <v>1733940.5279121001</v>
      </c>
      <c r="AH49" s="391">
        <v>0.2</v>
      </c>
      <c r="AI49" s="391"/>
      <c r="AJ49" s="134"/>
      <c r="AK49" s="134"/>
      <c r="AL49" s="826">
        <v>25</v>
      </c>
      <c r="AM49" s="134">
        <f t="shared" si="60"/>
        <v>7877</v>
      </c>
      <c r="AN49" s="134">
        <f>[11]Feb!$AM49</f>
        <v>8934</v>
      </c>
      <c r="AO49" s="138">
        <f t="shared" si="58"/>
        <v>-1057</v>
      </c>
      <c r="AP49" s="322">
        <f t="shared" si="59"/>
        <v>258</v>
      </c>
      <c r="BA49" s="124">
        <f t="shared" si="28"/>
        <v>2016</v>
      </c>
    </row>
    <row r="50" spans="1:53">
      <c r="A50" s="123">
        <v>2017</v>
      </c>
      <c r="P50" s="134">
        <f>[8]FCST!$BD24</f>
        <v>1760448.4855591799</v>
      </c>
      <c r="Q50" s="371">
        <f t="shared" si="53"/>
        <v>9851.450625580228</v>
      </c>
      <c r="R50" s="560">
        <f t="shared" si="54"/>
        <v>0.15040000000000001</v>
      </c>
      <c r="S50" s="371">
        <f>[8]FCST!$CN24</f>
        <v>65501.666393485561</v>
      </c>
      <c r="T50" s="369">
        <f>[8]FCST!$BV24</f>
        <v>1559563.4855591799</v>
      </c>
      <c r="U50" s="618">
        <f t="shared" si="40"/>
        <v>1757105.0349335996</v>
      </c>
      <c r="V50" s="374">
        <f t="shared" si="41"/>
        <v>14678</v>
      </c>
      <c r="W50" s="134">
        <f t="shared" si="20"/>
        <v>26357.523322614608</v>
      </c>
      <c r="X50" s="123"/>
      <c r="AB50" s="123">
        <v>2017</v>
      </c>
      <c r="AD50" s="697">
        <f t="shared" si="55"/>
        <v>47</v>
      </c>
      <c r="AE50" s="697">
        <f t="shared" si="56"/>
        <v>38.9</v>
      </c>
      <c r="AF50" s="905">
        <f t="shared" si="57"/>
        <v>41.5</v>
      </c>
      <c r="AG50" s="134">
        <f t="shared" si="46"/>
        <v>1760448.4855591799</v>
      </c>
      <c r="AH50" s="391">
        <v>0</v>
      </c>
      <c r="AI50" s="391"/>
      <c r="AJ50" s="134"/>
      <c r="AK50" s="134"/>
      <c r="AL50" s="826">
        <v>25</v>
      </c>
      <c r="AM50" s="134">
        <f t="shared" si="60"/>
        <v>8134</v>
      </c>
      <c r="AN50" s="134">
        <f>[11]Feb!$AM50</f>
        <v>9096</v>
      </c>
      <c r="AO50" s="138">
        <f t="shared" si="58"/>
        <v>-962</v>
      </c>
      <c r="AP50" s="322">
        <f t="shared" si="59"/>
        <v>257</v>
      </c>
    </row>
    <row r="51" spans="1:53">
      <c r="A51" s="123">
        <v>2018</v>
      </c>
      <c r="P51" s="134">
        <f>[8]FCST!$BD25</f>
        <v>1786420.7333551601</v>
      </c>
      <c r="Q51" s="371">
        <f t="shared" si="53"/>
        <v>9998.9052532578771</v>
      </c>
      <c r="R51" s="560">
        <f t="shared" si="54"/>
        <v>0.15040000000000001</v>
      </c>
      <c r="S51" s="371">
        <f>[8]FCST!$CN25</f>
        <v>66482.082800916731</v>
      </c>
      <c r="T51" s="369">
        <f>[8]FCST!$BV25</f>
        <v>1582906.7333551601</v>
      </c>
      <c r="U51" s="618">
        <f t="shared" si="40"/>
        <v>1782929.8281019023</v>
      </c>
      <c r="V51" s="374">
        <f t="shared" si="41"/>
        <v>14751</v>
      </c>
      <c r="W51" s="134">
        <f t="shared" si="20"/>
        <v>25824.793168302625</v>
      </c>
      <c r="X51" s="123"/>
      <c r="AB51" s="123">
        <v>2018</v>
      </c>
      <c r="AD51" s="697">
        <f t="shared" si="55"/>
        <v>47</v>
      </c>
      <c r="AE51" s="697">
        <f t="shared" si="56"/>
        <v>38.9</v>
      </c>
      <c r="AF51" s="905">
        <f t="shared" si="57"/>
        <v>41.5</v>
      </c>
      <c r="AG51" s="134">
        <f t="shared" si="46"/>
        <v>1786420.7333551601</v>
      </c>
      <c r="AH51" s="391">
        <v>0</v>
      </c>
      <c r="AI51" s="391"/>
      <c r="AJ51" s="134"/>
      <c r="AK51" s="134"/>
      <c r="AL51" s="826">
        <v>25</v>
      </c>
      <c r="AM51" s="134">
        <f t="shared" si="60"/>
        <v>8250</v>
      </c>
      <c r="AN51" s="134">
        <f>[11]Feb!$AM51</f>
        <v>9265</v>
      </c>
      <c r="AO51" s="138">
        <f t="shared" si="58"/>
        <v>-1015</v>
      </c>
      <c r="AP51" s="322">
        <f t="shared" si="59"/>
        <v>116</v>
      </c>
    </row>
    <row r="52" spans="1:53">
      <c r="A52" s="123">
        <v>2019</v>
      </c>
      <c r="P52" s="134">
        <f>[8]FCST!$BD26</f>
        <v>1810873.1184028799</v>
      </c>
      <c r="Q52" s="371">
        <f t="shared" si="53"/>
        <v>10137.864651927313</v>
      </c>
      <c r="R52" s="560">
        <f t="shared" si="54"/>
        <v>0.15040000000000001</v>
      </c>
      <c r="S52" s="371">
        <f>[8]FCST!$CN26</f>
        <v>67406.014972920966</v>
      </c>
      <c r="T52" s="369">
        <f>[8]FCST!$BV26</f>
        <v>1604905.1184028799</v>
      </c>
      <c r="U52" s="618">
        <f t="shared" si="40"/>
        <v>1807243.2537509527</v>
      </c>
      <c r="V52" s="374">
        <f t="shared" si="41"/>
        <v>14825</v>
      </c>
      <c r="W52" s="134">
        <f t="shared" si="20"/>
        <v>24313.42564905039</v>
      </c>
      <c r="X52" s="123"/>
      <c r="AB52" s="123">
        <v>2019</v>
      </c>
      <c r="AD52" s="697">
        <f t="shared" si="55"/>
        <v>47</v>
      </c>
      <c r="AE52" s="697">
        <f t="shared" si="56"/>
        <v>38.9</v>
      </c>
      <c r="AF52" s="905">
        <f t="shared" si="57"/>
        <v>41.5</v>
      </c>
      <c r="AG52" s="134">
        <f t="shared" si="46"/>
        <v>1810873.1184028799</v>
      </c>
      <c r="AH52" s="391">
        <v>0</v>
      </c>
      <c r="AI52" s="391"/>
      <c r="AJ52" s="134"/>
      <c r="AK52" s="134"/>
      <c r="AL52" s="826">
        <v>25</v>
      </c>
      <c r="AM52" s="134">
        <f t="shared" si="60"/>
        <v>8360</v>
      </c>
      <c r="AN52" s="134">
        <f>[11]Feb!$AM52</f>
        <v>9435</v>
      </c>
      <c r="AO52" s="138">
        <f t="shared" si="58"/>
        <v>-1075</v>
      </c>
      <c r="AP52" s="322">
        <f t="shared" si="59"/>
        <v>110</v>
      </c>
    </row>
    <row r="53" spans="1:53">
      <c r="A53" s="123">
        <v>2020</v>
      </c>
      <c r="P53" s="134">
        <f>[8]FCST!$BD27</f>
        <v>1834502.9282863699</v>
      </c>
      <c r="Q53" s="371">
        <f t="shared" si="53"/>
        <v>10272.341806199343</v>
      </c>
      <c r="R53" s="560">
        <f t="shared" si="54"/>
        <v>0.15040000000000001</v>
      </c>
      <c r="S53" s="371">
        <f>[8]FCST!$CN27</f>
        <v>68300.144988027547</v>
      </c>
      <c r="T53" s="369">
        <f>[8]FCST!$BV27</f>
        <v>1626193.9282863699</v>
      </c>
      <c r="U53" s="618">
        <f t="shared" si="40"/>
        <v>1830738.5864801705</v>
      </c>
      <c r="V53" s="374">
        <f t="shared" si="41"/>
        <v>14899</v>
      </c>
      <c r="W53" s="134">
        <f t="shared" si="20"/>
        <v>23495.332729217829</v>
      </c>
      <c r="X53" s="123"/>
      <c r="AB53" s="123">
        <v>2020</v>
      </c>
      <c r="AD53" s="697">
        <f t="shared" si="55"/>
        <v>47</v>
      </c>
      <c r="AE53" s="697">
        <f t="shared" si="56"/>
        <v>38.9</v>
      </c>
      <c r="AF53" s="905">
        <f t="shared" si="57"/>
        <v>41.5</v>
      </c>
      <c r="AG53" s="134">
        <f t="shared" si="46"/>
        <v>1834502.9282863699</v>
      </c>
      <c r="AH53" s="391">
        <v>0</v>
      </c>
      <c r="AI53" s="391"/>
      <c r="AJ53" s="134"/>
      <c r="AK53" s="134"/>
      <c r="AL53" s="826">
        <v>25</v>
      </c>
      <c r="AM53" s="134">
        <f t="shared" si="60"/>
        <v>8466</v>
      </c>
      <c r="AN53" s="134">
        <f>[11]Feb!$AM53</f>
        <v>9605</v>
      </c>
      <c r="AO53" s="138">
        <f t="shared" si="58"/>
        <v>-1139</v>
      </c>
      <c r="AP53" s="322">
        <f t="shared" si="59"/>
        <v>106</v>
      </c>
    </row>
    <row r="54" spans="1:53">
      <c r="A54" s="123">
        <v>2021</v>
      </c>
      <c r="P54" s="134">
        <f>[8]FCST!$BD28</f>
        <v>1857485.9100200101</v>
      </c>
      <c r="Q54" s="371">
        <f t="shared" ref="Q54:Q63" si="61">R54*S54</f>
        <v>10403.206836414402</v>
      </c>
      <c r="R54" s="560">
        <f t="shared" si="54"/>
        <v>0.15040000000000001</v>
      </c>
      <c r="S54" s="371">
        <f>[8]FCST!$CN28</f>
        <v>69170.258220840435</v>
      </c>
      <c r="T54" s="369">
        <f>[8]FCST!$BV28</f>
        <v>1646910.9100200101</v>
      </c>
      <c r="U54" s="618">
        <f t="shared" si="40"/>
        <v>1853590.7031835958</v>
      </c>
      <c r="V54" s="374">
        <f t="shared" si="41"/>
        <v>14973</v>
      </c>
      <c r="W54" s="134">
        <f t="shared" si="20"/>
        <v>22852.116703425301</v>
      </c>
      <c r="X54" s="123"/>
      <c r="AB54" s="123">
        <v>2021</v>
      </c>
      <c r="AD54" s="697">
        <f t="shared" si="55"/>
        <v>47</v>
      </c>
      <c r="AE54" s="697">
        <f t="shared" si="56"/>
        <v>38.9</v>
      </c>
      <c r="AF54" s="905">
        <f t="shared" si="57"/>
        <v>41.5</v>
      </c>
      <c r="AG54" s="134">
        <f t="shared" si="46"/>
        <v>1857485.9100200101</v>
      </c>
      <c r="AH54" s="391">
        <v>0</v>
      </c>
      <c r="AI54" s="391"/>
      <c r="AL54" s="826">
        <v>25</v>
      </c>
      <c r="AM54" s="134">
        <f t="shared" si="60"/>
        <v>8569</v>
      </c>
      <c r="AN54" s="134">
        <f>[11]Feb!$AM54</f>
        <v>9773</v>
      </c>
      <c r="AO54" s="138">
        <f t="shared" ref="AO54:AO63" si="62">AM54-AN54</f>
        <v>-1204</v>
      </c>
      <c r="AP54" s="322">
        <f t="shared" ref="AP54:AP63" si="63">AM54-AM53</f>
        <v>103</v>
      </c>
    </row>
    <row r="55" spans="1:53">
      <c r="A55" s="123">
        <v>2022</v>
      </c>
      <c r="P55" s="134">
        <f>[8]FCST!$BD29</f>
        <v>1879817.8502620801</v>
      </c>
      <c r="Q55" s="371">
        <f t="shared" si="61"/>
        <v>10530.508929335507</v>
      </c>
      <c r="R55" s="560">
        <f t="shared" si="54"/>
        <v>0.15040000000000001</v>
      </c>
      <c r="S55" s="371">
        <f>[8]FCST!$CN29</f>
        <v>70016.681711007361</v>
      </c>
      <c r="T55" s="369">
        <f>[8]FCST!$BV29</f>
        <v>1667063.8502620801</v>
      </c>
      <c r="U55" s="618">
        <f t="shared" si="40"/>
        <v>1875795.3413327446</v>
      </c>
      <c r="V55" s="374">
        <f t="shared" si="41"/>
        <v>15048</v>
      </c>
      <c r="W55" s="134">
        <f t="shared" si="20"/>
        <v>22204.638149148785</v>
      </c>
      <c r="X55" s="123"/>
      <c r="AB55" s="123">
        <v>2022</v>
      </c>
      <c r="AD55" s="697">
        <f t="shared" si="55"/>
        <v>47</v>
      </c>
      <c r="AE55" s="697">
        <f t="shared" si="56"/>
        <v>38.9</v>
      </c>
      <c r="AF55" s="905">
        <f t="shared" si="57"/>
        <v>41.5</v>
      </c>
      <c r="AG55" s="134">
        <f t="shared" si="46"/>
        <v>1879817.8502620801</v>
      </c>
      <c r="AH55" s="391">
        <v>0</v>
      </c>
      <c r="AI55" s="391"/>
      <c r="AL55" s="826">
        <v>25</v>
      </c>
      <c r="AM55" s="134">
        <f t="shared" si="60"/>
        <v>8670</v>
      </c>
      <c r="AN55" s="134">
        <f>[11]Feb!$AM55</f>
        <v>9938</v>
      </c>
      <c r="AO55" s="138">
        <f t="shared" si="62"/>
        <v>-1268</v>
      </c>
      <c r="AP55" s="322">
        <f t="shared" si="63"/>
        <v>101</v>
      </c>
    </row>
    <row r="56" spans="1:53">
      <c r="A56" s="123">
        <v>2023</v>
      </c>
      <c r="P56" s="134">
        <f>[8]FCST!$BD30</f>
        <v>1901050.32561996</v>
      </c>
      <c r="Q56" s="371">
        <f t="shared" si="61"/>
        <v>10651.617621676165</v>
      </c>
      <c r="R56" s="560">
        <f t="shared" si="54"/>
        <v>0.15040000000000001</v>
      </c>
      <c r="S56" s="371">
        <f>[8]FCST!$CN30</f>
        <v>70821.925676038329</v>
      </c>
      <c r="T56" s="369">
        <f>[8]FCST!$BV30</f>
        <v>1686236.32561996</v>
      </c>
      <c r="U56" s="618">
        <f t="shared" si="40"/>
        <v>1896906.7079982839</v>
      </c>
      <c r="V56" s="374">
        <f t="shared" si="41"/>
        <v>15123</v>
      </c>
      <c r="W56" s="134">
        <f t="shared" si="20"/>
        <v>21111.366665539332</v>
      </c>
      <c r="AB56" s="123">
        <v>2023</v>
      </c>
      <c r="AD56" s="697">
        <f t="shared" si="55"/>
        <v>47</v>
      </c>
      <c r="AE56" s="697">
        <f t="shared" si="56"/>
        <v>38.9</v>
      </c>
      <c r="AF56" s="905">
        <f t="shared" si="57"/>
        <v>41.5</v>
      </c>
      <c r="AG56" s="134">
        <f t="shared" si="46"/>
        <v>1901050.32561996</v>
      </c>
      <c r="AH56" s="391">
        <v>0</v>
      </c>
      <c r="AI56" s="391"/>
      <c r="AL56" s="826">
        <v>25</v>
      </c>
      <c r="AM56" s="134">
        <f t="shared" si="60"/>
        <v>8765</v>
      </c>
      <c r="AN56" s="134">
        <f>[11]Feb!$AM56</f>
        <v>10101</v>
      </c>
      <c r="AO56" s="138">
        <f t="shared" si="62"/>
        <v>-1336</v>
      </c>
      <c r="AP56" s="322">
        <f t="shared" si="63"/>
        <v>95</v>
      </c>
    </row>
    <row r="57" spans="1:53">
      <c r="A57" s="123">
        <v>2024</v>
      </c>
      <c r="P57" s="134">
        <f>[8]FCST!$BD31</f>
        <v>1921377.8358142499</v>
      </c>
      <c r="Q57" s="371">
        <f t="shared" si="61"/>
        <v>10767.736262071456</v>
      </c>
      <c r="R57" s="560">
        <f t="shared" si="54"/>
        <v>0.15040000000000001</v>
      </c>
      <c r="S57" s="371">
        <f>[8]FCST!$CN31</f>
        <v>71593.991104198503</v>
      </c>
      <c r="T57" s="369">
        <f>[8]FCST!$BV31</f>
        <v>1704618.8358142499</v>
      </c>
      <c r="U57" s="618">
        <f t="shared" si="40"/>
        <v>1917118.0995521785</v>
      </c>
      <c r="V57" s="374">
        <f t="shared" si="41"/>
        <v>15199</v>
      </c>
      <c r="W57" s="134">
        <f t="shared" si="20"/>
        <v>20211.391553894617</v>
      </c>
      <c r="AB57" s="123">
        <v>2024</v>
      </c>
      <c r="AD57" s="697">
        <f t="shared" si="55"/>
        <v>47</v>
      </c>
      <c r="AE57" s="697">
        <f t="shared" si="56"/>
        <v>38.9</v>
      </c>
      <c r="AF57" s="905">
        <f t="shared" si="57"/>
        <v>41.5</v>
      </c>
      <c r="AG57" s="134">
        <f t="shared" si="46"/>
        <v>1921377.8358142499</v>
      </c>
      <c r="AH57" s="391">
        <v>0</v>
      </c>
      <c r="AI57" s="391"/>
      <c r="AL57" s="826">
        <v>25</v>
      </c>
      <c r="AM57" s="134">
        <f t="shared" si="60"/>
        <v>8856</v>
      </c>
      <c r="AN57" s="134">
        <f>[11]Feb!$AM57</f>
        <v>10262</v>
      </c>
      <c r="AO57" s="138">
        <f t="shared" si="62"/>
        <v>-1406</v>
      </c>
      <c r="AP57" s="322">
        <f t="shared" si="63"/>
        <v>91</v>
      </c>
    </row>
    <row r="58" spans="1:53">
      <c r="A58" s="123">
        <v>2025</v>
      </c>
      <c r="P58" s="134">
        <f>[8]FCST!$BD32</f>
        <v>1940973.07666493</v>
      </c>
      <c r="Q58" s="371">
        <f t="shared" si="61"/>
        <v>10879.759914677032</v>
      </c>
      <c r="R58" s="560">
        <f t="shared" si="54"/>
        <v>0.15040000000000001</v>
      </c>
      <c r="S58" s="371">
        <f>[8]FCST!$CN32</f>
        <v>72338.829219927065</v>
      </c>
      <c r="T58" s="369">
        <f>[8]FCST!$BV32</f>
        <v>1722353.07666493</v>
      </c>
      <c r="U58" s="618">
        <f t="shared" si="40"/>
        <v>1936601.3167502529</v>
      </c>
      <c r="V58" s="374">
        <f t="shared" si="41"/>
        <v>15275</v>
      </c>
      <c r="W58" s="134">
        <f t="shared" si="20"/>
        <v>19483.21719807433</v>
      </c>
      <c r="Y58" s="124"/>
      <c r="Z58" s="124"/>
      <c r="AB58" s="123">
        <v>2025</v>
      </c>
      <c r="AD58" s="697">
        <f t="shared" si="55"/>
        <v>47</v>
      </c>
      <c r="AE58" s="697">
        <f t="shared" si="56"/>
        <v>38.9</v>
      </c>
      <c r="AF58" s="905">
        <f t="shared" si="57"/>
        <v>41.5</v>
      </c>
      <c r="AG58" s="134">
        <f t="shared" si="46"/>
        <v>1940973.07666493</v>
      </c>
      <c r="AH58" s="391">
        <v>0</v>
      </c>
      <c r="AI58" s="391"/>
      <c r="AL58" s="826">
        <v>25</v>
      </c>
      <c r="AM58" s="134">
        <f t="shared" si="60"/>
        <v>8944</v>
      </c>
      <c r="AN58" s="134">
        <f>[11]Feb!$AM58</f>
        <v>10422</v>
      </c>
      <c r="AO58" s="138">
        <f t="shared" si="62"/>
        <v>-1478</v>
      </c>
      <c r="AP58" s="322">
        <f t="shared" si="63"/>
        <v>88</v>
      </c>
    </row>
    <row r="59" spans="1:53">
      <c r="A59" s="123">
        <v>2026</v>
      </c>
      <c r="P59" s="134">
        <f>[8]FCST!$BD33</f>
        <v>1959584.0254720999</v>
      </c>
      <c r="Q59" s="371">
        <f t="shared" si="61"/>
        <v>10986.273472902161</v>
      </c>
      <c r="R59" s="560">
        <f t="shared" si="54"/>
        <v>0.15040000000000001</v>
      </c>
      <c r="S59" s="371">
        <f>[8]FCST!$CN33</f>
        <v>73047.031069828197</v>
      </c>
      <c r="T59" s="369">
        <f>[8]FCST!$BV33</f>
        <v>1739215.0254720999</v>
      </c>
      <c r="U59" s="618">
        <f t="shared" ref="U59:U68" si="64">P59-Q59+S$31</f>
        <v>1955105.7519991978</v>
      </c>
      <c r="V59" s="374">
        <f t="shared" si="41"/>
        <v>15351</v>
      </c>
      <c r="W59" s="134">
        <f t="shared" ref="W59:W68" si="65">U59-U58</f>
        <v>18504.435248944908</v>
      </c>
      <c r="Y59" s="124"/>
      <c r="Z59" s="124"/>
      <c r="AA59" s="304"/>
      <c r="AB59" s="123">
        <v>2026</v>
      </c>
      <c r="AD59" s="697">
        <f t="shared" si="55"/>
        <v>47</v>
      </c>
      <c r="AE59" s="697">
        <f t="shared" si="56"/>
        <v>38.9</v>
      </c>
      <c r="AF59" s="905">
        <f t="shared" si="57"/>
        <v>41.5</v>
      </c>
      <c r="AG59" s="134">
        <f t="shared" si="46"/>
        <v>1959584.0254720999</v>
      </c>
      <c r="AH59" s="391">
        <v>0</v>
      </c>
      <c r="AI59" s="391"/>
      <c r="AL59" s="826">
        <v>25</v>
      </c>
      <c r="AM59" s="134">
        <f t="shared" si="60"/>
        <v>9028</v>
      </c>
      <c r="AN59" s="134">
        <f>[11]Feb!$AM59</f>
        <v>10580</v>
      </c>
      <c r="AO59" s="138">
        <f t="shared" si="62"/>
        <v>-1552</v>
      </c>
      <c r="AP59" s="322">
        <f t="shared" si="63"/>
        <v>84</v>
      </c>
    </row>
    <row r="60" spans="1:53">
      <c r="A60" s="123">
        <v>2027</v>
      </c>
      <c r="P60" s="134">
        <f>[8]FCST!$BD34</f>
        <v>1977565.8351861699</v>
      </c>
      <c r="Q60" s="371">
        <f t="shared" si="61"/>
        <v>11089.324546103999</v>
      </c>
      <c r="R60" s="560">
        <f t="shared" si="54"/>
        <v>0.15040000000000001</v>
      </c>
      <c r="S60" s="371">
        <f>[8]FCST!$CN34</f>
        <v>73732.211077819142</v>
      </c>
      <c r="T60" s="369">
        <f>[8]FCST!$BV34</f>
        <v>1755528.8351861699</v>
      </c>
      <c r="U60" s="618">
        <f t="shared" si="64"/>
        <v>1972984.5106400659</v>
      </c>
      <c r="V60" s="374">
        <f t="shared" si="41"/>
        <v>15428</v>
      </c>
      <c r="W60" s="134">
        <f t="shared" si="65"/>
        <v>17878.758640868124</v>
      </c>
      <c r="Y60" s="124"/>
      <c r="Z60" s="124"/>
      <c r="AA60" s="304"/>
      <c r="AB60" s="123">
        <v>2027</v>
      </c>
      <c r="AD60" s="697">
        <f t="shared" si="55"/>
        <v>47</v>
      </c>
      <c r="AE60" s="697">
        <f t="shared" si="56"/>
        <v>38.9</v>
      </c>
      <c r="AF60" s="905">
        <f t="shared" si="57"/>
        <v>41.5</v>
      </c>
      <c r="AG60" s="134">
        <f t="shared" si="46"/>
        <v>1977565.8351861699</v>
      </c>
      <c r="AH60" s="391">
        <v>0</v>
      </c>
      <c r="AI60" s="391"/>
      <c r="AL60" s="826">
        <v>25</v>
      </c>
      <c r="AM60" s="134">
        <f t="shared" si="60"/>
        <v>9109</v>
      </c>
      <c r="AN60" s="134">
        <f>[11]Feb!$AM60</f>
        <v>10737</v>
      </c>
      <c r="AO60" s="138">
        <f t="shared" si="62"/>
        <v>-1628</v>
      </c>
      <c r="AP60" s="322">
        <f t="shared" si="63"/>
        <v>81</v>
      </c>
    </row>
    <row r="61" spans="1:53">
      <c r="A61" s="123">
        <v>2028</v>
      </c>
      <c r="P61" s="134">
        <f>[8]FCST!$BD35</f>
        <v>1995177.5627570699</v>
      </c>
      <c r="Q61" s="371">
        <f t="shared" si="61"/>
        <v>11190.34740762386</v>
      </c>
      <c r="R61" s="560">
        <f t="shared" si="54"/>
        <v>0.15040000000000001</v>
      </c>
      <c r="S61" s="371">
        <f>[8]FCST!$CN35</f>
        <v>74403.905635796938</v>
      </c>
      <c r="T61" s="369">
        <f>[8]FCST!$BV35</f>
        <v>1771521.5627570699</v>
      </c>
      <c r="U61" s="618">
        <f t="shared" si="64"/>
        <v>1990495.2153494461</v>
      </c>
      <c r="V61" s="374">
        <f t="shared" si="41"/>
        <v>15505</v>
      </c>
      <c r="W61" s="134">
        <f t="shared" si="65"/>
        <v>17510.704709380167</v>
      </c>
      <c r="Y61" s="124"/>
      <c r="Z61" s="124"/>
      <c r="AA61" s="304"/>
      <c r="AB61" s="123">
        <v>2028</v>
      </c>
      <c r="AD61" s="697">
        <f t="shared" si="55"/>
        <v>47</v>
      </c>
      <c r="AE61" s="697">
        <f t="shared" si="56"/>
        <v>38.9</v>
      </c>
      <c r="AF61" s="905">
        <f t="shared" si="57"/>
        <v>41.5</v>
      </c>
      <c r="AG61" s="134">
        <f t="shared" si="46"/>
        <v>1995177.5627570699</v>
      </c>
      <c r="AH61" s="391">
        <v>0</v>
      </c>
      <c r="AI61" s="391"/>
      <c r="AL61" s="826">
        <v>25</v>
      </c>
      <c r="AM61" s="134">
        <f t="shared" si="60"/>
        <v>9188</v>
      </c>
      <c r="AN61" s="134">
        <f>[11]Feb!$AM61</f>
        <v>10893</v>
      </c>
      <c r="AO61" s="138">
        <f t="shared" si="62"/>
        <v>-1705</v>
      </c>
      <c r="AP61" s="322">
        <f t="shared" si="63"/>
        <v>79</v>
      </c>
    </row>
    <row r="62" spans="1:53">
      <c r="A62" s="123">
        <v>2029</v>
      </c>
      <c r="P62" s="134">
        <f>[8]FCST!$BD36</f>
        <v>2012411.23870885</v>
      </c>
      <c r="Q62" s="371">
        <f t="shared" si="61"/>
        <v>11289.291715876065</v>
      </c>
      <c r="R62" s="560">
        <f t="shared" si="54"/>
        <v>0.15040000000000001</v>
      </c>
      <c r="S62" s="371">
        <f>[8]FCST!$CN36</f>
        <v>75061.780025771703</v>
      </c>
      <c r="T62" s="369">
        <f>[8]FCST!$BV36</f>
        <v>1787185.23870885</v>
      </c>
      <c r="U62" s="618">
        <f t="shared" si="64"/>
        <v>2007629.946992974</v>
      </c>
      <c r="V62" s="374">
        <f t="shared" si="41"/>
        <v>15583</v>
      </c>
      <c r="W62" s="134">
        <f t="shared" si="65"/>
        <v>17134.731643527979</v>
      </c>
      <c r="Y62" s="124"/>
      <c r="Z62" s="124"/>
      <c r="AA62" s="304"/>
      <c r="AB62" s="123">
        <v>2029</v>
      </c>
      <c r="AD62" s="697">
        <f t="shared" si="55"/>
        <v>47</v>
      </c>
      <c r="AE62" s="697">
        <f t="shared" si="56"/>
        <v>38.9</v>
      </c>
      <c r="AF62" s="905">
        <f t="shared" si="57"/>
        <v>41.5</v>
      </c>
      <c r="AG62" s="134">
        <f t="shared" si="46"/>
        <v>2012411.23870885</v>
      </c>
      <c r="AH62" s="391">
        <v>0</v>
      </c>
      <c r="AI62" s="391"/>
      <c r="AL62" s="826">
        <v>25</v>
      </c>
      <c r="AM62" s="134">
        <f t="shared" si="60"/>
        <v>9265</v>
      </c>
      <c r="AN62" s="134">
        <f>[11]Feb!$AM62</f>
        <v>11047</v>
      </c>
      <c r="AO62" s="138">
        <f t="shared" si="62"/>
        <v>-1782</v>
      </c>
      <c r="AP62" s="322">
        <f t="shared" si="63"/>
        <v>77</v>
      </c>
    </row>
    <row r="63" spans="1:53">
      <c r="A63" s="123">
        <v>2030</v>
      </c>
      <c r="P63" s="134">
        <f>[8]FCST!$BD37</f>
        <v>2028875.24727166</v>
      </c>
      <c r="Q63" s="371">
        <f t="shared" si="61"/>
        <v>11383.904800365624</v>
      </c>
      <c r="R63" s="560">
        <f t="shared" si="54"/>
        <v>0.15040000000000001</v>
      </c>
      <c r="S63" s="371">
        <f>[8]FCST!$CN37</f>
        <v>75690.85638540973</v>
      </c>
      <c r="T63" s="369">
        <f>[8]FCST!$BV37</f>
        <v>1802163.24727166</v>
      </c>
      <c r="U63" s="618">
        <f t="shared" si="64"/>
        <v>2023999.3424712943</v>
      </c>
      <c r="V63" s="374">
        <f t="shared" si="41"/>
        <v>15661</v>
      </c>
      <c r="W63" s="134">
        <f t="shared" si="65"/>
        <v>16369.395478320308</v>
      </c>
      <c r="AB63" s="123">
        <v>2030</v>
      </c>
      <c r="AD63" s="697">
        <f t="shared" si="55"/>
        <v>47</v>
      </c>
      <c r="AE63" s="697">
        <f t="shared" si="56"/>
        <v>38.9</v>
      </c>
      <c r="AF63" s="905">
        <f t="shared" si="57"/>
        <v>41.5</v>
      </c>
      <c r="AG63" s="134">
        <f t="shared" si="46"/>
        <v>2028875.24727166</v>
      </c>
      <c r="AH63" s="391">
        <v>0</v>
      </c>
      <c r="AL63" s="826">
        <v>25</v>
      </c>
      <c r="AM63" s="134">
        <f t="shared" si="60"/>
        <v>9339</v>
      </c>
      <c r="AN63" s="134">
        <f>[11]Feb!$AM63</f>
        <v>11200</v>
      </c>
      <c r="AO63" s="138">
        <f t="shared" si="62"/>
        <v>-1861</v>
      </c>
      <c r="AP63" s="322">
        <f t="shared" si="63"/>
        <v>74</v>
      </c>
    </row>
    <row r="64" spans="1:53">
      <c r="A64" s="123">
        <v>2031</v>
      </c>
      <c r="P64" s="134">
        <f>[8]FCST!$BD38</f>
        <v>2044655.1559640099</v>
      </c>
      <c r="Q64" s="371">
        <f t="shared" ref="Q64:Q69" si="66">R64*S64</f>
        <v>11474.733490793458</v>
      </c>
      <c r="R64" s="560">
        <f t="shared" si="54"/>
        <v>0.15040000000000001</v>
      </c>
      <c r="S64" s="371">
        <f>[8]FCST!$CN38</f>
        <v>76294.770550488422</v>
      </c>
      <c r="T64" s="369">
        <f>[8]FCST!$BV38</f>
        <v>1816542.1559640099</v>
      </c>
      <c r="U64" s="618">
        <f t="shared" si="64"/>
        <v>2039688.4224732164</v>
      </c>
      <c r="V64" s="374">
        <f t="shared" si="41"/>
        <v>15739</v>
      </c>
      <c r="W64" s="134">
        <f t="shared" si="65"/>
        <v>15689.080001922091</v>
      </c>
      <c r="AB64" s="123">
        <v>2031</v>
      </c>
      <c r="AD64" s="697">
        <f>$Z$74</f>
        <v>47</v>
      </c>
      <c r="AE64" s="697">
        <f>$Y$74</f>
        <v>38.9</v>
      </c>
      <c r="AF64" s="905">
        <f>$X$74</f>
        <v>41.5</v>
      </c>
      <c r="AG64" s="134">
        <f t="shared" si="46"/>
        <v>2044655.1559640099</v>
      </c>
      <c r="AH64" s="391">
        <v>0</v>
      </c>
      <c r="AL64" s="826">
        <v>25</v>
      </c>
      <c r="AM64" s="134">
        <f t="shared" si="60"/>
        <v>9410</v>
      </c>
      <c r="AN64" s="134"/>
      <c r="AO64" s="138"/>
      <c r="AP64" s="322">
        <f>AM64-AM63</f>
        <v>71</v>
      </c>
    </row>
    <row r="65" spans="1:42">
      <c r="A65" s="123">
        <v>2032</v>
      </c>
      <c r="P65" s="134">
        <f>[8]FCST!$BD39</f>
        <v>2060029.0444497699</v>
      </c>
      <c r="Q65" s="371">
        <f t="shared" si="66"/>
        <v>11563.325906380307</v>
      </c>
      <c r="R65" s="560">
        <f t="shared" si="54"/>
        <v>0.15040000000000001</v>
      </c>
      <c r="S65" s="371">
        <f>[8]FCST!$CN39</f>
        <v>76883.815866890334</v>
      </c>
      <c r="T65" s="369">
        <f>[8]FCST!$BV39</f>
        <v>1830567.0444497699</v>
      </c>
      <c r="U65" s="618">
        <f t="shared" si="64"/>
        <v>2054973.7185433896</v>
      </c>
      <c r="V65" s="374">
        <f t="shared" si="41"/>
        <v>15818</v>
      </c>
      <c r="W65" s="134">
        <f t="shared" si="65"/>
        <v>15285.29607017315</v>
      </c>
      <c r="AB65" s="123">
        <v>2032</v>
      </c>
      <c r="AD65" s="697">
        <f>$Z$74</f>
        <v>47</v>
      </c>
      <c r="AE65" s="697">
        <f>$Y$74</f>
        <v>38.9</v>
      </c>
      <c r="AF65" s="905">
        <f>$X$74</f>
        <v>41.5</v>
      </c>
      <c r="AG65" s="134">
        <f t="shared" si="46"/>
        <v>2060029.0444497699</v>
      </c>
      <c r="AH65" s="391">
        <v>0</v>
      </c>
      <c r="AL65" s="826">
        <v>25</v>
      </c>
      <c r="AM65" s="134">
        <f t="shared" si="60"/>
        <v>9479</v>
      </c>
      <c r="AN65" s="134"/>
      <c r="AO65" s="138"/>
      <c r="AP65" s="322">
        <f>AM65-AM64</f>
        <v>69</v>
      </c>
    </row>
    <row r="66" spans="1:42">
      <c r="A66" s="123">
        <v>2033</v>
      </c>
      <c r="P66" s="134">
        <f>[8]FCST!$BD40</f>
        <v>2075007.22417476</v>
      </c>
      <c r="Q66" s="371">
        <f t="shared" si="66"/>
        <v>11649.728232067126</v>
      </c>
      <c r="R66" s="560">
        <f t="shared" si="54"/>
        <v>0.15040000000000001</v>
      </c>
      <c r="S66" s="371">
        <f>[8]FCST!$CN40</f>
        <v>77458.299415339934</v>
      </c>
      <c r="T66" s="369">
        <f>[8]FCST!$BV40</f>
        <v>1844245.22417476</v>
      </c>
      <c r="U66" s="618">
        <f t="shared" si="64"/>
        <v>2069865.495942693</v>
      </c>
      <c r="V66" s="374">
        <f t="shared" si="41"/>
        <v>15897</v>
      </c>
      <c r="W66" s="134">
        <f t="shared" si="65"/>
        <v>14891.777399303392</v>
      </c>
      <c r="AB66" s="123">
        <v>2033</v>
      </c>
      <c r="AD66" s="697">
        <f>$Z$74</f>
        <v>47</v>
      </c>
      <c r="AE66" s="697">
        <f>$Y$74</f>
        <v>38.9</v>
      </c>
      <c r="AF66" s="905">
        <f>$X$74</f>
        <v>41.5</v>
      </c>
      <c r="AG66" s="134">
        <f t="shared" si="46"/>
        <v>2075007.22417476</v>
      </c>
      <c r="AH66" s="391">
        <v>0</v>
      </c>
      <c r="AL66" s="826">
        <v>25</v>
      </c>
      <c r="AM66" s="134">
        <f t="shared" si="60"/>
        <v>9546</v>
      </c>
      <c r="AN66" s="134"/>
      <c r="AO66" s="138"/>
      <c r="AP66" s="322">
        <f>AM66-AM65</f>
        <v>67</v>
      </c>
    </row>
    <row r="67" spans="1:42">
      <c r="A67" s="123">
        <v>2034</v>
      </c>
      <c r="P67" s="134">
        <f>[8]FCST!$BD41</f>
        <v>2089595.21297336</v>
      </c>
      <c r="Q67" s="371">
        <f t="shared" si="66"/>
        <v>11733.994273310122</v>
      </c>
      <c r="R67" s="560">
        <f t="shared" si="54"/>
        <v>0.15040000000000001</v>
      </c>
      <c r="S67" s="371">
        <f>[8]FCST!$CN41</f>
        <v>78018.578944881127</v>
      </c>
      <c r="T67" s="369">
        <f>[8]FCST!$BV41</f>
        <v>1857585.21297336</v>
      </c>
      <c r="U67" s="618">
        <f t="shared" si="64"/>
        <v>2084369.2187000499</v>
      </c>
      <c r="V67" s="374">
        <f t="shared" si="41"/>
        <v>15976</v>
      </c>
      <c r="W67" s="134">
        <f t="shared" si="65"/>
        <v>14503.72275735694</v>
      </c>
      <c r="AB67" s="123">
        <v>2034</v>
      </c>
      <c r="AD67" s="697">
        <f>$Z$74</f>
        <v>47</v>
      </c>
      <c r="AE67" s="697">
        <f>$Y$74</f>
        <v>38.9</v>
      </c>
      <c r="AF67" s="905">
        <f>$X$74</f>
        <v>41.5</v>
      </c>
      <c r="AG67" s="134">
        <f t="shared" si="46"/>
        <v>2089595.21297336</v>
      </c>
      <c r="AH67" s="391">
        <v>0</v>
      </c>
      <c r="AL67" s="826">
        <v>25</v>
      </c>
      <c r="AM67" s="134">
        <f t="shared" si="60"/>
        <v>9612</v>
      </c>
      <c r="AN67" s="134"/>
      <c r="AO67" s="138"/>
      <c r="AP67" s="322">
        <f>AM67-AM66</f>
        <v>66</v>
      </c>
    </row>
    <row r="68" spans="1:42">
      <c r="A68" s="123">
        <v>2035</v>
      </c>
      <c r="P68" s="134">
        <f>[8]FCST!$BD42</f>
        <v>2103805.34589381</v>
      </c>
      <c r="Q68" s="371">
        <f t="shared" si="66"/>
        <v>11816.176680942022</v>
      </c>
      <c r="R68" s="560">
        <f t="shared" si="54"/>
        <v>0.15040000000000001</v>
      </c>
      <c r="S68" s="371">
        <f>[8]FCST!$CN42</f>
        <v>78565.004527540033</v>
      </c>
      <c r="T68" s="369">
        <f>[8]FCST!$BV42</f>
        <v>1870595.34589381</v>
      </c>
      <c r="U68" s="618">
        <f t="shared" si="64"/>
        <v>2098497.169212868</v>
      </c>
      <c r="V68" s="374">
        <f t="shared" si="41"/>
        <v>16056</v>
      </c>
      <c r="W68" s="134">
        <f t="shared" si="65"/>
        <v>14127.950512818061</v>
      </c>
      <c r="AB68" s="123">
        <v>2035</v>
      </c>
      <c r="AD68" s="697">
        <f>$Z$74</f>
        <v>47</v>
      </c>
      <c r="AE68" s="697">
        <f>$Y$74</f>
        <v>38.9</v>
      </c>
      <c r="AF68" s="905">
        <f>$X$74</f>
        <v>41.5</v>
      </c>
      <c r="AG68" s="134">
        <f t="shared" si="46"/>
        <v>2103805.34589381</v>
      </c>
      <c r="AH68" s="391">
        <v>0</v>
      </c>
      <c r="AL68" s="826">
        <v>25</v>
      </c>
      <c r="AM68" s="134">
        <f t="shared" si="60"/>
        <v>9675</v>
      </c>
      <c r="AN68" s="134"/>
      <c r="AO68" s="138"/>
      <c r="AP68" s="322">
        <f>AM68-AM67</f>
        <v>63</v>
      </c>
    </row>
    <row r="69" spans="1:42">
      <c r="A69" s="123">
        <v>2036</v>
      </c>
      <c r="P69" s="134">
        <f>[8]FCST!$BD43</f>
        <v>2117651.3318970101</v>
      </c>
      <c r="Q69" s="371">
        <f t="shared" si="66"/>
        <v>11896.362051727034</v>
      </c>
      <c r="R69" s="560">
        <f t="shared" si="54"/>
        <v>0.15040000000000001</v>
      </c>
      <c r="S69" s="371">
        <f>[8]FCST!$CN43</f>
        <v>79098.151939674426</v>
      </c>
      <c r="T69" s="369">
        <f>[8]FCST!$BV43</f>
        <v>1883289.3318970101</v>
      </c>
      <c r="U69" s="618">
        <f t="shared" ref="U69" si="67">P69-Q69+S$31</f>
        <v>2112262.9698452828</v>
      </c>
      <c r="V69" s="374">
        <f t="shared" si="41"/>
        <v>16136</v>
      </c>
      <c r="W69" s="134">
        <f t="shared" ref="W69" si="68">U69-U68</f>
        <v>13765.800632414874</v>
      </c>
      <c r="AB69" s="123">
        <v>2036</v>
      </c>
      <c r="AD69" s="697">
        <f t="shared" ref="AD69:AD73" si="69">$Z$74</f>
        <v>47</v>
      </c>
      <c r="AE69" s="697">
        <f t="shared" ref="AE69:AE73" si="70">$Y$74</f>
        <v>38.9</v>
      </c>
      <c r="AF69" s="905">
        <f t="shared" ref="AF69:AF73" si="71">$X$74</f>
        <v>41.5</v>
      </c>
      <c r="AG69" s="134">
        <f t="shared" si="46"/>
        <v>2117651.3318970101</v>
      </c>
      <c r="AH69" s="391">
        <v>0</v>
      </c>
      <c r="AL69" s="826">
        <v>25</v>
      </c>
      <c r="AM69" s="134">
        <f t="shared" si="60"/>
        <v>9738</v>
      </c>
      <c r="AN69" s="134"/>
      <c r="AO69" s="138"/>
      <c r="AP69" s="322">
        <f t="shared" ref="AP69:AP73" si="72">AM69-AM68</f>
        <v>63</v>
      </c>
    </row>
    <row r="70" spans="1:42">
      <c r="A70" s="123">
        <v>2037</v>
      </c>
      <c r="P70" s="134">
        <f>[8]FCST!$BD44</f>
        <v>2131987.9991464997</v>
      </c>
      <c r="Q70" s="371">
        <f t="shared" ref="Q70:Q72" si="73">R70*S70</f>
        <v>11979.463770608612</v>
      </c>
      <c r="R70" s="560">
        <f t="shared" si="54"/>
        <v>0.15040000000000001</v>
      </c>
      <c r="S70" s="371">
        <f>[8]FCST!$CN44</f>
        <v>79650.689964153004</v>
      </c>
      <c r="T70" s="369">
        <f>[8]FCST!$BV44</f>
        <v>1896444.9991464999</v>
      </c>
      <c r="U70" s="618">
        <f t="shared" ref="U70:U73" si="74">P70-Q70+S$31</f>
        <v>2126516.5353758913</v>
      </c>
      <c r="V70" s="374">
        <f t="shared" si="41"/>
        <v>16217</v>
      </c>
      <c r="W70" s="134">
        <f t="shared" ref="W70:W73" si="75">U70-U69</f>
        <v>14253.565530608408</v>
      </c>
      <c r="AB70" s="123">
        <v>2037</v>
      </c>
      <c r="AD70" s="697">
        <f t="shared" si="69"/>
        <v>47</v>
      </c>
      <c r="AE70" s="697">
        <f t="shared" si="70"/>
        <v>38.9</v>
      </c>
      <c r="AF70" s="905">
        <f t="shared" si="71"/>
        <v>41.5</v>
      </c>
      <c r="AG70" s="134">
        <f t="shared" si="46"/>
        <v>2131987.9991464997</v>
      </c>
      <c r="AH70" s="391">
        <v>0</v>
      </c>
      <c r="AL70" s="826">
        <v>25</v>
      </c>
      <c r="AM70" s="134">
        <f t="shared" si="60"/>
        <v>9802</v>
      </c>
      <c r="AN70" s="134"/>
      <c r="AO70" s="138"/>
      <c r="AP70" s="322">
        <f t="shared" si="72"/>
        <v>64</v>
      </c>
    </row>
    <row r="71" spans="1:42">
      <c r="A71" s="123">
        <v>2038</v>
      </c>
      <c r="P71" s="134">
        <f>[8]FCST!$BD45</f>
        <v>2147094.6322759599</v>
      </c>
      <c r="Q71" s="371">
        <f t="shared" si="73"/>
        <v>12066.949133160786</v>
      </c>
      <c r="R71" s="560">
        <f t="shared" si="54"/>
        <v>0.15040000000000001</v>
      </c>
      <c r="S71" s="371">
        <f>[8]FCST!$CN45</f>
        <v>80232.37455559033</v>
      </c>
      <c r="T71" s="369">
        <f>[8]FCST!$BV45</f>
        <v>1910294.6322759599</v>
      </c>
      <c r="U71" s="618">
        <f t="shared" si="74"/>
        <v>2141535.683142799</v>
      </c>
      <c r="V71" s="374">
        <f t="shared" si="41"/>
        <v>16298</v>
      </c>
      <c r="W71" s="134">
        <f t="shared" si="75"/>
        <v>15019.147766907699</v>
      </c>
      <c r="AB71" s="123">
        <v>2038</v>
      </c>
      <c r="AD71" s="697">
        <f t="shared" si="69"/>
        <v>47</v>
      </c>
      <c r="AE71" s="697">
        <f t="shared" si="70"/>
        <v>38.9</v>
      </c>
      <c r="AF71" s="905">
        <f t="shared" si="71"/>
        <v>41.5</v>
      </c>
      <c r="AG71" s="134">
        <f t="shared" si="46"/>
        <v>2147094.6322759599</v>
      </c>
      <c r="AH71" s="391">
        <v>0</v>
      </c>
      <c r="AL71" s="826">
        <v>25</v>
      </c>
      <c r="AM71" s="134">
        <f t="shared" si="60"/>
        <v>9870</v>
      </c>
      <c r="AN71" s="134"/>
      <c r="AO71" s="138"/>
      <c r="AP71" s="322">
        <f t="shared" si="72"/>
        <v>68</v>
      </c>
    </row>
    <row r="72" spans="1:42">
      <c r="A72" s="123">
        <v>2039</v>
      </c>
      <c r="P72" s="134">
        <f>[8]FCST!$BD46</f>
        <v>2161930.2070367499</v>
      </c>
      <c r="Q72" s="371">
        <f t="shared" si="73"/>
        <v>12152.911778209744</v>
      </c>
      <c r="R72" s="560">
        <f t="shared" si="54"/>
        <v>0.15040000000000001</v>
      </c>
      <c r="S72" s="371">
        <f>[8]FCST!$CN46</f>
        <v>80803.934695543503</v>
      </c>
      <c r="T72" s="369">
        <f>[8]FCST!$BV46</f>
        <v>1923903.2070367499</v>
      </c>
      <c r="U72" s="618">
        <f t="shared" si="74"/>
        <v>2156285.2952585402</v>
      </c>
      <c r="V72" s="374">
        <f t="shared" si="41"/>
        <v>16379</v>
      </c>
      <c r="W72" s="134">
        <f t="shared" si="75"/>
        <v>14749.612115741242</v>
      </c>
      <c r="AB72" s="123">
        <v>2039</v>
      </c>
      <c r="AD72" s="697">
        <f t="shared" si="69"/>
        <v>47</v>
      </c>
      <c r="AE72" s="697">
        <f t="shared" si="70"/>
        <v>38.9</v>
      </c>
      <c r="AF72" s="905">
        <f t="shared" si="71"/>
        <v>41.5</v>
      </c>
      <c r="AG72" s="134">
        <f t="shared" si="46"/>
        <v>2161930.2070367499</v>
      </c>
      <c r="AH72" s="391">
        <v>0</v>
      </c>
      <c r="AL72" s="826">
        <v>25</v>
      </c>
      <c r="AM72" s="134">
        <f t="shared" si="60"/>
        <v>9936</v>
      </c>
      <c r="AN72" s="134"/>
      <c r="AO72" s="138"/>
      <c r="AP72" s="322">
        <f t="shared" si="72"/>
        <v>66</v>
      </c>
    </row>
    <row r="73" spans="1:42">
      <c r="A73" s="123">
        <v>2040</v>
      </c>
      <c r="P73" s="134">
        <f>[8]FCST!$BD47</f>
        <v>2176787.7754061697</v>
      </c>
      <c r="Q73" s="371">
        <f>R73*S73</f>
        <v>12239.127054885696</v>
      </c>
      <c r="R73" s="560">
        <f t="shared" si="54"/>
        <v>0.15040000000000001</v>
      </c>
      <c r="S73" s="371">
        <f>[8]FCST!$CN47</f>
        <v>81377.174567059148</v>
      </c>
      <c r="T73" s="369">
        <f>[8]FCST!$BV47</f>
        <v>1937551.7754061699</v>
      </c>
      <c r="U73" s="618">
        <f t="shared" si="74"/>
        <v>2171056.6483512842</v>
      </c>
      <c r="V73" s="374">
        <f t="shared" si="41"/>
        <v>16461</v>
      </c>
      <c r="W73" s="134">
        <f t="shared" si="75"/>
        <v>14771.353092744015</v>
      </c>
      <c r="AB73" s="123">
        <v>2040</v>
      </c>
      <c r="AD73" s="697">
        <f t="shared" si="69"/>
        <v>47</v>
      </c>
      <c r="AE73" s="697">
        <f t="shared" si="70"/>
        <v>38.9</v>
      </c>
      <c r="AF73" s="905">
        <f t="shared" si="71"/>
        <v>41.5</v>
      </c>
      <c r="AG73" s="134">
        <f t="shared" si="46"/>
        <v>2176787.7754061697</v>
      </c>
      <c r="AH73" s="391">
        <v>0</v>
      </c>
      <c r="AL73" s="826">
        <v>25</v>
      </c>
      <c r="AM73" s="134">
        <f t="shared" si="60"/>
        <v>10003</v>
      </c>
      <c r="AN73" s="134"/>
      <c r="AO73" s="138"/>
      <c r="AP73" s="322">
        <f t="shared" si="72"/>
        <v>67</v>
      </c>
    </row>
    <row r="74" spans="1:42">
      <c r="X74" s="672">
        <f>ROUND(AVERAGE(X14:X43),1)</f>
        <v>41.5</v>
      </c>
      <c r="Y74" s="672">
        <f>ROUND(AVERAGE(Y14:Y43),1)</f>
        <v>38.9</v>
      </c>
      <c r="Z74" s="672">
        <f>ROUND(AVERAGE(Z14:Z43),1)</f>
        <v>47</v>
      </c>
      <c r="AA74" s="572" t="s">
        <v>440</v>
      </c>
    </row>
    <row r="75" spans="1:42" ht="12.75" customHeight="1">
      <c r="AB75" s="1589"/>
      <c r="AC75" s="1590"/>
      <c r="AD75" s="688"/>
      <c r="AE75" s="688"/>
      <c r="AF75" s="688"/>
      <c r="AG75" s="690"/>
      <c r="AH75" s="103"/>
      <c r="AI75" s="701"/>
      <c r="AJ75" s="769"/>
      <c r="AK75" s="770"/>
      <c r="AL75" s="103"/>
      <c r="AM75" s="690"/>
      <c r="AN75" s="103"/>
      <c r="AO75" s="103"/>
    </row>
    <row r="76" spans="1:42" ht="12.75" customHeight="1">
      <c r="AB76" s="1589"/>
      <c r="AC76" s="1590"/>
      <c r="AD76" s="689"/>
      <c r="AE76" s="689"/>
      <c r="AF76" s="689"/>
      <c r="AG76" s="690"/>
      <c r="AH76" s="103"/>
      <c r="AI76" s="118"/>
      <c r="AJ76" s="93"/>
      <c r="AK76" s="103"/>
      <c r="AL76" s="103"/>
      <c r="AM76" s="690"/>
      <c r="AN76" s="690"/>
      <c r="AO76" s="103"/>
      <c r="AP76" s="415"/>
    </row>
    <row r="86" spans="43:52">
      <c r="AR86"/>
      <c r="AS86"/>
      <c r="AT86"/>
      <c r="AU86"/>
      <c r="AV86"/>
      <c r="AW86"/>
      <c r="AX86"/>
      <c r="AY86"/>
      <c r="AZ86"/>
    </row>
    <row r="87" spans="43:52">
      <c r="AR87"/>
      <c r="AS87"/>
      <c r="AT87"/>
      <c r="AU87"/>
      <c r="AV87"/>
      <c r="AW87"/>
      <c r="AX87"/>
      <c r="AY87"/>
      <c r="AZ87"/>
    </row>
    <row r="88" spans="43:52">
      <c r="AR88"/>
      <c r="AS88"/>
      <c r="AT88"/>
      <c r="AU88"/>
      <c r="AV88"/>
      <c r="AW88"/>
      <c r="AX88"/>
      <c r="AY88"/>
      <c r="AZ88"/>
    </row>
    <row r="89" spans="43:52">
      <c r="AR89"/>
      <c r="AS89"/>
      <c r="AT89"/>
      <c r="AU89"/>
      <c r="AV89"/>
      <c r="AW89"/>
      <c r="AX89"/>
      <c r="AY89"/>
      <c r="AZ89"/>
    </row>
    <row r="90" spans="43:52">
      <c r="AR90"/>
      <c r="AS90"/>
      <c r="AT90"/>
      <c r="AU90"/>
      <c r="AV90"/>
      <c r="AW90"/>
      <c r="AX90"/>
      <c r="AY90"/>
      <c r="AZ90"/>
    </row>
    <row r="91" spans="43:52">
      <c r="AR91"/>
      <c r="AS91"/>
      <c r="AT91"/>
      <c r="AU91"/>
      <c r="AV91"/>
      <c r="AW91"/>
      <c r="AX91"/>
      <c r="AY91"/>
      <c r="AZ91"/>
    </row>
    <row r="92" spans="43:52" ht="13.5" thickBot="1">
      <c r="AR92"/>
      <c r="AS92"/>
      <c r="AT92"/>
      <c r="AU92"/>
      <c r="AV92"/>
      <c r="AW92"/>
      <c r="AX92"/>
      <c r="AY92"/>
      <c r="AZ92"/>
    </row>
    <row r="93" spans="43:52">
      <c r="AQ93" s="920" t="s">
        <v>393</v>
      </c>
      <c r="AR93"/>
      <c r="AS93"/>
      <c r="AT93"/>
      <c r="AU93"/>
      <c r="AV93"/>
      <c r="AW93"/>
      <c r="AX93"/>
      <c r="AY93"/>
      <c r="AZ93"/>
    </row>
    <row r="94" spans="43:52">
      <c r="AQ94" s="939" t="s">
        <v>22</v>
      </c>
      <c r="AR94"/>
      <c r="AS94"/>
      <c r="AT94"/>
      <c r="AU94"/>
      <c r="AV94"/>
      <c r="AW94"/>
      <c r="AX94"/>
      <c r="AY94"/>
      <c r="AZ94"/>
    </row>
    <row r="95" spans="43:52">
      <c r="AQ95" s="940" t="s">
        <v>388</v>
      </c>
      <c r="AR95"/>
      <c r="AS95"/>
      <c r="AT95"/>
      <c r="AU95"/>
      <c r="AV95"/>
      <c r="AW95"/>
      <c r="AX95"/>
      <c r="AY95"/>
      <c r="AZ95"/>
    </row>
    <row r="96" spans="43:52">
      <c r="AQ96" s="939" t="s">
        <v>389</v>
      </c>
      <c r="AR96"/>
      <c r="AS96"/>
      <c r="AT96"/>
      <c r="AU96"/>
      <c r="AV96"/>
      <c r="AW96"/>
      <c r="AX96"/>
      <c r="AY96"/>
      <c r="AZ96"/>
    </row>
    <row r="97" spans="43:52">
      <c r="AQ97" s="974" t="s">
        <v>542</v>
      </c>
      <c r="AR97"/>
      <c r="AS97"/>
      <c r="AT97"/>
      <c r="AU97"/>
      <c r="AV97"/>
      <c r="AW97"/>
      <c r="AX97"/>
      <c r="AY97"/>
      <c r="AZ97"/>
    </row>
    <row r="98" spans="43:52" ht="13.5" thickBot="1">
      <c r="AQ98" s="1132" t="s">
        <v>543</v>
      </c>
      <c r="AR98"/>
      <c r="AS98"/>
      <c r="AT98"/>
      <c r="AU98"/>
      <c r="AV98"/>
      <c r="AW98"/>
      <c r="AX98"/>
      <c r="AY98"/>
      <c r="AZ98"/>
    </row>
    <row r="99" spans="43:52">
      <c r="AR99"/>
      <c r="AS99"/>
      <c r="AT99"/>
      <c r="AU99"/>
      <c r="AV99"/>
      <c r="AW99"/>
      <c r="AX99"/>
      <c r="AY99"/>
      <c r="AZ99"/>
    </row>
    <row r="100" spans="43:52">
      <c r="AR100"/>
      <c r="AS100"/>
      <c r="AT100"/>
      <c r="AU100"/>
      <c r="AV100"/>
      <c r="AW100"/>
      <c r="AX100"/>
      <c r="AY100"/>
      <c r="AZ100"/>
    </row>
    <row r="101" spans="43:52">
      <c r="AR101"/>
      <c r="AS101"/>
      <c r="AT101"/>
      <c r="AU101"/>
      <c r="AV101"/>
      <c r="AW101"/>
      <c r="AX101"/>
      <c r="AY101"/>
      <c r="AZ101"/>
    </row>
    <row r="102" spans="43:52">
      <c r="AR102"/>
      <c r="AS102"/>
      <c r="AT102"/>
      <c r="AU102"/>
      <c r="AV102"/>
      <c r="AW102"/>
      <c r="AX102"/>
      <c r="AY102"/>
      <c r="AZ102"/>
    </row>
    <row r="103" spans="43:52">
      <c r="AR103"/>
      <c r="AS103"/>
      <c r="AT103"/>
      <c r="AU103"/>
      <c r="AV103"/>
      <c r="AW103"/>
      <c r="AX103"/>
      <c r="AY103"/>
      <c r="AZ103"/>
    </row>
    <row r="104" spans="43:52">
      <c r="AR104"/>
      <c r="AS104"/>
      <c r="AT104"/>
      <c r="AU104"/>
      <c r="AV104"/>
      <c r="AW104"/>
      <c r="AX104"/>
      <c r="AY104"/>
      <c r="AZ104"/>
    </row>
    <row r="105" spans="43:52">
      <c r="AQ105" t="s">
        <v>19</v>
      </c>
      <c r="AR105"/>
      <c r="AS105"/>
      <c r="AT105"/>
      <c r="AU105"/>
      <c r="AV105"/>
      <c r="AW105"/>
      <c r="AX105"/>
      <c r="AY105"/>
      <c r="AZ105"/>
    </row>
    <row r="106" spans="43:52" ht="13.5" thickBot="1">
      <c r="AQ106"/>
      <c r="AR106"/>
      <c r="AS106"/>
      <c r="AT106"/>
      <c r="AU106"/>
      <c r="AV106"/>
      <c r="AW106"/>
      <c r="AX106"/>
      <c r="AY106"/>
      <c r="AZ106"/>
    </row>
    <row r="107" spans="43:52">
      <c r="AQ107" s="938" t="s">
        <v>369</v>
      </c>
      <c r="AR107" s="938"/>
      <c r="AS107"/>
      <c r="AT107"/>
      <c r="AU107"/>
      <c r="AV107"/>
      <c r="AW107"/>
      <c r="AX107"/>
      <c r="AY107"/>
      <c r="AZ107"/>
    </row>
    <row r="108" spans="43:52">
      <c r="AQ108" s="1" t="s">
        <v>370</v>
      </c>
      <c r="AR108" s="1">
        <v>0.99294634160222461</v>
      </c>
      <c r="AS108"/>
      <c r="AT108"/>
      <c r="AU108"/>
      <c r="AV108"/>
      <c r="AW108"/>
      <c r="AX108"/>
      <c r="AY108"/>
      <c r="AZ108"/>
    </row>
    <row r="109" spans="43:52">
      <c r="AQ109" s="1" t="s">
        <v>371</v>
      </c>
      <c r="AR109" s="1">
        <v>0.98594243730124176</v>
      </c>
      <c r="AS109"/>
      <c r="AT109"/>
      <c r="AU109"/>
      <c r="AV109"/>
      <c r="AW109"/>
      <c r="AX109"/>
      <c r="AY109"/>
    </row>
    <row r="110" spans="43:52">
      <c r="AQ110" s="1" t="s">
        <v>372</v>
      </c>
      <c r="AR110" s="1">
        <v>0.98359951018478198</v>
      </c>
      <c r="AS110"/>
      <c r="AT110"/>
      <c r="AU110"/>
      <c r="AV110"/>
      <c r="AW110"/>
      <c r="AX110"/>
      <c r="AY110"/>
    </row>
    <row r="111" spans="43:52">
      <c r="AQ111" s="1" t="s">
        <v>373</v>
      </c>
      <c r="AR111" s="1">
        <v>206.49156023239851</v>
      </c>
      <c r="AS111"/>
      <c r="AT111"/>
      <c r="AU111"/>
      <c r="AV111"/>
      <c r="AW111"/>
      <c r="AX111"/>
      <c r="AY111"/>
    </row>
    <row r="112" spans="43:52" ht="13.5" thickBot="1">
      <c r="AQ112" s="796" t="s">
        <v>374</v>
      </c>
      <c r="AR112" s="796">
        <v>29</v>
      </c>
      <c r="AS112"/>
      <c r="AT112"/>
      <c r="AU112"/>
      <c r="AV112"/>
      <c r="AW112"/>
      <c r="AX112"/>
      <c r="AY112"/>
    </row>
    <row r="113" spans="43:51">
      <c r="AQ113"/>
      <c r="AR113"/>
      <c r="AS113"/>
      <c r="AT113"/>
      <c r="AU113"/>
      <c r="AV113"/>
      <c r="AW113"/>
      <c r="AX113"/>
      <c r="AY113"/>
    </row>
    <row r="114" spans="43:51" ht="13.5" thickBot="1">
      <c r="AQ114" t="s">
        <v>375</v>
      </c>
      <c r="AR114"/>
      <c r="AS114"/>
      <c r="AT114"/>
      <c r="AU114"/>
      <c r="AV114"/>
      <c r="AW114"/>
      <c r="AX114"/>
      <c r="AY114"/>
    </row>
    <row r="115" spans="43:51">
      <c r="AQ115" s="937"/>
      <c r="AR115" s="937" t="s">
        <v>378</v>
      </c>
      <c r="AS115" s="937" t="s">
        <v>20</v>
      </c>
      <c r="AT115" s="937" t="s">
        <v>379</v>
      </c>
      <c r="AU115" s="937" t="s">
        <v>273</v>
      </c>
      <c r="AV115" s="937" t="s">
        <v>380</v>
      </c>
      <c r="AW115"/>
      <c r="AX115"/>
      <c r="AY115"/>
    </row>
    <row r="116" spans="43:51">
      <c r="AQ116" s="1" t="s">
        <v>376</v>
      </c>
      <c r="AR116" s="1">
        <v>4</v>
      </c>
      <c r="AS116" s="1">
        <v>71772385.999133974</v>
      </c>
      <c r="AT116" s="1">
        <v>17943096.499783494</v>
      </c>
      <c r="AU116" s="1">
        <v>420.81652065688462</v>
      </c>
      <c r="AV116" s="1">
        <v>7.6417235512572571E-22</v>
      </c>
      <c r="AW116"/>
      <c r="AX116"/>
      <c r="AY116"/>
    </row>
    <row r="117" spans="43:51">
      <c r="AQ117" s="1" t="s">
        <v>377</v>
      </c>
      <c r="AR117" s="1">
        <v>24</v>
      </c>
      <c r="AS117" s="1">
        <v>1023330.3467330463</v>
      </c>
      <c r="AT117" s="1">
        <v>42638.764447210262</v>
      </c>
      <c r="AU117" s="1"/>
      <c r="AV117" s="1"/>
      <c r="AW117"/>
      <c r="AX117"/>
      <c r="AY117"/>
    </row>
    <row r="118" spans="43:51" ht="13.5" thickBot="1">
      <c r="AQ118" s="796" t="s">
        <v>21</v>
      </c>
      <c r="AR118" s="796">
        <v>28</v>
      </c>
      <c r="AS118" s="796">
        <v>72795716.345867023</v>
      </c>
      <c r="AT118" s="796"/>
      <c r="AU118" s="796"/>
      <c r="AV118" s="796"/>
      <c r="AW118"/>
      <c r="AX118"/>
      <c r="AY118"/>
    </row>
    <row r="119" spans="43:51" ht="13.5" thickBot="1">
      <c r="AQ119"/>
      <c r="AR119"/>
      <c r="AS119"/>
      <c r="AT119"/>
      <c r="AU119"/>
      <c r="AV119"/>
      <c r="AW119"/>
      <c r="AX119"/>
      <c r="AY119"/>
    </row>
    <row r="120" spans="43:51">
      <c r="AQ120" s="937"/>
      <c r="AR120" s="937" t="s">
        <v>381</v>
      </c>
      <c r="AS120" s="937" t="s">
        <v>373</v>
      </c>
      <c r="AT120" s="937" t="s">
        <v>382</v>
      </c>
      <c r="AU120" s="937" t="s">
        <v>383</v>
      </c>
      <c r="AV120" s="937" t="s">
        <v>384</v>
      </c>
      <c r="AW120" s="937" t="s">
        <v>385</v>
      </c>
      <c r="AX120" s="937" t="s">
        <v>386</v>
      </c>
      <c r="AY120" s="937" t="s">
        <v>387</v>
      </c>
    </row>
    <row r="121" spans="43:51">
      <c r="AQ121" s="1" t="s">
        <v>22</v>
      </c>
      <c r="AR121" s="1">
        <v>5575.1399653590033</v>
      </c>
      <c r="AS121" s="1">
        <v>391.50328903211528</v>
      </c>
      <c r="AT121" s="1">
        <v>14.240340047058126</v>
      </c>
      <c r="AU121" s="1">
        <v>3.3477623575412421E-13</v>
      </c>
      <c r="AV121" s="1">
        <v>4767.1168958553744</v>
      </c>
      <c r="AW121" s="1">
        <v>6383.1630348626322</v>
      </c>
      <c r="AX121" s="1">
        <v>4767.1168958553744</v>
      </c>
      <c r="AY121" s="1">
        <v>6383.1630348626322</v>
      </c>
    </row>
    <row r="122" spans="43:51">
      <c r="AQ122" s="1" t="s">
        <v>428</v>
      </c>
      <c r="AR122" s="1">
        <v>-173.69832923173286</v>
      </c>
      <c r="AS122" s="1">
        <v>8.0227609754540552</v>
      </c>
      <c r="AT122" s="1">
        <v>-21.650692294481857</v>
      </c>
      <c r="AU122" s="1">
        <v>2.9396266217311479E-17</v>
      </c>
      <c r="AV122" s="1">
        <v>-190.25649395445257</v>
      </c>
      <c r="AW122" s="1">
        <v>-157.14016450901315</v>
      </c>
      <c r="AX122" s="1">
        <v>-190.25649395445257</v>
      </c>
      <c r="AY122" s="1">
        <v>-157.14016450901315</v>
      </c>
    </row>
    <row r="123" spans="43:51">
      <c r="AQ123" s="1" t="s">
        <v>429</v>
      </c>
      <c r="AR123" s="1">
        <v>6.0951590302055882E-3</v>
      </c>
      <c r="AS123" s="1">
        <v>1.6865274416685264E-4</v>
      </c>
      <c r="AT123" s="1">
        <v>36.140289684082965</v>
      </c>
      <c r="AU123" s="1">
        <v>1.9355401649601241E-22</v>
      </c>
      <c r="AV123" s="1">
        <v>5.7470768765184154E-3</v>
      </c>
      <c r="AW123" s="1">
        <v>6.443241183892761E-3</v>
      </c>
      <c r="AX123" s="1">
        <v>5.7470768765184154E-3</v>
      </c>
      <c r="AY123" s="1">
        <v>6.443241183892761E-3</v>
      </c>
    </row>
    <row r="124" spans="43:51">
      <c r="AQ124" s="1" t="s">
        <v>430</v>
      </c>
      <c r="AR124" s="1">
        <v>-509.86395988578869</v>
      </c>
      <c r="AS124" s="1">
        <v>96.647778901889339</v>
      </c>
      <c r="AT124" s="1">
        <v>-5.2754855380936387</v>
      </c>
      <c r="AU124" s="1">
        <v>2.0719876956145172E-5</v>
      </c>
      <c r="AV124" s="1">
        <v>-709.33517036291596</v>
      </c>
      <c r="AW124" s="1">
        <v>-310.39274940866142</v>
      </c>
      <c r="AX124" s="1">
        <v>-709.33517036291596</v>
      </c>
      <c r="AY124" s="1">
        <v>-310.39274940866142</v>
      </c>
    </row>
    <row r="125" spans="43:51" ht="13.5" thickBot="1">
      <c r="AQ125" s="796" t="s">
        <v>541</v>
      </c>
      <c r="AR125" s="796">
        <v>-929.07355023559876</v>
      </c>
      <c r="AS125" s="796">
        <v>132.03165040408999</v>
      </c>
      <c r="AT125" s="796">
        <v>-7.0367487446541723</v>
      </c>
      <c r="AU125" s="796">
        <v>2.8269550391554886E-7</v>
      </c>
      <c r="AV125" s="796">
        <v>-1201.573481704607</v>
      </c>
      <c r="AW125" s="796">
        <v>-656.57361876659047</v>
      </c>
      <c r="AX125" s="796">
        <v>-1201.573481704607</v>
      </c>
      <c r="AY125" s="796">
        <v>-656.57361876659047</v>
      </c>
    </row>
    <row r="126" spans="43:51">
      <c r="AQ126"/>
      <c r="AR126"/>
      <c r="AS126"/>
      <c r="AT126"/>
      <c r="AU126"/>
      <c r="AV126"/>
      <c r="AW126"/>
      <c r="AX126"/>
      <c r="AY126"/>
    </row>
    <row r="127" spans="43:51">
      <c r="AQ127"/>
      <c r="AR127"/>
      <c r="AS127"/>
      <c r="AT127"/>
      <c r="AU127"/>
      <c r="AV127"/>
      <c r="AW127"/>
      <c r="AX127"/>
      <c r="AY127"/>
    </row>
    <row r="128" spans="43:51">
      <c r="AQ128"/>
      <c r="AR128"/>
      <c r="AS128"/>
      <c r="AT128"/>
      <c r="AU128"/>
      <c r="AV128"/>
      <c r="AW128"/>
      <c r="AX128"/>
      <c r="AY128"/>
    </row>
  </sheetData>
  <mergeCells count="3">
    <mergeCell ref="Y5:Z5"/>
    <mergeCell ref="AB75:AC75"/>
    <mergeCell ref="AB76:AC76"/>
  </mergeCells>
  <phoneticPr fontId="52" type="noConversion"/>
  <printOptions horizontalCentered="1"/>
  <pageMargins left="0.25" right="0.25" top="0.5" bottom="0.75" header="0" footer="0.25"/>
  <pageSetup scale="59" orientation="landscape" horizontalDpi="300" verticalDpi="300" r:id="rId1"/>
  <headerFooter alignWithMargins="0">
    <oddFooter>&amp;LLoad Forecasting : &amp;D&amp;R14LGBRA-NRGPOD1-6-DOC 38
14BGBRA-STAFFROG1-19A-DOC 38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dimension ref="A2:Y76"/>
  <sheetViews>
    <sheetView zoomScale="86" zoomScaleNormal="86" workbookViewId="0">
      <selection activeCell="W37" sqref="W37"/>
    </sheetView>
  </sheetViews>
  <sheetFormatPr defaultRowHeight="12.75"/>
  <cols>
    <col min="1" max="1" width="7.85546875" customWidth="1"/>
    <col min="21" max="21" width="7.85546875" customWidth="1"/>
  </cols>
  <sheetData>
    <row r="2" spans="1:25">
      <c r="A2" s="1676" t="s">
        <v>478</v>
      </c>
      <c r="B2" s="1677"/>
      <c r="C2" s="1677"/>
      <c r="D2" s="1678"/>
      <c r="U2" s="1676" t="s">
        <v>483</v>
      </c>
      <c r="V2" s="1677"/>
      <c r="W2" s="1677"/>
      <c r="X2" s="1678"/>
    </row>
    <row r="3" spans="1:25">
      <c r="B3" s="1093" t="s">
        <v>475</v>
      </c>
      <c r="C3" s="1093" t="s">
        <v>476</v>
      </c>
      <c r="D3" s="1093" t="s">
        <v>477</v>
      </c>
      <c r="E3" s="1092" t="s">
        <v>481</v>
      </c>
      <c r="V3" s="1093" t="s">
        <v>475</v>
      </c>
      <c r="W3" s="1093" t="s">
        <v>476</v>
      </c>
      <c r="X3" s="1093" t="s">
        <v>477</v>
      </c>
      <c r="Y3" s="1092" t="s">
        <v>481</v>
      </c>
    </row>
    <row r="4" spans="1:25">
      <c r="A4" s="447" t="s">
        <v>126</v>
      </c>
      <c r="B4" s="445" t="s">
        <v>493</v>
      </c>
      <c r="C4" s="446" t="s">
        <v>474</v>
      </c>
      <c r="D4" s="446" t="s">
        <v>84</v>
      </c>
      <c r="E4" s="445" t="s">
        <v>482</v>
      </c>
      <c r="U4" s="447" t="s">
        <v>126</v>
      </c>
      <c r="V4" s="445" t="str">
        <f>B4</f>
        <v>SEP'11</v>
      </c>
      <c r="W4" s="446" t="s">
        <v>474</v>
      </c>
      <c r="X4" s="446" t="s">
        <v>84</v>
      </c>
      <c r="Y4" s="445" t="s">
        <v>482</v>
      </c>
    </row>
    <row r="5" spans="1:25">
      <c r="A5" s="722">
        <v>2011</v>
      </c>
      <c r="B5" s="381"/>
      <c r="C5" s="381">
        <f>'SEP12 vs TYSP12'!R38</f>
        <v>9577.8210590484268</v>
      </c>
      <c r="D5" s="381"/>
      <c r="U5" s="722">
        <v>2011</v>
      </c>
      <c r="V5" s="381" t="e">
        <f>'SEP12 vs TYSP12'!R97</f>
        <v>#REF!</v>
      </c>
      <c r="W5" s="381">
        <f>'SEP12 vs TYSP12'!R125</f>
        <v>8747.1878399659654</v>
      </c>
      <c r="X5" s="381" t="e">
        <f t="shared" ref="X5:X24" si="0">V5-W5</f>
        <v>#REF!</v>
      </c>
      <c r="Y5" s="381" t="e">
        <f>V5-'FALL13 vs TYSP13'!R108</f>
        <v>#REF!</v>
      </c>
    </row>
    <row r="6" spans="1:25">
      <c r="A6" s="722">
        <v>2012</v>
      </c>
      <c r="B6" s="381" t="e">
        <f>'SEP12 vs TYSP12'!R11</f>
        <v>#REF!</v>
      </c>
      <c r="C6" s="381">
        <f>'SEP12 vs TYSP12'!R39</f>
        <v>9441.6219798144557</v>
      </c>
      <c r="D6" s="381" t="e">
        <f t="shared" ref="D6:D24" si="1">B6-C6</f>
        <v>#REF!</v>
      </c>
      <c r="E6" s="381" t="e">
        <f>B6-'FALL13 vs TYSP13'!#REF!</f>
        <v>#REF!</v>
      </c>
      <c r="U6" s="722">
        <v>2012</v>
      </c>
      <c r="V6" s="381" t="e">
        <f>'SEP12 vs TYSP12'!R98</f>
        <v>#REF!</v>
      </c>
      <c r="W6" s="381">
        <f>'SEP12 vs TYSP12'!R126</f>
        <v>8921.6219798144557</v>
      </c>
      <c r="X6" s="381" t="e">
        <f t="shared" si="0"/>
        <v>#REF!</v>
      </c>
      <c r="Y6" s="381" t="e">
        <f>V6-'FALL13 vs TYSP13'!R109</f>
        <v>#REF!</v>
      </c>
    </row>
    <row r="7" spans="1:25">
      <c r="A7" s="722">
        <v>2013</v>
      </c>
      <c r="B7" s="381">
        <f>'SEP12 vs TYSP12'!R12</f>
        <v>5306.7199999999993</v>
      </c>
      <c r="C7" s="381">
        <f>'SEP12 vs TYSP12'!R40</f>
        <v>9255.6219798144557</v>
      </c>
      <c r="D7" s="381">
        <f t="shared" si="1"/>
        <v>-3948.9019798144564</v>
      </c>
      <c r="E7" s="381">
        <f>B7-'FALL13 vs TYSP13'!R32</f>
        <v>-3679.8880000000008</v>
      </c>
      <c r="U7" s="722">
        <v>2013</v>
      </c>
      <c r="V7" s="381">
        <f>'SEP12 vs TYSP12'!R99</f>
        <v>8727.85</v>
      </c>
      <c r="W7" s="381">
        <f>'SEP12 vs TYSP12'!R127</f>
        <v>8716.6219798144557</v>
      </c>
      <c r="X7" s="381">
        <f t="shared" si="0"/>
        <v>11.228020185544665</v>
      </c>
      <c r="Y7" s="381">
        <f>V7-'FALL13 vs TYSP13'!R110</f>
        <v>-236.75799999999981</v>
      </c>
    </row>
    <row r="8" spans="1:25">
      <c r="A8" s="722">
        <v>2014</v>
      </c>
      <c r="B8" s="381">
        <f>'SEP12 vs TYSP12'!R13</f>
        <v>8870.3544139750011</v>
      </c>
      <c r="C8" s="381">
        <f>'SEP12 vs TYSP12'!R41</f>
        <v>8953.6219798144557</v>
      </c>
      <c r="D8" s="381">
        <f t="shared" si="1"/>
        <v>-83.267565839454619</v>
      </c>
      <c r="E8" s="381">
        <f>B8-'FALL13 vs TYSP13'!R33</f>
        <v>-219.25358602499909</v>
      </c>
      <c r="U8" s="722">
        <v>2014</v>
      </c>
      <c r="V8" s="381">
        <f>'SEP12 vs TYSP12'!R100</f>
        <v>8811.8907469557034</v>
      </c>
      <c r="W8" s="381">
        <f>'SEP12 vs TYSP12'!R128</f>
        <v>8772.6219798144557</v>
      </c>
      <c r="X8" s="381">
        <f t="shared" si="0"/>
        <v>39.268767141247736</v>
      </c>
      <c r="Y8" s="381">
        <f>V8-'FALL13 vs TYSP13'!R111</f>
        <v>-213.71725304429674</v>
      </c>
    </row>
    <row r="9" spans="1:25">
      <c r="A9" s="722">
        <v>2015</v>
      </c>
      <c r="B9" s="381">
        <f>'SEP12 vs TYSP12'!R14</f>
        <v>9132.947738014449</v>
      </c>
      <c r="C9" s="381">
        <f>'SEP12 vs TYSP12'!R42</f>
        <v>9603.6219798144557</v>
      </c>
      <c r="D9" s="381">
        <f t="shared" si="1"/>
        <v>-470.67424180000671</v>
      </c>
      <c r="E9" s="381">
        <f>B9-'FALL13 vs TYSP13'!R34</f>
        <v>-576.66026198555119</v>
      </c>
      <c r="U9" s="722">
        <v>2015</v>
      </c>
      <c r="V9" s="381">
        <f>'SEP12 vs TYSP12'!R101</f>
        <v>9041.8019886142738</v>
      </c>
      <c r="W9" s="381">
        <f>'SEP12 vs TYSP12'!R129</f>
        <v>8963.6219798144557</v>
      </c>
      <c r="X9" s="381">
        <f t="shared" si="0"/>
        <v>78.180008799818097</v>
      </c>
      <c r="Y9" s="381">
        <f>V9-'FALL13 vs TYSP13'!R112</f>
        <v>-142.80601138572638</v>
      </c>
    </row>
    <row r="10" spans="1:25">
      <c r="A10" s="722">
        <v>2016</v>
      </c>
      <c r="B10" s="381">
        <f>'SEP12 vs TYSP12'!R15</f>
        <v>9369.8190458519275</v>
      </c>
      <c r="C10" s="381">
        <f>'SEP12 vs TYSP12'!R43</f>
        <v>9761.6219798144557</v>
      </c>
      <c r="D10" s="381">
        <f t="shared" si="1"/>
        <v>-391.80293396252819</v>
      </c>
      <c r="E10" s="381">
        <f>B10-'FALL13 vs TYSP13'!R35</f>
        <v>-471.78895414807266</v>
      </c>
      <c r="U10" s="722">
        <v>2016</v>
      </c>
      <c r="V10" s="381">
        <f>'SEP12 vs TYSP12'!R102</f>
        <v>9148.7656515232466</v>
      </c>
      <c r="W10" s="381">
        <f>'SEP12 vs TYSP12'!R130</f>
        <v>8977.6219798144557</v>
      </c>
      <c r="X10" s="381">
        <f t="shared" si="0"/>
        <v>171.14367170879086</v>
      </c>
      <c r="Y10" s="381">
        <f>V10-'FALL13 vs TYSP13'!R113</f>
        <v>-292.84234847675361</v>
      </c>
    </row>
    <row r="11" spans="1:25">
      <c r="A11" s="722">
        <v>2017</v>
      </c>
      <c r="B11" s="381">
        <f>'SEP12 vs TYSP12'!R16</f>
        <v>9298.1477882975305</v>
      </c>
      <c r="C11" s="381">
        <f>'SEP12 vs TYSP12'!R44</f>
        <v>9681.6219798144557</v>
      </c>
      <c r="D11" s="381">
        <f t="shared" si="1"/>
        <v>-383.4741915169252</v>
      </c>
      <c r="E11" s="381">
        <f>B11-'FALL13 vs TYSP13'!R36</f>
        <v>-611.8522117024695</v>
      </c>
      <c r="U11" s="722">
        <v>2017</v>
      </c>
      <c r="V11" s="381">
        <f>'SEP12 vs TYSP12'!R103</f>
        <v>9306.999387098931</v>
      </c>
      <c r="W11" s="381">
        <f>'SEP12 vs TYSP12'!R131</f>
        <v>9209.6219798144557</v>
      </c>
      <c r="X11" s="381">
        <f t="shared" si="0"/>
        <v>97.377407284475339</v>
      </c>
      <c r="Y11" s="381">
        <f>V11-'FALL13 vs TYSP13'!R114</f>
        <v>-197.00061290106896</v>
      </c>
    </row>
    <row r="12" spans="1:25">
      <c r="A12" s="722">
        <v>2018</v>
      </c>
      <c r="B12" s="381">
        <f>'SEP12 vs TYSP12'!R17</f>
        <v>9544.1389832418463</v>
      </c>
      <c r="C12" s="381">
        <f>'SEP12 vs TYSP12'!R45</f>
        <v>9828.6219798144557</v>
      </c>
      <c r="D12" s="381">
        <f t="shared" si="1"/>
        <v>-284.48299657260941</v>
      </c>
      <c r="E12" s="381">
        <f>B12-'FALL13 vs TYSP13'!R37</f>
        <v>-491.86101675815371</v>
      </c>
      <c r="U12" s="722">
        <v>2018</v>
      </c>
      <c r="V12" s="381">
        <f>'SEP12 vs TYSP12'!R104</f>
        <v>9439.1144126664185</v>
      </c>
      <c r="W12" s="381">
        <f>'SEP12 vs TYSP12'!R132</f>
        <v>9369.6219798144557</v>
      </c>
      <c r="X12" s="381">
        <f t="shared" si="0"/>
        <v>69.492432851962803</v>
      </c>
      <c r="Y12" s="381">
        <f>V12-'FALL13 vs TYSP13'!R115</f>
        <v>-234.8855873335815</v>
      </c>
    </row>
    <row r="13" spans="1:25">
      <c r="A13" s="722">
        <v>2019</v>
      </c>
      <c r="B13" s="381">
        <f>'SEP12 vs TYSP12'!R18</f>
        <v>9638.9103684389447</v>
      </c>
      <c r="C13" s="381">
        <f>'SEP12 vs TYSP12'!R46</f>
        <v>10219.621979814456</v>
      </c>
      <c r="D13" s="381">
        <f t="shared" si="1"/>
        <v>-580.71161137551098</v>
      </c>
      <c r="E13" s="381">
        <f>B13-'FALL13 vs TYSP13'!R38</f>
        <v>-549.08963156105528</v>
      </c>
      <c r="U13" s="722">
        <v>2019</v>
      </c>
      <c r="V13" s="381">
        <f>'SEP12 vs TYSP12'!R105</f>
        <v>9813.3335202888666</v>
      </c>
      <c r="W13" s="381">
        <f>'SEP12 vs TYSP12'!R133</f>
        <v>9780.6219798144557</v>
      </c>
      <c r="X13" s="381">
        <f t="shared" si="0"/>
        <v>32.711540474410867</v>
      </c>
      <c r="Y13" s="381">
        <f>V13-'FALL13 vs TYSP13'!R116</f>
        <v>-32.666479711133434</v>
      </c>
    </row>
    <row r="14" spans="1:25">
      <c r="A14" s="722">
        <v>2020</v>
      </c>
      <c r="B14" s="381">
        <f>'SEP12 vs TYSP12'!R19</f>
        <v>9971.1972068329469</v>
      </c>
      <c r="C14" s="381">
        <f>'SEP12 vs TYSP12'!R47</f>
        <v>10355.621979814456</v>
      </c>
      <c r="D14" s="381">
        <f t="shared" si="1"/>
        <v>-384.4247729815088</v>
      </c>
      <c r="E14" s="381">
        <f>B14-'FALL13 vs TYSP13'!R39</f>
        <v>-363.8027931670531</v>
      </c>
      <c r="U14" s="722">
        <v>2020</v>
      </c>
      <c r="V14" s="381">
        <f>'SEP12 vs TYSP12'!R106</f>
        <v>9934.930523467754</v>
      </c>
      <c r="W14" s="381">
        <f>'SEP12 vs TYSP12'!R134</f>
        <v>9938.6219798144557</v>
      </c>
      <c r="X14" s="381">
        <f t="shared" si="0"/>
        <v>-3.6914563467016706</v>
      </c>
      <c r="Y14" s="381">
        <f>V14-'FALL13 vs TYSP13'!R117</f>
        <v>-82.069476532245972</v>
      </c>
    </row>
    <row r="15" spans="1:25">
      <c r="A15" s="722">
        <v>2021</v>
      </c>
      <c r="B15" s="381">
        <f>'SEP12 vs TYSP12'!R20</f>
        <v>10058.989093667191</v>
      </c>
      <c r="C15" s="381">
        <f>'SEP12 vs TYSP12'!R48</f>
        <v>10497.621979814456</v>
      </c>
      <c r="D15" s="381">
        <f t="shared" si="1"/>
        <v>-438.6328861472648</v>
      </c>
      <c r="E15" s="381">
        <f>B15-'FALL13 vs TYSP13'!R40</f>
        <v>-426.0109063328091</v>
      </c>
      <c r="U15" s="722">
        <v>2021</v>
      </c>
      <c r="V15" s="381">
        <f>'SEP12 vs TYSP12'!R107</f>
        <v>9952.2027366149923</v>
      </c>
      <c r="W15" s="381">
        <f>'SEP12 vs TYSP12'!R135</f>
        <v>9849.6219798144557</v>
      </c>
      <c r="X15" s="381">
        <f t="shared" si="0"/>
        <v>102.58075680053662</v>
      </c>
      <c r="Y15" s="381">
        <f>V15-'FALL13 vs TYSP13'!R118</f>
        <v>-133.79726338500768</v>
      </c>
    </row>
    <row r="16" spans="1:25">
      <c r="A16" s="722">
        <v>2022</v>
      </c>
      <c r="B16" s="381">
        <f>'SEP12 vs TYSP12'!R21</f>
        <v>10143.759474852186</v>
      </c>
      <c r="C16" s="381">
        <f>'SEP12 vs TYSP12'!R49</f>
        <v>10491.621979814456</v>
      </c>
      <c r="D16" s="381">
        <f t="shared" si="1"/>
        <v>-347.86250496226967</v>
      </c>
      <c r="E16" s="381">
        <f>B16-'FALL13 vs TYSP13'!R41</f>
        <v>-491.24052514781397</v>
      </c>
      <c r="U16" s="722">
        <v>2022</v>
      </c>
      <c r="V16" s="381">
        <f>'SEP12 vs TYSP12'!R108</f>
        <v>10066.51461733659</v>
      </c>
      <c r="W16" s="381">
        <f>'SEP12 vs TYSP12'!R136</f>
        <v>9861.6219798144557</v>
      </c>
      <c r="X16" s="381">
        <f t="shared" si="0"/>
        <v>204.89263752213446</v>
      </c>
      <c r="Y16" s="381">
        <f>V16-'FALL13 vs TYSP13'!R119</f>
        <v>-185.48538266340984</v>
      </c>
    </row>
    <row r="17" spans="1:25">
      <c r="A17" s="722">
        <v>2023</v>
      </c>
      <c r="B17" s="381">
        <f>'SEP12 vs TYSP12'!R22</f>
        <v>10224.415987965031</v>
      </c>
      <c r="C17" s="381">
        <f>'SEP12 vs TYSP12'!R50</f>
        <v>10486.621979814456</v>
      </c>
      <c r="D17" s="381">
        <f t="shared" si="1"/>
        <v>-262.20599184942512</v>
      </c>
      <c r="E17" s="381">
        <f>B17-'FALL13 vs TYSP13'!R42</f>
        <v>-560.58401203496942</v>
      </c>
      <c r="U17" s="722">
        <v>2023</v>
      </c>
      <c r="V17" s="381">
        <f>'SEP12 vs TYSP12'!R109</f>
        <v>10172.440646265635</v>
      </c>
      <c r="W17" s="381">
        <f>'SEP12 vs TYSP12'!R137</f>
        <v>10025.621979814456</v>
      </c>
      <c r="X17" s="381">
        <f t="shared" si="0"/>
        <v>146.81866645117952</v>
      </c>
      <c r="Y17" s="381">
        <f>V17-'FALL13 vs TYSP13'!R120</f>
        <v>-244.55935373436478</v>
      </c>
    </row>
    <row r="18" spans="1:25">
      <c r="A18" s="722">
        <v>2024</v>
      </c>
      <c r="B18" s="381">
        <f>'SEP12 vs TYSP12'!R23</f>
        <v>10298.380403762232</v>
      </c>
      <c r="C18" s="381">
        <f>'SEP12 vs TYSP12'!R51</f>
        <v>10633.621979814456</v>
      </c>
      <c r="D18" s="381">
        <f t="shared" si="1"/>
        <v>-335.24157605222354</v>
      </c>
      <c r="E18" s="381">
        <f>B18-'FALL13 vs TYSP13'!R43</f>
        <v>-632.61959623776784</v>
      </c>
      <c r="U18" s="722">
        <v>2024</v>
      </c>
      <c r="V18" s="381">
        <f>'SEP12 vs TYSP12'!R110</f>
        <v>10276.686790457088</v>
      </c>
      <c r="W18" s="381">
        <f>'SEP12 vs TYSP12'!R138</f>
        <v>10187.621979814456</v>
      </c>
      <c r="X18" s="381">
        <f t="shared" si="0"/>
        <v>89.064810642632438</v>
      </c>
      <c r="Y18" s="381">
        <f>V18-'FALL13 vs TYSP13'!R121</f>
        <v>-303.31320954291186</v>
      </c>
    </row>
    <row r="19" spans="1:25">
      <c r="A19" s="722">
        <v>2025</v>
      </c>
      <c r="B19" s="381">
        <f>'SEP12 vs TYSP12'!R24</f>
        <v>10369.635309540772</v>
      </c>
      <c r="C19" s="381">
        <f>'SEP12 vs TYSP12'!R52</f>
        <v>10579.621979814456</v>
      </c>
      <c r="D19" s="381">
        <f t="shared" si="1"/>
        <v>-209.98667027368356</v>
      </c>
      <c r="E19" s="381">
        <f>B19-'FALL13 vs TYSP13'!R44</f>
        <v>-706.36469045922786</v>
      </c>
      <c r="U19" s="722">
        <v>2025</v>
      </c>
      <c r="V19" s="381">
        <f>'SEP12 vs TYSP12'!R111</f>
        <v>10374.19043759542</v>
      </c>
      <c r="W19" s="381">
        <f>'SEP12 vs TYSP12'!R139</f>
        <v>10147.621979814456</v>
      </c>
      <c r="X19" s="381">
        <f t="shared" si="0"/>
        <v>226.56845778096431</v>
      </c>
      <c r="Y19" s="381">
        <f>V19-'FALL13 vs TYSP13'!R122</f>
        <v>-367.80956240457999</v>
      </c>
    </row>
    <row r="20" spans="1:25">
      <c r="A20" s="722">
        <v>2026</v>
      </c>
      <c r="B20" s="381">
        <f>'SEP12 vs TYSP12'!R25</f>
        <v>10437.190631028181</v>
      </c>
      <c r="C20" s="381">
        <f>'SEP12 vs TYSP12'!R53</f>
        <v>10723.621979814456</v>
      </c>
      <c r="D20" s="381">
        <f t="shared" si="1"/>
        <v>-286.43134878627461</v>
      </c>
      <c r="E20" s="381">
        <f>B20-'FALL13 vs TYSP13'!R45</f>
        <v>-784.80936897181891</v>
      </c>
      <c r="U20" s="722">
        <v>2026</v>
      </c>
      <c r="V20" s="381">
        <f>'SEP12 vs TYSP12'!R112</f>
        <v>10464.298706138399</v>
      </c>
      <c r="W20" s="381">
        <f>'SEP12 vs TYSP12'!R140</f>
        <v>10307.621979814456</v>
      </c>
      <c r="X20" s="381">
        <f t="shared" si="0"/>
        <v>156.67672632394351</v>
      </c>
      <c r="Y20" s="381">
        <f>V20-'FALL13 vs TYSP13'!R123</f>
        <v>-438.70129386160079</v>
      </c>
    </row>
    <row r="21" spans="1:25">
      <c r="A21" s="722">
        <v>2027</v>
      </c>
      <c r="B21" s="381">
        <f>'SEP12 vs TYSP12'!R26</f>
        <v>10500.767170753157</v>
      </c>
      <c r="C21" s="381">
        <f>'SEP12 vs TYSP12'!R54</f>
        <v>10866.621979814456</v>
      </c>
      <c r="D21" s="381">
        <f t="shared" si="1"/>
        <v>-365.85480906129851</v>
      </c>
      <c r="E21" s="381">
        <f>B21-'FALL13 vs TYSP13'!R46</f>
        <v>-865.23282924684281</v>
      </c>
      <c r="U21" s="722">
        <v>2027</v>
      </c>
      <c r="V21" s="381">
        <f>'SEP12 vs TYSP12'!R113</f>
        <v>10554.877664652613</v>
      </c>
      <c r="W21" s="381">
        <f>'SEP12 vs TYSP12'!R141</f>
        <v>10464.621979814456</v>
      </c>
      <c r="X21" s="381">
        <f t="shared" si="0"/>
        <v>90.255684838157322</v>
      </c>
      <c r="Y21" s="381">
        <f>V21-'FALL13 vs TYSP13'!R124</f>
        <v>-507.12233534738698</v>
      </c>
    </row>
    <row r="22" spans="1:25">
      <c r="A22" s="722">
        <v>2028</v>
      </c>
      <c r="B22" s="381">
        <f>'SEP12 vs TYSP12'!R27</f>
        <v>10563.208819015334</v>
      </c>
      <c r="C22" s="381">
        <f>'SEP12 vs TYSP12'!R55</f>
        <v>11008.621979814456</v>
      </c>
      <c r="D22" s="381">
        <f t="shared" si="1"/>
        <v>-445.41316079912212</v>
      </c>
      <c r="E22" s="381">
        <f>B22-'FALL13 vs TYSP13'!R47</f>
        <v>-947.79118098466643</v>
      </c>
      <c r="U22" s="722">
        <v>2028</v>
      </c>
      <c r="V22" s="381">
        <f>'SEP12 vs TYSP12'!R114</f>
        <v>10642.786497169496</v>
      </c>
      <c r="W22" s="381">
        <f>'SEP12 vs TYSP12'!R142</f>
        <v>10620.621979814456</v>
      </c>
      <c r="X22" s="381">
        <f t="shared" si="0"/>
        <v>22.164517355040516</v>
      </c>
      <c r="Y22" s="381">
        <f>V22-'FALL13 vs TYSP13'!R125</f>
        <v>-579.21350283050378</v>
      </c>
    </row>
    <row r="23" spans="1:25">
      <c r="A23" s="722">
        <v>2029</v>
      </c>
      <c r="B23" s="381">
        <f>'SEP12 vs TYSP12'!R28</f>
        <v>10624.331791604389</v>
      </c>
      <c r="C23" s="381">
        <f>'SEP12 vs TYSP12'!R56</f>
        <v>11148.621979814456</v>
      </c>
      <c r="D23" s="381">
        <f t="shared" si="1"/>
        <v>-524.29018821006684</v>
      </c>
      <c r="E23" s="381">
        <f>B23-'FALL13 vs TYSP13'!R48</f>
        <v>-1027.6682083956111</v>
      </c>
      <c r="U23" s="722">
        <v>2029</v>
      </c>
      <c r="V23" s="381">
        <f>'SEP12 vs TYSP12'!R115</f>
        <v>10728.158434332192</v>
      </c>
      <c r="W23" s="381">
        <f>'SEP12 vs TYSP12'!R143</f>
        <v>10774.621979814456</v>
      </c>
      <c r="X23" s="381">
        <f t="shared" si="0"/>
        <v>-46.463545482263726</v>
      </c>
      <c r="Y23" s="381">
        <f>V23-'FALL13 vs TYSP13'!R126</f>
        <v>-650.84156566780803</v>
      </c>
    </row>
    <row r="24" spans="1:25">
      <c r="A24" s="722">
        <v>2030</v>
      </c>
      <c r="B24" s="381">
        <f>'SEP12 vs TYSP12'!R29</f>
        <v>10683.097104415978</v>
      </c>
      <c r="C24" s="381">
        <f>'SEP12 vs TYSP12'!R57</f>
        <v>11287.621979814456</v>
      </c>
      <c r="D24" s="381">
        <f t="shared" si="1"/>
        <v>-604.52487539847789</v>
      </c>
      <c r="E24" s="381">
        <f>B24-'FALL13 vs TYSP13'!R49</f>
        <v>-1111.9028955840222</v>
      </c>
      <c r="U24" s="722">
        <v>2030</v>
      </c>
      <c r="V24" s="381">
        <f>'SEP12 vs TYSP12'!R116</f>
        <v>10807.901214229711</v>
      </c>
      <c r="W24" s="381">
        <f>'SEP12 vs TYSP12'!R144</f>
        <v>10925.621979814456</v>
      </c>
      <c r="X24" s="381">
        <f t="shared" si="0"/>
        <v>-117.7207655847451</v>
      </c>
      <c r="Y24" s="381">
        <f>V24-'FALL13 vs TYSP13'!R127</f>
        <v>-727.0987857702894</v>
      </c>
    </row>
    <row r="29" spans="1:25">
      <c r="A29" s="1676" t="s">
        <v>479</v>
      </c>
      <c r="B29" s="1677"/>
      <c r="C29" s="1677"/>
      <c r="D29" s="1678"/>
      <c r="U29" s="1676" t="s">
        <v>484</v>
      </c>
      <c r="V29" s="1677"/>
      <c r="W29" s="1677"/>
      <c r="X29" s="1678"/>
    </row>
    <row r="30" spans="1:25">
      <c r="B30" s="1093" t="s">
        <v>475</v>
      </c>
      <c r="C30" s="1093" t="s">
        <v>476</v>
      </c>
      <c r="D30" s="1093" t="s">
        <v>477</v>
      </c>
      <c r="E30" s="1092" t="s">
        <v>481</v>
      </c>
      <c r="V30" s="1093" t="s">
        <v>475</v>
      </c>
      <c r="W30" s="1093" t="s">
        <v>476</v>
      </c>
      <c r="X30" s="1093" t="s">
        <v>477</v>
      </c>
      <c r="Y30" s="1092" t="s">
        <v>481</v>
      </c>
    </row>
    <row r="31" spans="1:25">
      <c r="A31" s="447" t="s">
        <v>126</v>
      </c>
      <c r="B31" s="445" t="str">
        <f>B4</f>
        <v>SEP'11</v>
      </c>
      <c r="C31" s="446" t="s">
        <v>474</v>
      </c>
      <c r="D31" s="446" t="s">
        <v>84</v>
      </c>
      <c r="E31" s="445" t="s">
        <v>482</v>
      </c>
      <c r="U31" s="447" t="s">
        <v>126</v>
      </c>
      <c r="V31" s="445" t="str">
        <f>V4</f>
        <v>SEP'11</v>
      </c>
      <c r="W31" s="446" t="s">
        <v>474</v>
      </c>
      <c r="X31" s="446" t="s">
        <v>84</v>
      </c>
      <c r="Y31" s="445" t="s">
        <v>482</v>
      </c>
    </row>
    <row r="32" spans="1:25">
      <c r="A32" s="722">
        <v>2011</v>
      </c>
      <c r="B32" s="381"/>
      <c r="C32" s="381"/>
      <c r="D32" s="381"/>
      <c r="U32" s="722">
        <v>2011</v>
      </c>
      <c r="V32" s="381" t="e">
        <f>'FALL13 vs TYSP13'!#REF!</f>
        <v>#REF!</v>
      </c>
      <c r="W32" s="381">
        <f>'SEP12 vs TYSP12'!$L125</f>
        <v>948.17455808725867</v>
      </c>
      <c r="X32" s="381" t="e">
        <f t="shared" ref="X32:X51" si="2">V32-W32</f>
        <v>#REF!</v>
      </c>
      <c r="Y32" s="381" t="e">
        <f>V32-'FALL13 vs TYSP13'!L108</f>
        <v>#REF!</v>
      </c>
    </row>
    <row r="33" spans="1:25">
      <c r="A33" s="722">
        <f>A32+1</f>
        <v>2012</v>
      </c>
      <c r="B33" s="381" t="e">
        <f>'FALL13 vs TYSP13'!#REF!</f>
        <v>#REF!</v>
      </c>
      <c r="C33" s="381" t="e">
        <f>'FALL13 vs TYSP13'!#REF!</f>
        <v>#REF!</v>
      </c>
      <c r="D33" s="381" t="e">
        <f t="shared" ref="D33:D51" si="3">B33-C33</f>
        <v>#REF!</v>
      </c>
      <c r="E33" s="381" t="e">
        <f>B33-'FALL13 vs TYSP13'!#REF!</f>
        <v>#REF!</v>
      </c>
      <c r="U33" s="722">
        <f>U32+1</f>
        <v>2012</v>
      </c>
      <c r="V33" s="381" t="e">
        <f>'FALL13 vs TYSP13'!#REF!</f>
        <v>#REF!</v>
      </c>
      <c r="W33" s="381">
        <f>'SEP12 vs TYSP12'!$L126</f>
        <v>1092.6219798144562</v>
      </c>
      <c r="X33" s="381" t="e">
        <f t="shared" si="2"/>
        <v>#REF!</v>
      </c>
      <c r="Y33" s="381" t="e">
        <f>V33-'FALL13 vs TYSP13'!L109</f>
        <v>#REF!</v>
      </c>
    </row>
    <row r="34" spans="1:25">
      <c r="A34" s="722">
        <f t="shared" ref="A34:A51" si="4">A33+1</f>
        <v>2013</v>
      </c>
      <c r="B34" s="381">
        <f>'FALL13 vs TYSP13'!$L8</f>
        <v>896.73</v>
      </c>
      <c r="C34" s="381" t="e">
        <f>'FALL13 vs TYSP13'!#REF!</f>
        <v>#REF!</v>
      </c>
      <c r="D34" s="381" t="e">
        <f t="shared" si="3"/>
        <v>#REF!</v>
      </c>
      <c r="E34" s="381">
        <f>B34-'FALL13 vs TYSP13'!L32</f>
        <v>-11.877999999999929</v>
      </c>
      <c r="U34" s="722">
        <f t="shared" ref="U34:U51" si="5">U33+1</f>
        <v>2013</v>
      </c>
      <c r="V34" s="381">
        <f>'FALL13 vs TYSP13'!$L83</f>
        <v>944.8599999999999</v>
      </c>
      <c r="W34" s="381">
        <f>'SEP12 vs TYSP12'!$L127</f>
        <v>803.62197981445615</v>
      </c>
      <c r="X34" s="381">
        <f t="shared" si="2"/>
        <v>141.23802018554375</v>
      </c>
      <c r="Y34" s="381">
        <f>V34-'FALL13 vs TYSP13'!L110</f>
        <v>8.2519999999999527</v>
      </c>
    </row>
    <row r="35" spans="1:25">
      <c r="A35" s="722">
        <f t="shared" si="4"/>
        <v>2014</v>
      </c>
      <c r="B35" s="381">
        <f>'FALL13 vs TYSP13'!$L9</f>
        <v>894.93000000000006</v>
      </c>
      <c r="C35" s="381">
        <f>'FALL13 vs TYSP13'!L32</f>
        <v>908.60799999999995</v>
      </c>
      <c r="D35" s="381">
        <f t="shared" si="3"/>
        <v>-13.677999999999884</v>
      </c>
      <c r="E35" s="381">
        <f>B35-'FALL13 vs TYSP13'!L33</f>
        <v>-46.677999999999884</v>
      </c>
      <c r="U35" s="722">
        <f t="shared" si="5"/>
        <v>2014</v>
      </c>
      <c r="V35" s="381">
        <f>'FALL13 vs TYSP13'!$L84</f>
        <v>803.9799999999999</v>
      </c>
      <c r="W35" s="381">
        <f>'SEP12 vs TYSP12'!$L128</f>
        <v>704.62197981445615</v>
      </c>
      <c r="X35" s="381">
        <f t="shared" si="2"/>
        <v>99.358020185543751</v>
      </c>
      <c r="Y35" s="381">
        <f>V35-'FALL13 vs TYSP13'!L111</f>
        <v>-66.628000000000043</v>
      </c>
    </row>
    <row r="36" spans="1:25">
      <c r="A36" s="722">
        <f t="shared" si="4"/>
        <v>2015</v>
      </c>
      <c r="B36" s="381">
        <f>'FALL13 vs TYSP13'!$L10</f>
        <v>1376.05</v>
      </c>
      <c r="C36" s="381">
        <f>'FALL13 vs TYSP13'!L33</f>
        <v>941.60799999999995</v>
      </c>
      <c r="D36" s="381">
        <f t="shared" si="3"/>
        <v>434.44200000000001</v>
      </c>
      <c r="E36" s="381">
        <f>B36-'FALL13 vs TYSP13'!L34</f>
        <v>-68.557999999999993</v>
      </c>
      <c r="U36" s="722">
        <f t="shared" si="5"/>
        <v>2015</v>
      </c>
      <c r="V36" s="381">
        <f>'FALL13 vs TYSP13'!$L85</f>
        <v>806.06</v>
      </c>
      <c r="W36" s="381">
        <f>'SEP12 vs TYSP12'!$L129</f>
        <v>704.62197981445615</v>
      </c>
      <c r="X36" s="381">
        <f t="shared" si="2"/>
        <v>101.43802018554379</v>
      </c>
      <c r="Y36" s="381">
        <f>V36-'FALL13 vs TYSP13'!L112</f>
        <v>-66.548000000000002</v>
      </c>
    </row>
    <row r="37" spans="1:25">
      <c r="A37" s="722">
        <f t="shared" si="4"/>
        <v>2016</v>
      </c>
      <c r="B37" s="381">
        <f>'FALL13 vs TYSP13'!$L11</f>
        <v>1378.27</v>
      </c>
      <c r="C37" s="381">
        <f>'FALL13 vs TYSP13'!L34</f>
        <v>1444.6079999999999</v>
      </c>
      <c r="D37" s="381">
        <f t="shared" si="3"/>
        <v>-66.337999999999965</v>
      </c>
      <c r="E37" s="381">
        <f>B37-'FALL13 vs TYSP13'!L35</f>
        <v>-68.337999999999965</v>
      </c>
      <c r="U37" s="722">
        <f t="shared" si="5"/>
        <v>2016</v>
      </c>
      <c r="V37" s="381">
        <f>'FALL13 vs TYSP13'!$L86</f>
        <v>658.23</v>
      </c>
      <c r="W37" s="381">
        <f>'SEP12 vs TYSP12'!$L130</f>
        <v>554.62197981445615</v>
      </c>
      <c r="X37" s="381">
        <f t="shared" si="2"/>
        <v>103.60802018554386</v>
      </c>
      <c r="Y37" s="381">
        <f>V37-'FALL13 vs TYSP13'!L113</f>
        <v>-318.37799999999993</v>
      </c>
    </row>
    <row r="38" spans="1:25">
      <c r="A38" s="722">
        <f t="shared" si="4"/>
        <v>2017</v>
      </c>
      <c r="B38" s="381">
        <f>'FALL13 vs TYSP13'!$L12</f>
        <v>1087.6600000000001</v>
      </c>
      <c r="C38" s="381">
        <f>'FALL13 vs TYSP13'!L35</f>
        <v>1446.6079999999999</v>
      </c>
      <c r="D38" s="381">
        <f t="shared" si="3"/>
        <v>-358.94799999999987</v>
      </c>
      <c r="E38" s="381">
        <f>B38-'FALL13 vs TYSP13'!L36</f>
        <v>-306.33999999999992</v>
      </c>
      <c r="U38" s="722">
        <f t="shared" si="5"/>
        <v>2017</v>
      </c>
      <c r="V38" s="381">
        <f>'FALL13 vs TYSP13'!$L87</f>
        <v>587.17999999999995</v>
      </c>
      <c r="W38" s="381">
        <f>'SEP12 vs TYSP12'!$L131</f>
        <v>655.62197981445615</v>
      </c>
      <c r="X38" s="381">
        <f t="shared" si="2"/>
        <v>-68.441979814456204</v>
      </c>
      <c r="Y38" s="381">
        <f>V38-'FALL13 vs TYSP13'!L114</f>
        <v>-306.82000000000005</v>
      </c>
    </row>
    <row r="39" spans="1:25">
      <c r="A39" s="722">
        <f t="shared" si="4"/>
        <v>2018</v>
      </c>
      <c r="B39" s="381">
        <f>'FALL13 vs TYSP13'!$L13</f>
        <v>1087.8499999999999</v>
      </c>
      <c r="C39" s="381">
        <f>'FALL13 vs TYSP13'!L36</f>
        <v>1394</v>
      </c>
      <c r="D39" s="381">
        <f t="shared" si="3"/>
        <v>-306.15000000000009</v>
      </c>
      <c r="E39" s="381">
        <f>B39-'FALL13 vs TYSP13'!L37</f>
        <v>-306.15000000000009</v>
      </c>
      <c r="U39" s="722">
        <f t="shared" si="5"/>
        <v>2018</v>
      </c>
      <c r="V39" s="381">
        <f>'FALL13 vs TYSP13'!$L88</f>
        <v>587.21999999999991</v>
      </c>
      <c r="W39" s="381">
        <f>'SEP12 vs TYSP12'!$L132</f>
        <v>655.62197981445615</v>
      </c>
      <c r="X39" s="381">
        <f t="shared" si="2"/>
        <v>-68.40197981445624</v>
      </c>
      <c r="Y39" s="381">
        <f>V39-'FALL13 vs TYSP13'!L115</f>
        <v>-306.78000000000009</v>
      </c>
    </row>
    <row r="40" spans="1:25">
      <c r="A40" s="722">
        <f t="shared" si="4"/>
        <v>2019</v>
      </c>
      <c r="B40" s="381">
        <f>'FALL13 vs TYSP13'!$L14</f>
        <v>1088.05</v>
      </c>
      <c r="C40" s="381">
        <f>'FALL13 vs TYSP13'!L37</f>
        <v>1394</v>
      </c>
      <c r="D40" s="381">
        <f t="shared" si="3"/>
        <v>-305.95000000000005</v>
      </c>
      <c r="E40" s="381">
        <f>B40-'FALL13 vs TYSP13'!L38</f>
        <v>-305.95000000000005</v>
      </c>
      <c r="U40" s="722">
        <f t="shared" si="5"/>
        <v>2019</v>
      </c>
      <c r="V40" s="381">
        <f>'FALL13 vs TYSP13'!$L89</f>
        <v>837.27</v>
      </c>
      <c r="W40" s="381">
        <f>'SEP12 vs TYSP12'!$L133</f>
        <v>905.62197981445615</v>
      </c>
      <c r="X40" s="381">
        <f t="shared" si="2"/>
        <v>-68.351979814456172</v>
      </c>
      <c r="Y40" s="381">
        <f>V40-'FALL13 vs TYSP13'!L116</f>
        <v>-56.730000000000018</v>
      </c>
    </row>
    <row r="41" spans="1:25">
      <c r="A41" s="722">
        <f t="shared" si="4"/>
        <v>2020</v>
      </c>
      <c r="B41" s="381">
        <f>'FALL13 vs TYSP13'!$L15</f>
        <v>1338.24</v>
      </c>
      <c r="C41" s="381">
        <f>'FALL13 vs TYSP13'!L38</f>
        <v>1394</v>
      </c>
      <c r="D41" s="381">
        <f t="shared" si="3"/>
        <v>-55.759999999999991</v>
      </c>
      <c r="E41" s="381">
        <f>B41-'FALL13 vs TYSP13'!L39</f>
        <v>-55.759999999999991</v>
      </c>
      <c r="U41" s="722">
        <f t="shared" si="5"/>
        <v>2020</v>
      </c>
      <c r="V41" s="381">
        <f>'FALL13 vs TYSP13'!$L90</f>
        <v>837.41</v>
      </c>
      <c r="W41" s="381">
        <f>'SEP12 vs TYSP12'!$L134</f>
        <v>905.62197981445615</v>
      </c>
      <c r="X41" s="381">
        <f t="shared" si="2"/>
        <v>-68.211979814456186</v>
      </c>
      <c r="Y41" s="381">
        <f>V41-'FALL13 vs TYSP13'!L117</f>
        <v>-56.590000000000032</v>
      </c>
    </row>
    <row r="42" spans="1:25">
      <c r="A42" s="722">
        <f t="shared" si="4"/>
        <v>2021</v>
      </c>
      <c r="B42" s="381">
        <f>'FALL13 vs TYSP13'!$L16</f>
        <v>1338.34</v>
      </c>
      <c r="C42" s="381">
        <f>'FALL13 vs TYSP13'!L39</f>
        <v>1394</v>
      </c>
      <c r="D42" s="381">
        <f t="shared" si="3"/>
        <v>-55.660000000000082</v>
      </c>
      <c r="E42" s="381">
        <f>B42-'FALL13 vs TYSP13'!L40</f>
        <v>-55.660000000000082</v>
      </c>
      <c r="U42" s="722">
        <f t="shared" si="5"/>
        <v>2021</v>
      </c>
      <c r="V42" s="381">
        <f>'FALL13 vs TYSP13'!$L91</f>
        <v>737.44999999999993</v>
      </c>
      <c r="W42" s="381">
        <f>'SEP12 vs TYSP12'!$L135</f>
        <v>655.62197981445615</v>
      </c>
      <c r="X42" s="381">
        <f t="shared" si="2"/>
        <v>81.828020185543778</v>
      </c>
      <c r="Y42" s="381">
        <f>V42-'FALL13 vs TYSP13'!L118</f>
        <v>-56.550000000000068</v>
      </c>
    </row>
    <row r="43" spans="1:25">
      <c r="A43" s="722">
        <f t="shared" si="4"/>
        <v>2022</v>
      </c>
      <c r="B43" s="381">
        <f>'FALL13 vs TYSP13'!$L17</f>
        <v>1338.53</v>
      </c>
      <c r="C43" s="381">
        <f>'FALL13 vs TYSP13'!L40</f>
        <v>1394</v>
      </c>
      <c r="D43" s="381">
        <f t="shared" si="3"/>
        <v>-55.470000000000027</v>
      </c>
      <c r="E43" s="381">
        <f>B43-'FALL13 vs TYSP13'!L41</f>
        <v>-55.470000000000027</v>
      </c>
      <c r="U43" s="722">
        <f t="shared" si="5"/>
        <v>2022</v>
      </c>
      <c r="V43" s="381">
        <f>'FALL13 vs TYSP13'!$L92</f>
        <v>737.58999999999992</v>
      </c>
      <c r="W43" s="381">
        <f>'SEP12 vs TYSP12'!$L136</f>
        <v>505.6219798144561</v>
      </c>
      <c r="X43" s="381">
        <f t="shared" si="2"/>
        <v>231.96802018554382</v>
      </c>
      <c r="Y43" s="381">
        <f>V43-'FALL13 vs TYSP13'!L119</f>
        <v>-56.410000000000082</v>
      </c>
    </row>
    <row r="44" spans="1:25">
      <c r="A44" s="722">
        <f t="shared" si="4"/>
        <v>2023</v>
      </c>
      <c r="B44" s="381">
        <f>'FALL13 vs TYSP13'!$L18</f>
        <v>1338.72</v>
      </c>
      <c r="C44" s="381">
        <f>'FALL13 vs TYSP13'!L41</f>
        <v>1394</v>
      </c>
      <c r="D44" s="381">
        <f t="shared" si="3"/>
        <v>-55.279999999999973</v>
      </c>
      <c r="E44" s="381">
        <f>B44-'FALL13 vs TYSP13'!L42</f>
        <v>-55.279999999999973</v>
      </c>
      <c r="U44" s="722">
        <f t="shared" si="5"/>
        <v>2023</v>
      </c>
      <c r="V44" s="381">
        <f>'FALL13 vs TYSP13'!$L93</f>
        <v>737.7299999999999</v>
      </c>
      <c r="W44" s="381">
        <f>'SEP12 vs TYSP12'!$L137</f>
        <v>505.6219798144561</v>
      </c>
      <c r="X44" s="381">
        <f t="shared" si="2"/>
        <v>232.10802018554381</v>
      </c>
      <c r="Y44" s="381">
        <f>V44-'FALL13 vs TYSP13'!L120</f>
        <v>-56.270000000000095</v>
      </c>
    </row>
    <row r="45" spans="1:25">
      <c r="A45" s="722">
        <f t="shared" si="4"/>
        <v>2024</v>
      </c>
      <c r="B45" s="381">
        <f>'FALL13 vs TYSP13'!$L19</f>
        <v>1338.82</v>
      </c>
      <c r="C45" s="381">
        <f>'FALL13 vs TYSP13'!L42</f>
        <v>1394</v>
      </c>
      <c r="D45" s="381">
        <f t="shared" si="3"/>
        <v>-55.180000000000064</v>
      </c>
      <c r="E45" s="381">
        <f>B45-'FALL13 vs TYSP13'!L43</f>
        <v>-55.180000000000064</v>
      </c>
      <c r="U45" s="722">
        <f t="shared" si="5"/>
        <v>2024</v>
      </c>
      <c r="V45" s="381">
        <f>'FALL13 vs TYSP13'!$L94</f>
        <v>737.8599999999999</v>
      </c>
      <c r="W45" s="381">
        <f>'SEP12 vs TYSP12'!$L138</f>
        <v>505.6219798144561</v>
      </c>
      <c r="X45" s="381">
        <f t="shared" si="2"/>
        <v>232.2380201855438</v>
      </c>
      <c r="Y45" s="381">
        <f>V45-'FALL13 vs TYSP13'!L121</f>
        <v>-56.1400000000001</v>
      </c>
    </row>
    <row r="46" spans="1:25">
      <c r="A46" s="722">
        <f t="shared" si="4"/>
        <v>2025</v>
      </c>
      <c r="B46" s="381">
        <f>'FALL13 vs TYSP13'!$L20</f>
        <v>1339</v>
      </c>
      <c r="C46" s="381">
        <f>'FALL13 vs TYSP13'!L43</f>
        <v>1394</v>
      </c>
      <c r="D46" s="381">
        <f t="shared" si="3"/>
        <v>-55</v>
      </c>
      <c r="E46" s="381">
        <f>B46-'FALL13 vs TYSP13'!L44</f>
        <v>-55</v>
      </c>
      <c r="U46" s="722">
        <f t="shared" si="5"/>
        <v>2025</v>
      </c>
      <c r="V46" s="381">
        <f>'FALL13 vs TYSP13'!$L95</f>
        <v>738</v>
      </c>
      <c r="W46" s="381">
        <f>'SEP12 vs TYSP12'!$L139</f>
        <v>305.6219798144561</v>
      </c>
      <c r="X46" s="381">
        <f t="shared" si="2"/>
        <v>432.3780201855439</v>
      </c>
      <c r="Y46" s="381">
        <f>V46-'FALL13 vs TYSP13'!L122</f>
        <v>-56</v>
      </c>
    </row>
    <row r="47" spans="1:25">
      <c r="A47" s="722">
        <f t="shared" si="4"/>
        <v>2026</v>
      </c>
      <c r="B47" s="381">
        <f>'FALL13 vs TYSP13'!$L21</f>
        <v>1339.19</v>
      </c>
      <c r="C47" s="381">
        <f>'FALL13 vs TYSP13'!L44</f>
        <v>1394</v>
      </c>
      <c r="D47" s="381">
        <f t="shared" si="3"/>
        <v>-54.809999999999945</v>
      </c>
      <c r="E47" s="381">
        <f>B47-'FALL13 vs TYSP13'!L45</f>
        <v>-56.809999999999945</v>
      </c>
      <c r="U47" s="722">
        <f t="shared" si="5"/>
        <v>2026</v>
      </c>
      <c r="V47" s="381">
        <f>'FALL13 vs TYSP13'!$L96</f>
        <v>738.15</v>
      </c>
      <c r="W47" s="381">
        <f>'SEP12 vs TYSP12'!$L140</f>
        <v>305.6219798144561</v>
      </c>
      <c r="X47" s="381">
        <f t="shared" si="2"/>
        <v>432.52802018554388</v>
      </c>
      <c r="Y47" s="381">
        <f>V47-'FALL13 vs TYSP13'!L123</f>
        <v>-55.850000000000023</v>
      </c>
    </row>
    <row r="48" spans="1:25">
      <c r="A48" s="722">
        <f t="shared" si="4"/>
        <v>2027</v>
      </c>
      <c r="B48" s="381">
        <f>'FALL13 vs TYSP13'!$L22</f>
        <v>1339.3799999999999</v>
      </c>
      <c r="C48" s="381">
        <f>'FALL13 vs TYSP13'!L45</f>
        <v>1396</v>
      </c>
      <c r="D48" s="381">
        <f t="shared" si="3"/>
        <v>-56.620000000000118</v>
      </c>
      <c r="E48" s="381">
        <f>B48-'FALL13 vs TYSP13'!L46</f>
        <v>-56.620000000000118</v>
      </c>
      <c r="U48" s="722">
        <f t="shared" si="5"/>
        <v>2027</v>
      </c>
      <c r="V48" s="381">
        <f>'FALL13 vs TYSP13'!$L97</f>
        <v>738.28</v>
      </c>
      <c r="W48" s="381">
        <f>'SEP12 vs TYSP12'!$L141</f>
        <v>305.6219798144561</v>
      </c>
      <c r="X48" s="381">
        <f t="shared" si="2"/>
        <v>432.65802018554388</v>
      </c>
      <c r="Y48" s="381">
        <f>V48-'FALL13 vs TYSP13'!L124</f>
        <v>-55.720000000000027</v>
      </c>
    </row>
    <row r="49" spans="1:25">
      <c r="A49" s="722">
        <f t="shared" si="4"/>
        <v>2028</v>
      </c>
      <c r="B49" s="381">
        <f>'FALL13 vs TYSP13'!$L23</f>
        <v>1339.57</v>
      </c>
      <c r="C49" s="381">
        <f>'FALL13 vs TYSP13'!L46</f>
        <v>1396</v>
      </c>
      <c r="D49" s="381">
        <f t="shared" si="3"/>
        <v>-56.430000000000064</v>
      </c>
      <c r="E49" s="381">
        <f>B49-'FALL13 vs TYSP13'!L47</f>
        <v>-56.430000000000064</v>
      </c>
      <c r="U49" s="722">
        <f t="shared" si="5"/>
        <v>2028</v>
      </c>
      <c r="V49" s="381">
        <f>'FALL13 vs TYSP13'!$L98</f>
        <v>738.32999999999993</v>
      </c>
      <c r="W49" s="381">
        <f>'SEP12 vs TYSP12'!$L142</f>
        <v>305.6219798144561</v>
      </c>
      <c r="X49" s="381">
        <f t="shared" si="2"/>
        <v>432.70802018554383</v>
      </c>
      <c r="Y49" s="381">
        <f>V49-'FALL13 vs TYSP13'!L125</f>
        <v>-55.670000000000073</v>
      </c>
    </row>
    <row r="50" spans="1:25">
      <c r="A50" s="722">
        <f t="shared" si="4"/>
        <v>2029</v>
      </c>
      <c r="B50" s="381">
        <f>'FALL13 vs TYSP13'!$L24</f>
        <v>1339.76</v>
      </c>
      <c r="C50" s="381">
        <f>'FALL13 vs TYSP13'!L47</f>
        <v>1396</v>
      </c>
      <c r="D50" s="381">
        <f t="shared" si="3"/>
        <v>-56.240000000000009</v>
      </c>
      <c r="E50" s="381">
        <f>B50-'FALL13 vs TYSP13'!L48</f>
        <v>-56.240000000000009</v>
      </c>
      <c r="U50" s="722">
        <f t="shared" si="5"/>
        <v>2029</v>
      </c>
      <c r="V50" s="381">
        <f>'FALL13 vs TYSP13'!$L99</f>
        <v>738.46999999999991</v>
      </c>
      <c r="W50" s="381">
        <f>'SEP12 vs TYSP12'!$L143</f>
        <v>305.6219798144561</v>
      </c>
      <c r="X50" s="381">
        <f t="shared" si="2"/>
        <v>432.84802018554382</v>
      </c>
      <c r="Y50" s="381">
        <f>V50-'FALL13 vs TYSP13'!L126</f>
        <v>-55.530000000000086</v>
      </c>
    </row>
    <row r="51" spans="1:25">
      <c r="A51" s="722">
        <f t="shared" si="4"/>
        <v>2030</v>
      </c>
      <c r="B51" s="381">
        <f>'FALL13 vs TYSP13'!$L25</f>
        <v>1339.86</v>
      </c>
      <c r="C51" s="381">
        <f>'FALL13 vs TYSP13'!L48</f>
        <v>1396</v>
      </c>
      <c r="D51" s="381">
        <f t="shared" si="3"/>
        <v>-56.1400000000001</v>
      </c>
      <c r="E51" s="381">
        <f>B51-'FALL13 vs TYSP13'!L49</f>
        <v>-56.1400000000001</v>
      </c>
      <c r="U51" s="722">
        <f t="shared" si="5"/>
        <v>2030</v>
      </c>
      <c r="V51" s="381">
        <f>'FALL13 vs TYSP13'!$L100</f>
        <v>738.59999999999991</v>
      </c>
      <c r="W51" s="381">
        <f>'SEP12 vs TYSP12'!$L144</f>
        <v>305.6219798144561</v>
      </c>
      <c r="X51" s="381">
        <f t="shared" si="2"/>
        <v>432.97802018554381</v>
      </c>
      <c r="Y51" s="381">
        <f>V51-'FALL13 vs TYSP13'!L127</f>
        <v>-55.400000000000091</v>
      </c>
    </row>
    <row r="52" spans="1:25">
      <c r="A52" s="722"/>
      <c r="B52" s="381"/>
      <c r="C52" s="381"/>
      <c r="D52" s="381"/>
      <c r="U52" s="722"/>
      <c r="V52" s="381"/>
      <c r="W52" s="381"/>
      <c r="X52" s="381"/>
    </row>
    <row r="54" spans="1:25">
      <c r="A54" s="1676" t="s">
        <v>480</v>
      </c>
      <c r="B54" s="1677"/>
      <c r="C54" s="1677"/>
      <c r="D54" s="1678"/>
      <c r="U54" s="1676" t="s">
        <v>485</v>
      </c>
      <c r="V54" s="1677"/>
      <c r="W54" s="1677"/>
      <c r="X54" s="1678"/>
    </row>
    <row r="55" spans="1:25">
      <c r="B55" s="1093" t="s">
        <v>475</v>
      </c>
      <c r="C55" s="1093" t="s">
        <v>476</v>
      </c>
      <c r="D55" s="1093" t="s">
        <v>477</v>
      </c>
      <c r="E55" s="1092" t="s">
        <v>481</v>
      </c>
      <c r="V55" s="1093" t="s">
        <v>475</v>
      </c>
      <c r="W55" s="1093" t="s">
        <v>476</v>
      </c>
      <c r="X55" s="1093" t="s">
        <v>477</v>
      </c>
      <c r="Y55" s="1092" t="s">
        <v>481</v>
      </c>
    </row>
    <row r="56" spans="1:25">
      <c r="A56" s="447" t="s">
        <v>126</v>
      </c>
      <c r="B56" s="445" t="str">
        <f>B31</f>
        <v>SEP'11</v>
      </c>
      <c r="C56" s="446" t="s">
        <v>474</v>
      </c>
      <c r="D56" s="446" t="s">
        <v>84</v>
      </c>
      <c r="E56" s="445" t="s">
        <v>482</v>
      </c>
      <c r="U56" s="447" t="s">
        <v>126</v>
      </c>
      <c r="V56" s="445" t="str">
        <f>V31</f>
        <v>SEP'11</v>
      </c>
      <c r="W56" s="446" t="s">
        <v>474</v>
      </c>
      <c r="X56" s="446" t="s">
        <v>84</v>
      </c>
      <c r="Y56" s="445" t="s">
        <v>482</v>
      </c>
    </row>
    <row r="57" spans="1:25">
      <c r="A57" s="722">
        <v>2011</v>
      </c>
      <c r="B57" s="381"/>
      <c r="C57" s="381"/>
      <c r="D57" s="381"/>
      <c r="U57" s="722">
        <v>2011</v>
      </c>
      <c r="V57" s="381" t="e">
        <f>'FALL13 vs TYSP13'!#REF!+SUM('FALL13 vs TYSP13'!#REF!)+15</f>
        <v>#REF!</v>
      </c>
      <c r="W57" s="381">
        <f>('SEP12 vs TYSP12'!F125+SUM('SEP12 vs TYSP12'!P125:Q125)+15)</f>
        <v>7789.0132818787069</v>
      </c>
      <c r="X57" s="381" t="e">
        <f t="shared" ref="X57:X76" si="6">V57-W57</f>
        <v>#REF!</v>
      </c>
      <c r="Y57" s="381" t="e">
        <f>V57-('FALL13 vs TYSP13'!F107+SUM('FALL13 vs TYSP13'!#REF!)+15)</f>
        <v>#REF!</v>
      </c>
    </row>
    <row r="58" spans="1:25">
      <c r="A58" s="722">
        <f>A57+1</f>
        <v>2012</v>
      </c>
      <c r="B58" s="381" t="e">
        <f>'FALL13 vs TYSP13'!#REF!+SUM('FALL13 vs TYSP13'!#REF!)+15</f>
        <v>#REF!</v>
      </c>
      <c r="C58" s="381">
        <f>'SEP12 vs TYSP12'!F39+SUM('SEP12 vs TYSP12'!P39:Q39)+15</f>
        <v>8040</v>
      </c>
      <c r="D58" s="381" t="e">
        <f t="shared" ref="D58:D76" si="7">B58-C58</f>
        <v>#REF!</v>
      </c>
      <c r="E58" s="381" t="e">
        <f>B58-('FALL13 vs TYSP13'!#REF!+SUM('FALL13 vs TYSP13'!#REF!)+15)</f>
        <v>#REF!</v>
      </c>
      <c r="U58" s="722">
        <f>U57+1</f>
        <v>2012</v>
      </c>
      <c r="V58" s="381" t="e">
        <f>'FALL13 vs TYSP13'!#REF!+SUM('FALL13 vs TYSP13'!#REF!)+15</f>
        <v>#REF!</v>
      </c>
      <c r="W58" s="381">
        <f>('SEP12 vs TYSP12'!F126+SUM('SEP12 vs TYSP12'!P126:Q126)+15)</f>
        <v>7819</v>
      </c>
      <c r="X58" s="381" t="e">
        <f t="shared" si="6"/>
        <v>#REF!</v>
      </c>
      <c r="Y58" s="381" t="e">
        <f>V58-('FALL13 vs TYSP13'!F108+SUM('FALL13 vs TYSP13'!P107:Q107)+15)</f>
        <v>#REF!</v>
      </c>
    </row>
    <row r="59" spans="1:25">
      <c r="A59" s="722">
        <f t="shared" ref="A59:A76" si="8">A58+1</f>
        <v>2013</v>
      </c>
      <c r="B59" s="381">
        <f>'FALL13 vs TYSP13'!F8+SUM('FALL13 vs TYSP13'!P8:Q8)+15</f>
        <v>4424.99</v>
      </c>
      <c r="C59" s="381">
        <f>'SEP12 vs TYSP12'!F40+SUM('SEP12 vs TYSP12'!P40:Q40)+15</f>
        <v>8053</v>
      </c>
      <c r="D59" s="381">
        <f t="shared" si="7"/>
        <v>-3628.01</v>
      </c>
      <c r="E59" s="381">
        <f>B59-('FALL13 vs TYSP13'!F32+SUM('FALL13 vs TYSP13'!P32:Q32)+15)</f>
        <v>-3643.01</v>
      </c>
      <c r="U59" s="722">
        <f t="shared" ref="U59:U76" si="9">U58+1</f>
        <v>2013</v>
      </c>
      <c r="V59" s="381">
        <f>'FALL13 vs TYSP13'!F83+SUM('FALL13 vs TYSP13'!P83:Q83)+15</f>
        <v>7772.99</v>
      </c>
      <c r="W59" s="381">
        <f>('SEP12 vs TYSP12'!F127+SUM('SEP12 vs TYSP12'!P127:Q127)+15)</f>
        <v>7903</v>
      </c>
      <c r="X59" s="381">
        <f t="shared" si="6"/>
        <v>-130.01000000000022</v>
      </c>
      <c r="Y59" s="381">
        <f>V59-('FALL13 vs TYSP13'!F109+SUM('FALL13 vs TYSP13'!P108:Q108)+15)</f>
        <v>-71.433546541330543</v>
      </c>
    </row>
    <row r="60" spans="1:25">
      <c r="A60" s="722">
        <f t="shared" si="8"/>
        <v>2014</v>
      </c>
      <c r="B60" s="381">
        <f>'FALL13 vs TYSP13'!F9+SUM('FALL13 vs TYSP13'!P9:Q9)+15</f>
        <v>7965.4244139750008</v>
      </c>
      <c r="C60" s="381">
        <f>'SEP12 vs TYSP12'!F41+SUM('SEP12 vs TYSP12'!P41:Q41)+15</f>
        <v>8139</v>
      </c>
      <c r="D60" s="381">
        <f t="shared" si="7"/>
        <v>-173.57558602499921</v>
      </c>
      <c r="E60" s="381">
        <f>B60-('FALL13 vs TYSP13'!F33+SUM('FALL13 vs TYSP13'!P33:Q33)+15)</f>
        <v>-172.57558602499921</v>
      </c>
      <c r="U60" s="722">
        <f t="shared" si="9"/>
        <v>2014</v>
      </c>
      <c r="V60" s="381">
        <f>'FALL13 vs TYSP13'!F84+SUM('FALL13 vs TYSP13'!P84:Q84)+15</f>
        <v>7997.9107469557039</v>
      </c>
      <c r="W60" s="381">
        <f>('SEP12 vs TYSP12'!F128+SUM('SEP12 vs TYSP12'!P128:Q128)+15)</f>
        <v>8058</v>
      </c>
      <c r="X60" s="381">
        <f t="shared" si="6"/>
        <v>-60.089253044296129</v>
      </c>
      <c r="Y60" s="381">
        <f>V60-('FALL13 vs TYSP13'!F110+SUM('FALL13 vs TYSP13'!P109:Q109)+15)</f>
        <v>-17.089253044296129</v>
      </c>
    </row>
    <row r="61" spans="1:25">
      <c r="A61" s="722">
        <f t="shared" si="8"/>
        <v>2015</v>
      </c>
      <c r="B61" s="381">
        <f>'FALL13 vs TYSP13'!F10+SUM('FALL13 vs TYSP13'!P10:Q10)+15</f>
        <v>7746.8977380144497</v>
      </c>
      <c r="C61" s="381">
        <f>'SEP12 vs TYSP12'!F42+SUM('SEP12 vs TYSP12'!P42:Q42)+15</f>
        <v>8289</v>
      </c>
      <c r="D61" s="381">
        <f t="shared" si="7"/>
        <v>-542.10226198555029</v>
      </c>
      <c r="E61" s="381">
        <f>B61-('FALL13 vs TYSP13'!F34+SUM('FALL13 vs TYSP13'!P34:Q34)+15)</f>
        <v>-508.10226198555029</v>
      </c>
      <c r="U61" s="722">
        <f t="shared" si="9"/>
        <v>2015</v>
      </c>
      <c r="V61" s="381">
        <f>'FALL13 vs TYSP13'!F85+SUM('FALL13 vs TYSP13'!P85:Q85)+15</f>
        <v>8225.7419886142743</v>
      </c>
      <c r="W61" s="381">
        <f>('SEP12 vs TYSP12'!F129+SUM('SEP12 vs TYSP12'!P129:Q129)+15)</f>
        <v>8249</v>
      </c>
      <c r="X61" s="381">
        <f t="shared" si="6"/>
        <v>-23.258011385725695</v>
      </c>
      <c r="Y61" s="381">
        <f>V61-('FALL13 vs TYSP13'!F111+SUM('FALL13 vs TYSP13'!P110:Q110)+15)</f>
        <v>68.741988614274305</v>
      </c>
    </row>
    <row r="62" spans="1:25">
      <c r="A62" s="722">
        <f t="shared" si="8"/>
        <v>2016</v>
      </c>
      <c r="B62" s="381">
        <f>'FALL13 vs TYSP13'!F11+SUM('FALL13 vs TYSP13'!P11:Q11)+15</f>
        <v>7981.5490458519271</v>
      </c>
      <c r="C62" s="381">
        <f>'SEP12 vs TYSP12'!F43+SUM('SEP12 vs TYSP12'!P43:Q43)+15</f>
        <v>8446</v>
      </c>
      <c r="D62" s="381">
        <f t="shared" si="7"/>
        <v>-464.45095414807292</v>
      </c>
      <c r="E62" s="381">
        <f>B62-('FALL13 vs TYSP13'!F35+SUM('FALL13 vs TYSP13'!P35:Q35)+15)</f>
        <v>-403.45095414807292</v>
      </c>
      <c r="U62" s="722">
        <f t="shared" si="9"/>
        <v>2016</v>
      </c>
      <c r="V62" s="381">
        <f>'FALL13 vs TYSP13'!F86+SUM('FALL13 vs TYSP13'!P86:Q86)+15</f>
        <v>8480.535651523247</v>
      </c>
      <c r="W62" s="381">
        <f>('SEP12 vs TYSP12'!F130+SUM('SEP12 vs TYSP12'!P130:Q130)+15)</f>
        <v>8413</v>
      </c>
      <c r="X62" s="381">
        <f t="shared" si="6"/>
        <v>67.535651523246997</v>
      </c>
      <c r="Y62" s="381">
        <f>V62-('FALL13 vs TYSP13'!F112+SUM('FALL13 vs TYSP13'!P111:Q111)+15)</f>
        <v>167.535651523247</v>
      </c>
    </row>
    <row r="63" spans="1:25">
      <c r="A63" s="722">
        <f t="shared" si="8"/>
        <v>2017</v>
      </c>
      <c r="B63" s="381">
        <f>'FALL13 vs TYSP13'!F12+SUM('FALL13 vs TYSP13'!P12:Q12)+15</f>
        <v>8200.4877882975306</v>
      </c>
      <c r="C63" s="381">
        <f>'SEP12 vs TYSP12'!F44+SUM('SEP12 vs TYSP12'!P44:Q44)+15</f>
        <v>8516</v>
      </c>
      <c r="D63" s="381">
        <f t="shared" si="7"/>
        <v>-315.51221170246936</v>
      </c>
      <c r="E63" s="381">
        <f>B63-('FALL13 vs TYSP13'!F36+SUM('FALL13 vs TYSP13'!P36:Q36)+15)</f>
        <v>-305.51221170246936</v>
      </c>
      <c r="U63" s="722">
        <f t="shared" si="9"/>
        <v>2017</v>
      </c>
      <c r="V63" s="381">
        <f>'FALL13 vs TYSP13'!F87+SUM('FALL13 vs TYSP13'!P87:Q87)+15</f>
        <v>8709.8193870989307</v>
      </c>
      <c r="W63" s="381">
        <f>('SEP12 vs TYSP12'!F131+SUM('SEP12 vs TYSP12'!P131:Q131)+15)</f>
        <v>8544</v>
      </c>
      <c r="X63" s="381">
        <f t="shared" si="6"/>
        <v>165.81938709893075</v>
      </c>
      <c r="Y63" s="381">
        <f>V63-('FALL13 vs TYSP13'!F113+SUM('FALL13 vs TYSP13'!P112:Q112)+15)</f>
        <v>247.81938709893075</v>
      </c>
    </row>
    <row r="64" spans="1:25">
      <c r="A64" s="722">
        <f t="shared" si="8"/>
        <v>2018</v>
      </c>
      <c r="B64" s="381">
        <f>'FALL13 vs TYSP13'!F13+SUM('FALL13 vs TYSP13'!P13:Q13)+15</f>
        <v>8446.2889832418459</v>
      </c>
      <c r="C64" s="381">
        <f>'SEP12 vs TYSP12'!F45+SUM('SEP12 vs TYSP12'!P45:Q45)+15</f>
        <v>8663</v>
      </c>
      <c r="D64" s="381">
        <f t="shared" si="7"/>
        <v>-216.71101675815407</v>
      </c>
      <c r="E64" s="381">
        <f>B64-('FALL13 vs TYSP13'!F37+SUM('FALL13 vs TYSP13'!P37:Q37)+15)</f>
        <v>-185.71101675815407</v>
      </c>
      <c r="U64" s="722">
        <f t="shared" si="9"/>
        <v>2018</v>
      </c>
      <c r="V64" s="381">
        <f>'FALL13 vs TYSP13'!F88+SUM('FALL13 vs TYSP13'!P88:Q88)+15</f>
        <v>8841.8944126664192</v>
      </c>
      <c r="W64" s="381">
        <f>('SEP12 vs TYSP12'!F132+SUM('SEP12 vs TYSP12'!P132:Q132)+15)</f>
        <v>8704</v>
      </c>
      <c r="X64" s="381">
        <f t="shared" si="6"/>
        <v>137.89441266641916</v>
      </c>
      <c r="Y64" s="381">
        <f>V64-('FALL13 vs TYSP13'!F114+SUM('FALL13 vs TYSP13'!P113:Q113)+15)</f>
        <v>205.89441266641916</v>
      </c>
    </row>
    <row r="65" spans="1:25">
      <c r="A65" s="722">
        <f t="shared" si="8"/>
        <v>2019</v>
      </c>
      <c r="B65" s="381">
        <f>'FALL13 vs TYSP13'!F14+SUM('FALL13 vs TYSP13'!P14:Q14)+15</f>
        <v>8540.8603684389454</v>
      </c>
      <c r="C65" s="381">
        <f>'SEP12 vs TYSP12'!F46+SUM('SEP12 vs TYSP12'!P46:Q46)+15</f>
        <v>8804</v>
      </c>
      <c r="D65" s="381">
        <f t="shared" si="7"/>
        <v>-263.13963156105456</v>
      </c>
      <c r="E65" s="381">
        <f>B65-('FALL13 vs TYSP13'!F38+SUM('FALL13 vs TYSP13'!P38:Q38)+15)</f>
        <v>-243.13963156105456</v>
      </c>
      <c r="U65" s="722">
        <f t="shared" si="9"/>
        <v>2019</v>
      </c>
      <c r="V65" s="381">
        <f>'FALL13 vs TYSP13'!F89+SUM('FALL13 vs TYSP13'!P89:Q89)+15</f>
        <v>8966.0635202888661</v>
      </c>
      <c r="W65" s="381">
        <f>('SEP12 vs TYSP12'!F133+SUM('SEP12 vs TYSP12'!P133:Q133)+15)</f>
        <v>8865</v>
      </c>
      <c r="X65" s="381">
        <f t="shared" si="6"/>
        <v>101.06352028886613</v>
      </c>
      <c r="Y65" s="381">
        <f>V65-('FALL13 vs TYSP13'!F115+SUM('FALL13 vs TYSP13'!P114:Q114)+15)</f>
        <v>186.06352028886613</v>
      </c>
    </row>
    <row r="66" spans="1:25">
      <c r="A66" s="722">
        <f t="shared" si="8"/>
        <v>2020</v>
      </c>
      <c r="B66" s="381">
        <f>'FALL13 vs TYSP13'!F15+SUM('FALL13 vs TYSP13'!P15:Q15)+15</f>
        <v>8622.9572068329471</v>
      </c>
      <c r="C66" s="381">
        <f>'SEP12 vs TYSP12'!F47+SUM('SEP12 vs TYSP12'!P47:Q47)+15</f>
        <v>8940</v>
      </c>
      <c r="D66" s="381">
        <f t="shared" si="7"/>
        <v>-317.04279316705288</v>
      </c>
      <c r="E66" s="381">
        <f>B66-('FALL13 vs TYSP13'!F39+SUM('FALL13 vs TYSP13'!P39:Q39)+15)</f>
        <v>-308.04279316705288</v>
      </c>
      <c r="U66" s="722">
        <f t="shared" si="9"/>
        <v>2020</v>
      </c>
      <c r="V66" s="381">
        <f>'FALL13 vs TYSP13'!F90+SUM('FALL13 vs TYSP13'!P90:Q90)+15</f>
        <v>9087.5205234677542</v>
      </c>
      <c r="W66" s="381">
        <f>('SEP12 vs TYSP12'!F134+SUM('SEP12 vs TYSP12'!P134:Q134)+15)</f>
        <v>9023</v>
      </c>
      <c r="X66" s="381">
        <f t="shared" si="6"/>
        <v>64.520523467754174</v>
      </c>
      <c r="Y66" s="381">
        <f>V66-('FALL13 vs TYSP13'!F116+SUM('FALL13 vs TYSP13'!P115:Q115)+15)</f>
        <v>121.52052346775417</v>
      </c>
    </row>
    <row r="67" spans="1:25">
      <c r="A67" s="722">
        <f t="shared" si="8"/>
        <v>2021</v>
      </c>
      <c r="B67" s="381">
        <f>'FALL13 vs TYSP13'!F16+SUM('FALL13 vs TYSP13'!P16:Q16)+15</f>
        <v>8710.6490936671908</v>
      </c>
      <c r="C67" s="381">
        <f>'SEP12 vs TYSP12'!F48+SUM('SEP12 vs TYSP12'!P48:Q48)+15</f>
        <v>9082</v>
      </c>
      <c r="D67" s="381">
        <f t="shared" si="7"/>
        <v>-371.35090633280925</v>
      </c>
      <c r="E67" s="381">
        <f>B67-('FALL13 vs TYSP13'!F40+SUM('FALL13 vs TYSP13'!P40:Q40)+15)</f>
        <v>-370.35090633280925</v>
      </c>
      <c r="U67" s="722">
        <f t="shared" si="9"/>
        <v>2021</v>
      </c>
      <c r="V67" s="381">
        <f>'FALL13 vs TYSP13'!F91+SUM('FALL13 vs TYSP13'!P91:Q91)+15</f>
        <v>9204.7527366149916</v>
      </c>
      <c r="W67" s="381">
        <f>('SEP12 vs TYSP12'!F135+SUM('SEP12 vs TYSP12'!P135:Q135)+15)</f>
        <v>9184</v>
      </c>
      <c r="X67" s="381">
        <f t="shared" si="6"/>
        <v>20.752736614991591</v>
      </c>
      <c r="Y67" s="381">
        <f>V67-('FALL13 vs TYSP13'!F117+SUM('FALL13 vs TYSP13'!P116:Q116)+15)</f>
        <v>68.752736614991591</v>
      </c>
    </row>
    <row r="68" spans="1:25">
      <c r="A68" s="722">
        <f t="shared" si="8"/>
        <v>2022</v>
      </c>
      <c r="B68" s="381">
        <f>'FALL13 vs TYSP13'!F17+SUM('FALL13 vs TYSP13'!P17:Q17)+15</f>
        <v>8795.2294748521854</v>
      </c>
      <c r="C68" s="381">
        <f>'SEP12 vs TYSP12'!F49+SUM('SEP12 vs TYSP12'!P49:Q49)+15</f>
        <v>9226</v>
      </c>
      <c r="D68" s="381">
        <f t="shared" si="7"/>
        <v>-430.77052514781462</v>
      </c>
      <c r="E68" s="381">
        <f>B68-('FALL13 vs TYSP13'!F41+SUM('FALL13 vs TYSP13'!P41:Q41)+15)</f>
        <v>-435.77052514781462</v>
      </c>
      <c r="U68" s="722">
        <f t="shared" si="9"/>
        <v>2022</v>
      </c>
      <c r="V68" s="381">
        <f>'FALL13 vs TYSP13'!F92+SUM('FALL13 vs TYSP13'!P92:Q92)+15</f>
        <v>9318.92461733659</v>
      </c>
      <c r="W68" s="381">
        <f>('SEP12 vs TYSP12'!F136+SUM('SEP12 vs TYSP12'!P136:Q136)+15)</f>
        <v>9346</v>
      </c>
      <c r="X68" s="381">
        <f t="shared" si="6"/>
        <v>-27.075382663409982</v>
      </c>
      <c r="Y68" s="381">
        <f>V68-('FALL13 vs TYSP13'!F118+SUM('FALL13 vs TYSP13'!P117:Q117)+15)</f>
        <v>20.924617336590018</v>
      </c>
    </row>
    <row r="69" spans="1:25">
      <c r="A69" s="722">
        <f t="shared" si="8"/>
        <v>2023</v>
      </c>
      <c r="B69" s="381">
        <f>'FALL13 vs TYSP13'!F18+SUM('FALL13 vs TYSP13'!P18:Q18)+15</f>
        <v>8875.6959879650312</v>
      </c>
      <c r="C69" s="381">
        <f>'SEP12 vs TYSP12'!F50+SUM('SEP12 vs TYSP12'!P50:Q50)+15</f>
        <v>9371</v>
      </c>
      <c r="D69" s="381">
        <f t="shared" si="7"/>
        <v>-495.30401203496876</v>
      </c>
      <c r="E69" s="381">
        <f>B69-('FALL13 vs TYSP13'!F42+SUM('FALL13 vs TYSP13'!P42:Q42)+15)</f>
        <v>-505.30401203496876</v>
      </c>
      <c r="U69" s="722">
        <f t="shared" si="9"/>
        <v>2023</v>
      </c>
      <c r="V69" s="381">
        <f>'FALL13 vs TYSP13'!F93+SUM('FALL13 vs TYSP13'!P93:Q93)+15</f>
        <v>9424.7106462656357</v>
      </c>
      <c r="W69" s="381">
        <f>('SEP12 vs TYSP12'!F137+SUM('SEP12 vs TYSP12'!P137:Q137)+15)</f>
        <v>9510</v>
      </c>
      <c r="X69" s="381">
        <f t="shared" si="6"/>
        <v>-85.28935373436434</v>
      </c>
      <c r="Y69" s="381">
        <f>V69-('FALL13 vs TYSP13'!F119+SUM('FALL13 vs TYSP13'!P118:Q118)+15)</f>
        <v>-32.28935373436434</v>
      </c>
    </row>
    <row r="70" spans="1:25">
      <c r="A70" s="722">
        <f t="shared" si="8"/>
        <v>2024</v>
      </c>
      <c r="B70" s="381">
        <f>'FALL13 vs TYSP13'!F19+SUM('FALL13 vs TYSP13'!P19:Q19)+15</f>
        <v>8949.5604037622325</v>
      </c>
      <c r="C70" s="381">
        <f>'SEP12 vs TYSP12'!F51+SUM('SEP12 vs TYSP12'!P51:Q51)+15</f>
        <v>9518</v>
      </c>
      <c r="D70" s="381">
        <f t="shared" si="7"/>
        <v>-568.43959623776755</v>
      </c>
      <c r="E70" s="381">
        <f>B70-('FALL13 vs TYSP13'!F43+SUM('FALL13 vs TYSP13'!P43:Q43)+15)</f>
        <v>-577.43959623776755</v>
      </c>
      <c r="U70" s="722">
        <f t="shared" si="9"/>
        <v>2024</v>
      </c>
      <c r="V70" s="381">
        <f>'FALL13 vs TYSP13'!F94+SUM('FALL13 vs TYSP13'!P94:Q94)+15</f>
        <v>9528.8267904570876</v>
      </c>
      <c r="W70" s="381">
        <f>('SEP12 vs TYSP12'!F138+SUM('SEP12 vs TYSP12'!P138:Q138)+15)</f>
        <v>9672</v>
      </c>
      <c r="X70" s="381">
        <f t="shared" si="6"/>
        <v>-143.17320954291245</v>
      </c>
      <c r="Y70" s="381">
        <f>V70-('FALL13 vs TYSP13'!F120+SUM('FALL13 vs TYSP13'!P119:Q119)+15)</f>
        <v>-92.173209542912446</v>
      </c>
    </row>
    <row r="71" spans="1:25">
      <c r="A71" s="722">
        <f t="shared" si="8"/>
        <v>2025</v>
      </c>
      <c r="B71" s="381">
        <f>'FALL13 vs TYSP13'!F20+SUM('FALL13 vs TYSP13'!P20:Q20)+15</f>
        <v>9020.6353095407721</v>
      </c>
      <c r="C71" s="381">
        <f>'SEP12 vs TYSP12'!F52+SUM('SEP12 vs TYSP12'!P52:Q52)+15</f>
        <v>9662</v>
      </c>
      <c r="D71" s="381">
        <f t="shared" si="7"/>
        <v>-641.36469045922786</v>
      </c>
      <c r="E71" s="381">
        <f>B71-('FALL13 vs TYSP13'!F44+SUM('FALL13 vs TYSP13'!P44:Q44)+15)</f>
        <v>-651.36469045922786</v>
      </c>
      <c r="U71" s="722">
        <f t="shared" si="9"/>
        <v>2025</v>
      </c>
      <c r="V71" s="381">
        <f>'FALL13 vs TYSP13'!F95+SUM('FALL13 vs TYSP13'!P95:Q95)+15</f>
        <v>9626.19043759542</v>
      </c>
      <c r="W71" s="381">
        <f>('SEP12 vs TYSP12'!F139+SUM('SEP12 vs TYSP12'!P139:Q139)+15)</f>
        <v>9832</v>
      </c>
      <c r="X71" s="381">
        <f t="shared" si="6"/>
        <v>-205.80956240457999</v>
      </c>
      <c r="Y71" s="381">
        <f>V71-('FALL13 vs TYSP13'!F121+SUM('FALL13 vs TYSP13'!P120:Q120)+15)</f>
        <v>-156.80956240457999</v>
      </c>
    </row>
    <row r="72" spans="1:25">
      <c r="A72" s="722">
        <f t="shared" si="8"/>
        <v>2026</v>
      </c>
      <c r="B72" s="381">
        <f>'FALL13 vs TYSP13'!F21+SUM('FALL13 vs TYSP13'!P21:Q21)+15</f>
        <v>9088.0006310281806</v>
      </c>
      <c r="C72" s="381">
        <f>'SEP12 vs TYSP12'!F53+SUM('SEP12 vs TYSP12'!P53:Q53)+15</f>
        <v>9806</v>
      </c>
      <c r="D72" s="381">
        <f t="shared" si="7"/>
        <v>-717.99936897181942</v>
      </c>
      <c r="E72" s="381">
        <f>B72-('FALL13 vs TYSP13'!F45+SUM('FALL13 vs TYSP13'!P45:Q45)+15)</f>
        <v>-727.99936897181942</v>
      </c>
      <c r="U72" s="722">
        <f t="shared" si="9"/>
        <v>2026</v>
      </c>
      <c r="V72" s="381">
        <f>'FALL13 vs TYSP13'!F96+SUM('FALL13 vs TYSP13'!P96:Q96)+15</f>
        <v>9716.1487061383996</v>
      </c>
      <c r="W72" s="381">
        <f>('SEP12 vs TYSP12'!F140+SUM('SEP12 vs TYSP12'!P140:Q140)+15)</f>
        <v>9992</v>
      </c>
      <c r="X72" s="381">
        <f t="shared" si="6"/>
        <v>-275.85129386160042</v>
      </c>
      <c r="Y72" s="381">
        <f>V72-('FALL13 vs TYSP13'!F122+SUM('FALL13 vs TYSP13'!P121:Q121)+15)</f>
        <v>-215.85129386160042</v>
      </c>
    </row>
    <row r="73" spans="1:25">
      <c r="A73" s="722">
        <f t="shared" si="8"/>
        <v>2027</v>
      </c>
      <c r="B73" s="381">
        <f>'FALL13 vs TYSP13'!F22+SUM('FALL13 vs TYSP13'!P22:Q22)+15</f>
        <v>9151.387170753158</v>
      </c>
      <c r="C73" s="381">
        <f>'SEP12 vs TYSP12'!F54+SUM('SEP12 vs TYSP12'!P54:Q54)+15</f>
        <v>9949</v>
      </c>
      <c r="D73" s="381">
        <f t="shared" si="7"/>
        <v>-797.61282924684201</v>
      </c>
      <c r="E73" s="381">
        <f>B73-('FALL13 vs TYSP13'!F46+SUM('FALL13 vs TYSP13'!P46:Q46)+15)</f>
        <v>-808.61282924684201</v>
      </c>
      <c r="U73" s="722">
        <f t="shared" si="9"/>
        <v>2027</v>
      </c>
      <c r="V73" s="381">
        <f>'FALL13 vs TYSP13'!F97+SUM('FALL13 vs TYSP13'!P97:Q97)+15</f>
        <v>9806.5976646526124</v>
      </c>
      <c r="W73" s="381">
        <f>('SEP12 vs TYSP12'!F141+SUM('SEP12 vs TYSP12'!P141:Q141)+15)</f>
        <v>10149</v>
      </c>
      <c r="X73" s="381">
        <f t="shared" si="6"/>
        <v>-342.40233534738763</v>
      </c>
      <c r="Y73" s="381">
        <f>V73-('FALL13 vs TYSP13'!F123+SUM('FALL13 vs TYSP13'!P122:Q122)+15)</f>
        <v>-285.40233534738763</v>
      </c>
    </row>
    <row r="74" spans="1:25">
      <c r="A74" s="722">
        <f t="shared" si="8"/>
        <v>2028</v>
      </c>
      <c r="B74" s="381">
        <f>'FALL13 vs TYSP13'!F23+SUM('FALL13 vs TYSP13'!P23:Q23)+15</f>
        <v>9213.6388190153339</v>
      </c>
      <c r="C74" s="381">
        <f>'SEP12 vs TYSP12'!F55+SUM('SEP12 vs TYSP12'!P55:Q55)+15</f>
        <v>10091</v>
      </c>
      <c r="D74" s="381">
        <f t="shared" si="7"/>
        <v>-877.36118098466613</v>
      </c>
      <c r="E74" s="381">
        <f>B74-('FALL13 vs TYSP13'!F47+SUM('FALL13 vs TYSP13'!P47:Q47)+15)</f>
        <v>-891.36118098466613</v>
      </c>
      <c r="U74" s="722">
        <f t="shared" si="9"/>
        <v>2028</v>
      </c>
      <c r="V74" s="381">
        <f>'FALL13 vs TYSP13'!F98+SUM('FALL13 vs TYSP13'!P98:Q98)+15</f>
        <v>9894.4564971694963</v>
      </c>
      <c r="W74" s="381">
        <f>('SEP12 vs TYSP12'!F142+SUM('SEP12 vs TYSP12'!P142:Q142)+15)</f>
        <v>10305</v>
      </c>
      <c r="X74" s="381">
        <f t="shared" si="6"/>
        <v>-410.54350283050371</v>
      </c>
      <c r="Y74" s="381">
        <f>V74-('FALL13 vs TYSP13'!F124+SUM('FALL13 vs TYSP13'!P123:Q123)+15)</f>
        <v>-371.54350283050371</v>
      </c>
    </row>
    <row r="75" spans="1:25">
      <c r="A75" s="722">
        <f t="shared" si="8"/>
        <v>2029</v>
      </c>
      <c r="B75" s="381">
        <f>'FALL13 vs TYSP13'!F24+SUM('FALL13 vs TYSP13'!P24:Q24)+15</f>
        <v>9274.5717916043886</v>
      </c>
      <c r="C75" s="381">
        <f>'SEP12 vs TYSP12'!F56+SUM('SEP12 vs TYSP12'!P56:Q56)+15</f>
        <v>10231</v>
      </c>
      <c r="D75" s="381">
        <f t="shared" si="7"/>
        <v>-956.42820839561136</v>
      </c>
      <c r="E75" s="381">
        <f>B75-('FALL13 vs TYSP13'!F48+SUM('FALL13 vs TYSP13'!P48:Q48)+15)</f>
        <v>-971.42820839561136</v>
      </c>
      <c r="U75" s="722">
        <f t="shared" si="9"/>
        <v>2029</v>
      </c>
      <c r="V75" s="381">
        <f>'FALL13 vs TYSP13'!F99+SUM('FALL13 vs TYSP13'!P99:Q99)+15</f>
        <v>9979.6884343321926</v>
      </c>
      <c r="W75" s="381">
        <f>('SEP12 vs TYSP12'!F143+SUM('SEP12 vs TYSP12'!P143:Q143)+15)</f>
        <v>10459</v>
      </c>
      <c r="X75" s="381">
        <f t="shared" si="6"/>
        <v>-479.31156566780737</v>
      </c>
      <c r="Y75" s="381">
        <f>V75-('FALL13 vs TYSP13'!F125+SUM('FALL13 vs TYSP13'!P124:Q124)+15)</f>
        <v>-446.31156566780737</v>
      </c>
    </row>
    <row r="76" spans="1:25">
      <c r="A76" s="722">
        <f t="shared" si="8"/>
        <v>2030</v>
      </c>
      <c r="B76" s="381">
        <f>'FALL13 vs TYSP13'!F25+SUM('FALL13 vs TYSP13'!P25:Q25)+15</f>
        <v>9333.2371044159772</v>
      </c>
      <c r="C76" s="381">
        <f>'SEP12 vs TYSP12'!F57+SUM('SEP12 vs TYSP12'!P57:Q57)+15</f>
        <v>10370</v>
      </c>
      <c r="D76" s="381">
        <f t="shared" si="7"/>
        <v>-1036.7628955840228</v>
      </c>
      <c r="E76" s="381">
        <f>B76-('FALL13 vs TYSP13'!F49+SUM('FALL13 vs TYSP13'!P49:Q49)+15)</f>
        <v>-1055.7628955840228</v>
      </c>
      <c r="U76" s="722">
        <f t="shared" si="9"/>
        <v>2030</v>
      </c>
      <c r="V76" s="381">
        <f>'FALL13 vs TYSP13'!F100+SUM('FALL13 vs TYSP13'!P100:Q100)+15</f>
        <v>10059.30121422971</v>
      </c>
      <c r="W76" s="381">
        <f>('SEP12 vs TYSP12'!F144+SUM('SEP12 vs TYSP12'!P144:Q144)+15)</f>
        <v>10610</v>
      </c>
      <c r="X76" s="381">
        <f t="shared" si="6"/>
        <v>-550.69878577028976</v>
      </c>
      <c r="Y76" s="381">
        <f>V76-('FALL13 vs TYSP13'!F126+SUM('FALL13 vs TYSP13'!P125:Q125)+15)</f>
        <v>-523.69878577028976</v>
      </c>
    </row>
  </sheetData>
  <mergeCells count="6">
    <mergeCell ref="A2:D2"/>
    <mergeCell ref="U2:X2"/>
    <mergeCell ref="A29:D29"/>
    <mergeCell ref="U29:X29"/>
    <mergeCell ref="A54:D54"/>
    <mergeCell ref="U54:X54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P9"/>
  <sheetViews>
    <sheetView workbookViewId="0">
      <selection activeCell="B11" sqref="B11"/>
    </sheetView>
  </sheetViews>
  <sheetFormatPr defaultRowHeight="12.75"/>
  <cols>
    <col min="2" max="2" width="14.5703125" customWidth="1"/>
  </cols>
  <sheetData>
    <row r="1" spans="1:16" ht="13.5" thickBot="1">
      <c r="B1" s="1097" t="s">
        <v>495</v>
      </c>
      <c r="C1" s="1097" t="s">
        <v>496</v>
      </c>
      <c r="D1" s="1097" t="s">
        <v>497</v>
      </c>
      <c r="E1" s="1097" t="s">
        <v>498</v>
      </c>
      <c r="F1" s="1097" t="s">
        <v>499</v>
      </c>
      <c r="G1" s="1097" t="s">
        <v>500</v>
      </c>
      <c r="H1" s="1097" t="s">
        <v>501</v>
      </c>
      <c r="I1" s="1097" t="s">
        <v>502</v>
      </c>
      <c r="J1" s="1097" t="s">
        <v>503</v>
      </c>
      <c r="K1" s="1097" t="s">
        <v>353</v>
      </c>
      <c r="L1" s="1097" t="s">
        <v>21</v>
      </c>
      <c r="M1" s="875"/>
      <c r="N1" s="875"/>
      <c r="O1" s="875"/>
      <c r="P1" s="875"/>
    </row>
    <row r="2" spans="1:16" ht="13.5" thickBot="1">
      <c r="A2" s="1096">
        <v>2012</v>
      </c>
      <c r="B2" s="381" t="e">
        <f>'SEP12 vs TYSP12'!F11</f>
        <v>#REF!</v>
      </c>
      <c r="C2" s="1098">
        <f>'Monthly Peaks'!B645</f>
        <v>0</v>
      </c>
      <c r="D2" s="1096"/>
      <c r="E2" s="381" t="e">
        <f>'SEP12 vs TYSP12'!I11</f>
        <v>#REF!</v>
      </c>
      <c r="F2" s="381" t="e">
        <f>'SEP12 vs TYSP12'!K11</f>
        <v>#REF!</v>
      </c>
      <c r="G2" s="381" t="e">
        <f>'SEP12 vs TYSP12'!N11</f>
        <v>#REF!</v>
      </c>
      <c r="H2" s="1103"/>
      <c r="I2" s="1103"/>
      <c r="J2" s="1103"/>
      <c r="K2" s="1103"/>
      <c r="L2" s="381" t="e">
        <f>SUM(B2:K2)</f>
        <v>#REF!</v>
      </c>
    </row>
    <row r="3" spans="1:16">
      <c r="B3" s="1096"/>
      <c r="C3" s="725"/>
      <c r="D3" s="1096"/>
      <c r="E3" s="725"/>
      <c r="F3" s="1096"/>
      <c r="G3" s="1096"/>
      <c r="H3" s="1096"/>
      <c r="I3" s="1096"/>
      <c r="J3" s="1096"/>
      <c r="K3" s="1096"/>
      <c r="L3" s="1096"/>
    </row>
    <row r="4" spans="1:16">
      <c r="B4" s="1096"/>
    </row>
    <row r="5" spans="1:16">
      <c r="B5" s="1102" t="s">
        <v>506</v>
      </c>
    </row>
    <row r="6" spans="1:16">
      <c r="B6" s="1099" t="s">
        <v>504</v>
      </c>
    </row>
    <row r="7" spans="1:16">
      <c r="B7" s="1100"/>
    </row>
    <row r="8" spans="1:16">
      <c r="B8" s="1099" t="s">
        <v>505</v>
      </c>
      <c r="P8" s="1101">
        <f>11269-(-942)+24</f>
        <v>12235</v>
      </c>
    </row>
    <row r="9" spans="1:16">
      <c r="B9" s="109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BH149"/>
  <sheetViews>
    <sheetView tabSelected="1" zoomScale="70" zoomScaleNormal="70" workbookViewId="0">
      <pane xSplit="4" ySplit="6" topLeftCell="E7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/>
  <cols>
    <col min="1" max="1" width="6.28515625" style="123" bestFit="1" customWidth="1"/>
    <col min="2" max="2" width="10.140625" style="123" bestFit="1" customWidth="1"/>
    <col min="3" max="3" width="4" style="123" bestFit="1" customWidth="1"/>
    <col min="4" max="4" width="5.5703125" style="123" bestFit="1" customWidth="1"/>
    <col min="5" max="5" width="8.7109375" style="123" bestFit="1" customWidth="1"/>
    <col min="6" max="6" width="10.42578125" style="123" bestFit="1" customWidth="1"/>
    <col min="7" max="7" width="11.140625" style="123" bestFit="1" customWidth="1"/>
    <col min="8" max="8" width="8.28515625" style="123" bestFit="1" customWidth="1"/>
    <col min="9" max="9" width="9.42578125" style="123" bestFit="1" customWidth="1"/>
    <col min="10" max="10" width="8.7109375" style="123" bestFit="1" customWidth="1"/>
    <col min="11" max="11" width="10" style="123" bestFit="1" customWidth="1"/>
    <col min="12" max="12" width="7.7109375" style="123" bestFit="1" customWidth="1"/>
    <col min="13" max="13" width="11.42578125" style="123" bestFit="1" customWidth="1"/>
    <col min="14" max="14" width="7.140625" style="123" bestFit="1" customWidth="1"/>
    <col min="15" max="15" width="7.7109375" style="123" bestFit="1" customWidth="1"/>
    <col min="16" max="16" width="12.7109375" style="123" bestFit="1" customWidth="1"/>
    <col min="17" max="17" width="12.140625" style="123" bestFit="1" customWidth="1"/>
    <col min="18" max="18" width="12.7109375" style="123" customWidth="1"/>
    <col min="19" max="19" width="14.28515625" style="123" bestFit="1" customWidth="1"/>
    <col min="20" max="20" width="9.7109375" style="123" bestFit="1" customWidth="1"/>
    <col min="21" max="21" width="14.42578125" style="123" bestFit="1" customWidth="1"/>
    <col min="22" max="22" width="9.85546875" style="124" bestFit="1" customWidth="1"/>
    <col min="23" max="23" width="13.42578125" style="124" bestFit="1" customWidth="1"/>
    <col min="24" max="27" width="9.28515625" style="124" bestFit="1" customWidth="1"/>
    <col min="28" max="28" width="9.140625" style="124"/>
    <col min="29" max="29" width="9.28515625" style="124" bestFit="1" customWidth="1"/>
    <col min="30" max="30" width="9.42578125" style="124" bestFit="1" customWidth="1"/>
    <col min="31" max="31" width="12.42578125" style="124" bestFit="1" customWidth="1"/>
    <col min="32" max="32" width="10.42578125" style="124" bestFit="1" customWidth="1"/>
    <col min="33" max="33" width="11.85546875" style="124" bestFit="1" customWidth="1"/>
    <col min="34" max="34" width="12" style="124" bestFit="1" customWidth="1"/>
    <col min="35" max="35" width="3.5703125" style="124" customWidth="1"/>
    <col min="36" max="36" width="10.85546875" style="124" bestFit="1" customWidth="1"/>
    <col min="37" max="37" width="9.28515625" style="124" bestFit="1" customWidth="1"/>
    <col min="38" max="38" width="8.85546875" style="124" bestFit="1" customWidth="1"/>
    <col min="39" max="39" width="7" style="124" bestFit="1" customWidth="1"/>
    <col min="40" max="40" width="6.85546875" style="124" bestFit="1" customWidth="1"/>
    <col min="41" max="41" width="5.28515625" style="124" customWidth="1"/>
    <col min="42" max="42" width="11.85546875" style="124" bestFit="1" customWidth="1"/>
    <col min="43" max="43" width="16.28515625" style="124" customWidth="1"/>
    <col min="44" max="44" width="17.28515625" style="124" customWidth="1"/>
    <col min="45" max="47" width="12.7109375" style="124" customWidth="1"/>
    <col min="48" max="48" width="11.7109375" style="124" customWidth="1"/>
    <col min="49" max="49" width="13.28515625" style="124" bestFit="1" customWidth="1"/>
    <col min="50" max="50" width="13.5703125" style="124" bestFit="1" customWidth="1"/>
    <col min="51" max="51" width="13.28515625" style="124" bestFit="1" customWidth="1"/>
    <col min="52" max="52" width="13.5703125" style="124" bestFit="1" customWidth="1"/>
    <col min="53" max="16384" width="9.140625" style="124"/>
  </cols>
  <sheetData>
    <row r="1" spans="1:59" s="122" customFormat="1" ht="13.5" thickBot="1">
      <c r="A1" s="1583" t="s">
        <v>101</v>
      </c>
      <c r="B1" s="1583"/>
      <c r="C1" s="1583"/>
      <c r="D1" s="1583"/>
      <c r="E1" s="1583"/>
      <c r="F1" s="1583"/>
      <c r="G1" s="1583"/>
      <c r="H1" s="1583"/>
      <c r="I1" s="1583"/>
      <c r="J1" s="1583"/>
      <c r="K1" s="1582" t="s">
        <v>634</v>
      </c>
      <c r="L1" s="1583"/>
      <c r="M1" s="1583"/>
      <c r="N1" s="1583"/>
      <c r="O1" s="1583"/>
      <c r="P1" s="1583"/>
      <c r="Q1" s="1582" t="s">
        <v>634</v>
      </c>
      <c r="R1" s="1582" t="s">
        <v>634</v>
      </c>
      <c r="S1" s="1582" t="s">
        <v>634</v>
      </c>
      <c r="T1" s="1582" t="s">
        <v>634</v>
      </c>
      <c r="U1" s="1582" t="s">
        <v>634</v>
      </c>
      <c r="V1" s="1582" t="s">
        <v>634</v>
      </c>
      <c r="W1" s="1582" t="s">
        <v>634</v>
      </c>
      <c r="AD1" s="906" t="s">
        <v>102</v>
      </c>
      <c r="AE1" s="906"/>
      <c r="AF1" s="906"/>
      <c r="AG1" s="906"/>
      <c r="AH1" s="906"/>
      <c r="AI1" s="906"/>
      <c r="AJ1" s="906"/>
      <c r="AK1" s="906"/>
      <c r="AL1" s="906"/>
      <c r="AM1" s="906"/>
      <c r="AN1" s="906"/>
      <c r="AO1" s="906"/>
      <c r="AP1" s="906"/>
      <c r="AQ1" s="906"/>
      <c r="AR1" s="906"/>
      <c r="AS1" s="906"/>
      <c r="AT1" s="906"/>
      <c r="AU1" s="906"/>
    </row>
    <row r="2" spans="1:59">
      <c r="P2" s="1190" t="str">
        <f>Feb!P2</f>
        <v>CF_201309</v>
      </c>
      <c r="R2" s="1190" t="str">
        <f>Feb!R2</f>
        <v>13_EDB_Adjmt.xlsx</v>
      </c>
      <c r="S2" s="109"/>
      <c r="T2" s="373" t="str">
        <f>P2</f>
        <v>CF_201309</v>
      </c>
    </row>
    <row r="3" spans="1:59">
      <c r="J3" s="265" t="s">
        <v>21</v>
      </c>
      <c r="M3" s="123" t="s">
        <v>58</v>
      </c>
      <c r="Q3" s="92"/>
      <c r="R3" s="92"/>
      <c r="S3" s="92"/>
      <c r="T3" s="92"/>
    </row>
    <row r="4" spans="1:59">
      <c r="J4" s="123" t="s">
        <v>6</v>
      </c>
      <c r="M4" s="123" t="s">
        <v>6</v>
      </c>
      <c r="O4" s="123" t="s">
        <v>1</v>
      </c>
      <c r="P4" s="810" t="s">
        <v>396</v>
      </c>
      <c r="Q4" s="353" t="s">
        <v>186</v>
      </c>
      <c r="R4" s="687">
        <f>[2]ssr!$K$174</f>
        <v>0.13469999999999999</v>
      </c>
      <c r="S4" s="370"/>
      <c r="T4" s="92"/>
      <c r="U4" s="810" t="s">
        <v>396</v>
      </c>
      <c r="AD4" s="125" t="s">
        <v>198</v>
      </c>
    </row>
    <row r="5" spans="1:59">
      <c r="H5" s="265" t="s">
        <v>66</v>
      </c>
      <c r="I5" s="265" t="s">
        <v>206</v>
      </c>
      <c r="J5" s="123" t="s">
        <v>61</v>
      </c>
      <c r="L5" s="123" t="s">
        <v>87</v>
      </c>
      <c r="M5" s="123" t="s">
        <v>61</v>
      </c>
      <c r="N5" s="123" t="s">
        <v>0</v>
      </c>
      <c r="O5" s="123" t="s">
        <v>6</v>
      </c>
      <c r="P5" s="126" t="s">
        <v>6</v>
      </c>
      <c r="Q5" s="351" t="s">
        <v>187</v>
      </c>
      <c r="R5" s="350" t="s">
        <v>189</v>
      </c>
      <c r="S5" s="350" t="s">
        <v>21</v>
      </c>
      <c r="T5" s="92"/>
      <c r="U5" s="309" t="s">
        <v>315</v>
      </c>
      <c r="V5" s="351" t="s">
        <v>346</v>
      </c>
      <c r="W5" s="350" t="s">
        <v>194</v>
      </c>
      <c r="X5" s="306" t="s">
        <v>180</v>
      </c>
      <c r="Y5" s="1601" t="s">
        <v>17</v>
      </c>
      <c r="Z5" s="1602"/>
      <c r="AD5" s="265"/>
      <c r="AR5" s="903" t="s">
        <v>570</v>
      </c>
      <c r="AS5" s="475"/>
      <c r="AT5" s="476"/>
      <c r="AU5" s="477"/>
      <c r="AV5" s="477"/>
      <c r="AW5" s="478"/>
      <c r="AX5" s="478"/>
    </row>
    <row r="6" spans="1:59" s="129" customFormat="1" ht="13.5" thickBot="1">
      <c r="A6" s="121" t="s">
        <v>9</v>
      </c>
      <c r="B6" s="121" t="s">
        <v>88</v>
      </c>
      <c r="C6" s="121" t="s">
        <v>89</v>
      </c>
      <c r="D6" s="121" t="s">
        <v>90</v>
      </c>
      <c r="E6" s="121" t="s">
        <v>91</v>
      </c>
      <c r="F6" s="121" t="s">
        <v>92</v>
      </c>
      <c r="G6" s="121" t="s">
        <v>93</v>
      </c>
      <c r="H6" s="128" t="s">
        <v>205</v>
      </c>
      <c r="I6" s="128" t="s">
        <v>207</v>
      </c>
      <c r="J6" s="121" t="s">
        <v>62</v>
      </c>
      <c r="K6" s="121" t="s">
        <v>57</v>
      </c>
      <c r="L6" s="121" t="s">
        <v>77</v>
      </c>
      <c r="M6" s="121" t="s">
        <v>59</v>
      </c>
      <c r="N6" s="324" t="s">
        <v>66</v>
      </c>
      <c r="O6" s="1211" t="s">
        <v>567</v>
      </c>
      <c r="P6" s="121" t="s">
        <v>97</v>
      </c>
      <c r="Q6" s="352" t="s">
        <v>226</v>
      </c>
      <c r="R6" s="352" t="s">
        <v>190</v>
      </c>
      <c r="S6" s="94" t="s">
        <v>188</v>
      </c>
      <c r="T6" s="479" t="s">
        <v>246</v>
      </c>
      <c r="U6" s="112" t="s">
        <v>316</v>
      </c>
      <c r="V6" s="343" t="s">
        <v>345</v>
      </c>
      <c r="W6" s="359" t="s">
        <v>169</v>
      </c>
      <c r="X6" s="128" t="s">
        <v>8</v>
      </c>
      <c r="Y6" s="128" t="s">
        <v>236</v>
      </c>
      <c r="Z6" s="128" t="s">
        <v>237</v>
      </c>
      <c r="AA6" s="128" t="s">
        <v>96</v>
      </c>
      <c r="AC6" s="121" t="s">
        <v>9</v>
      </c>
      <c r="AD6" s="128" t="s">
        <v>179</v>
      </c>
      <c r="AE6" s="121" t="s">
        <v>97</v>
      </c>
      <c r="AF6" s="128" t="s">
        <v>236</v>
      </c>
      <c r="AG6" s="300" t="s">
        <v>183</v>
      </c>
      <c r="AH6" s="324" t="s">
        <v>245</v>
      </c>
      <c r="AI6" s="128"/>
      <c r="AJ6" s="121" t="s">
        <v>98</v>
      </c>
      <c r="AK6" s="121" t="s">
        <v>99</v>
      </c>
      <c r="AL6" s="121" t="s">
        <v>100</v>
      </c>
      <c r="AM6" s="178" t="str">
        <f>Feb!AM6</f>
        <v>Fall'13</v>
      </c>
      <c r="AN6" s="178" t="str">
        <f>Feb!AN6</f>
        <v>TYSP'13</v>
      </c>
      <c r="AO6" s="178" t="str">
        <f>Feb!AO6</f>
        <v>Diff</v>
      </c>
      <c r="AP6" s="178" t="str">
        <f>Feb!AP6</f>
        <v>Yr-Yr Growth</v>
      </c>
      <c r="AR6" s="1034" t="s">
        <v>443</v>
      </c>
      <c r="AS6" s="1035"/>
      <c r="AT6" s="872"/>
      <c r="AU6" s="872"/>
      <c r="AV6" s="872"/>
      <c r="AW6" s="872"/>
      <c r="AX6" s="872"/>
    </row>
    <row r="7" spans="1:59">
      <c r="B7" s="130"/>
      <c r="C7" s="341"/>
      <c r="D7" s="346"/>
      <c r="E7" s="347"/>
      <c r="V7" s="123"/>
      <c r="W7" s="123"/>
      <c r="X7" s="145"/>
      <c r="AA7" s="123"/>
      <c r="AR7" s="1036" t="s">
        <v>171</v>
      </c>
      <c r="AS7" s="1037" t="s">
        <v>245</v>
      </c>
      <c r="AT7" s="1037" t="s">
        <v>418</v>
      </c>
      <c r="AU7" s="1038" t="s">
        <v>435</v>
      </c>
      <c r="AV7" s="1039" t="s">
        <v>169</v>
      </c>
      <c r="AW7" s="1039" t="s">
        <v>22</v>
      </c>
      <c r="AX7" s="1040"/>
    </row>
    <row r="8" spans="1:59">
      <c r="A8" s="123">
        <v>1975</v>
      </c>
      <c r="B8" s="130">
        <v>27457</v>
      </c>
      <c r="C8" s="341">
        <v>9</v>
      </c>
      <c r="D8" s="346" t="str">
        <f>TEXT(WEEKDAY(B8),"ddd")</f>
        <v>Tue</v>
      </c>
      <c r="E8" s="347">
        <v>2816</v>
      </c>
      <c r="P8" s="374">
        <f>[4]Data!$I73</f>
        <v>626705</v>
      </c>
      <c r="V8" s="123"/>
      <c r="W8" s="123"/>
      <c r="X8" s="145"/>
      <c r="Y8" s="472"/>
      <c r="Z8" s="472"/>
      <c r="AA8" s="339"/>
      <c r="AP8" s="415">
        <f>AVERAGE(AP14:AP36)</f>
        <v>92.917391304347845</v>
      </c>
      <c r="AR8" s="1041" t="s">
        <v>172</v>
      </c>
      <c r="AS8" s="1042">
        <f t="array" ref="AS8:AX12">LINEST(AD16:AD42,AE16:AH42,TRUE,TRUE)</f>
        <v>512.68499660515795</v>
      </c>
      <c r="AT8" s="1042">
        <v>532.69134222888954</v>
      </c>
      <c r="AU8" s="1043">
        <v>-27.824934177942552</v>
      </c>
      <c r="AV8" s="1043">
        <v>4.2662989164316172E-3</v>
      </c>
      <c r="AW8" s="1043">
        <v>474.16093862406188</v>
      </c>
      <c r="AX8" s="1044" t="e">
        <v>#N/A</v>
      </c>
    </row>
    <row r="9" spans="1:59">
      <c r="A9" s="123">
        <v>1976</v>
      </c>
      <c r="B9" s="130">
        <v>27837</v>
      </c>
      <c r="C9" s="341">
        <v>8</v>
      </c>
      <c r="D9" s="346" t="str">
        <f>TEXT(WEEKDAY(B9),"ddd")</f>
        <v>Thu</v>
      </c>
      <c r="E9" s="347">
        <v>2318</v>
      </c>
      <c r="P9" s="374">
        <f>[4]Data!$I74</f>
        <v>649347</v>
      </c>
      <c r="V9" s="123"/>
      <c r="W9" s="123"/>
      <c r="X9" s="145">
        <f>[5]Mar!L4</f>
        <v>49.8</v>
      </c>
      <c r="Y9" s="1025">
        <f>[5]Mar!J4</f>
        <v>48.2</v>
      </c>
      <c r="Z9" s="345">
        <f>[5]Mar!K4</f>
        <v>53.3</v>
      </c>
      <c r="AA9" s="339">
        <f>[5]Mar!$M4</f>
        <v>46.6</v>
      </c>
      <c r="AR9" s="1045" t="s">
        <v>173</v>
      </c>
      <c r="AS9" s="1046">
        <v>288.07799633349993</v>
      </c>
      <c r="AT9" s="1046">
        <v>335.91674646712846</v>
      </c>
      <c r="AU9" s="1047">
        <v>8.8482826823015248</v>
      </c>
      <c r="AV9" s="1046">
        <v>4.6715361510766179E-4</v>
      </c>
      <c r="AW9" s="1046">
        <v>626.99915421158994</v>
      </c>
      <c r="AX9" s="1048" t="e">
        <v>#N/A</v>
      </c>
    </row>
    <row r="10" spans="1:59">
      <c r="A10" s="123">
        <v>1977</v>
      </c>
      <c r="B10" s="130">
        <v>28186</v>
      </c>
      <c r="C10" s="341">
        <v>8</v>
      </c>
      <c r="D10" s="346" t="str">
        <f>TEXT(WEEKDAY(B10),"ddd")</f>
        <v>Wed</v>
      </c>
      <c r="E10" s="347">
        <v>3005</v>
      </c>
      <c r="P10" s="374">
        <f>[4]Data!$I75</f>
        <v>673400</v>
      </c>
      <c r="V10" s="123"/>
      <c r="W10" s="123"/>
      <c r="X10" s="145">
        <f>[5]Mar!L5</f>
        <v>44.1</v>
      </c>
      <c r="Y10" s="1025">
        <f>[5]Mar!J5</f>
        <v>40.5</v>
      </c>
      <c r="Z10" s="345">
        <f>[5]Mar!K5</f>
        <v>51.5</v>
      </c>
      <c r="AA10" s="339">
        <f>[5]Mar!$M5</f>
        <v>40.200000000000003</v>
      </c>
      <c r="AR10" s="1045" t="s">
        <v>174</v>
      </c>
      <c r="AS10" s="1049">
        <v>0.79436239806118281</v>
      </c>
      <c r="AT10" s="1050">
        <v>540.53436477186665</v>
      </c>
      <c r="AU10" s="1051" t="e">
        <v>#N/A</v>
      </c>
      <c r="AV10" s="1051" t="e">
        <v>#N/A</v>
      </c>
      <c r="AW10" s="1051" t="e">
        <v>#N/A</v>
      </c>
      <c r="AX10" s="872" t="e">
        <v>#N/A</v>
      </c>
    </row>
    <row r="11" spans="1:59" ht="15.75">
      <c r="A11" s="123">
        <v>1978</v>
      </c>
      <c r="B11" s="130">
        <v>28555</v>
      </c>
      <c r="C11" s="131">
        <v>8</v>
      </c>
      <c r="D11" s="346" t="str">
        <f t="shared" ref="D11:D35" si="0">TEXT(WEEKDAY(B11),"ddd")</f>
        <v>Mon</v>
      </c>
      <c r="E11" s="132">
        <v>3346</v>
      </c>
      <c r="F11" s="133"/>
      <c r="G11" s="132"/>
      <c r="H11" s="134"/>
      <c r="I11" s="134"/>
      <c r="J11" s="133"/>
      <c r="K11" s="132"/>
      <c r="L11" s="133"/>
      <c r="M11" s="133"/>
      <c r="N11" s="133"/>
      <c r="O11" s="133"/>
      <c r="P11" s="374">
        <f>[4]Data!$I76</f>
        <v>702138</v>
      </c>
      <c r="U11" s="132">
        <f t="shared" ref="U11:U29" si="1">P11-Q11</f>
        <v>702138</v>
      </c>
      <c r="V11" s="132"/>
      <c r="X11" s="146">
        <f>[5]Mar!L6</f>
        <v>44.3</v>
      </c>
      <c r="Y11" s="1025">
        <f>[5]Mar!J6</f>
        <v>42.2</v>
      </c>
      <c r="Z11" s="345">
        <f>[5]Mar!K6</f>
        <v>48.7</v>
      </c>
      <c r="AA11" s="339">
        <f>[5]Mar!$M6</f>
        <v>40.799999999999997</v>
      </c>
      <c r="AE11" s="1433" t="s">
        <v>547</v>
      </c>
      <c r="AF11" s="908"/>
      <c r="AR11" s="1045" t="s">
        <v>175</v>
      </c>
      <c r="AS11" s="1046">
        <v>21.246081203749885</v>
      </c>
      <c r="AT11" s="1052">
        <v>22</v>
      </c>
      <c r="AU11" s="1051" t="e">
        <v>#N/A</v>
      </c>
      <c r="AV11" s="1051" t="e">
        <v>#N/A</v>
      </c>
      <c r="AW11" s="1051" t="e">
        <v>#N/A</v>
      </c>
      <c r="AX11" s="872" t="e">
        <v>#N/A</v>
      </c>
      <c r="BA11" s="461" t="s">
        <v>232</v>
      </c>
      <c r="BB11" s="460" t="s">
        <v>231</v>
      </c>
      <c r="BC11" s="460" t="s">
        <v>230</v>
      </c>
      <c r="BD11" s="440" t="s">
        <v>233</v>
      </c>
      <c r="BE11" s="467" t="s">
        <v>229</v>
      </c>
      <c r="BF11" s="118" t="s">
        <v>240</v>
      </c>
      <c r="BG11" s="118"/>
    </row>
    <row r="12" spans="1:59">
      <c r="A12" s="123">
        <v>1979</v>
      </c>
      <c r="B12" s="130">
        <v>28926</v>
      </c>
      <c r="C12" s="123">
        <v>8</v>
      </c>
      <c r="D12" s="346" t="str">
        <f t="shared" si="0"/>
        <v>Mon</v>
      </c>
      <c r="E12" s="134">
        <v>3023</v>
      </c>
      <c r="F12" s="133"/>
      <c r="G12" s="134"/>
      <c r="H12" s="134"/>
      <c r="I12" s="134"/>
      <c r="J12" s="133"/>
      <c r="K12" s="134"/>
      <c r="L12" s="133"/>
      <c r="M12" s="133"/>
      <c r="N12" s="133"/>
      <c r="O12" s="133"/>
      <c r="P12" s="374">
        <f>[4]Data!$I77</f>
        <v>735819</v>
      </c>
      <c r="U12" s="132">
        <f t="shared" si="1"/>
        <v>735819</v>
      </c>
      <c r="V12" s="132"/>
      <c r="W12" s="132">
        <f t="shared" ref="W12:W26" si="2">U12-U11</f>
        <v>33681</v>
      </c>
      <c r="X12" s="146">
        <f>[5]Mar!L7</f>
        <v>50.7</v>
      </c>
      <c r="Y12" s="1025">
        <f>[5]Mar!J7</f>
        <v>49.8</v>
      </c>
      <c r="Z12" s="345">
        <f>[5]Mar!K7</f>
        <v>52.7</v>
      </c>
      <c r="AA12" s="339">
        <f>[5]Mar!$M7</f>
        <v>47.5</v>
      </c>
      <c r="AR12" s="1045" t="s">
        <v>176</v>
      </c>
      <c r="AS12" s="1052">
        <v>24830499.022652555</v>
      </c>
      <c r="AT12" s="1052">
        <v>6427902.7889851592</v>
      </c>
      <c r="AU12" s="1051" t="e">
        <v>#N/A</v>
      </c>
      <c r="AV12" s="1051" t="e">
        <v>#N/A</v>
      </c>
      <c r="AW12" s="1051" t="e">
        <v>#N/A</v>
      </c>
      <c r="AX12" s="872" t="e">
        <v>#N/A</v>
      </c>
      <c r="BC12" s="304"/>
    </row>
    <row r="13" spans="1:59">
      <c r="A13" s="123">
        <v>1980</v>
      </c>
      <c r="B13" s="130">
        <v>29283</v>
      </c>
      <c r="C13" s="123">
        <v>9</v>
      </c>
      <c r="D13" s="346" t="str">
        <f t="shared" si="0"/>
        <v>Mon</v>
      </c>
      <c r="E13" s="134">
        <f>[6]Hist!G7</f>
        <v>4419</v>
      </c>
      <c r="F13" s="134">
        <f>[6]Hist!H7</f>
        <v>3631</v>
      </c>
      <c r="G13" s="164">
        <f>SUM([6]Hist!M7:O7)</f>
        <v>0</v>
      </c>
      <c r="H13" s="164">
        <f>[6]Hist!L7</f>
        <v>290</v>
      </c>
      <c r="I13" s="164">
        <f>[6]Hist!P7</f>
        <v>141</v>
      </c>
      <c r="J13" s="133">
        <f>SUM(F13:I13)</f>
        <v>4062</v>
      </c>
      <c r="K13" s="164">
        <f>[6]Hist!U7</f>
        <v>0</v>
      </c>
      <c r="L13" s="164">
        <f>[6]Hist!V7</f>
        <v>0</v>
      </c>
      <c r="M13" s="133">
        <f>SUM(J13:K13)</f>
        <v>4062</v>
      </c>
      <c r="N13" s="781">
        <v>150</v>
      </c>
      <c r="O13" s="133">
        <f>J13-N13-L13</f>
        <v>3912</v>
      </c>
      <c r="P13" s="374">
        <f>[4]Data!$I78</f>
        <v>773629</v>
      </c>
      <c r="U13" s="132">
        <f t="shared" si="1"/>
        <v>773629</v>
      </c>
      <c r="V13" s="132"/>
      <c r="W13" s="132">
        <f t="shared" si="2"/>
        <v>37810</v>
      </c>
      <c r="X13" s="146">
        <f>[5]Mar!L8</f>
        <v>33</v>
      </c>
      <c r="Y13" s="1025">
        <f>[5]Mar!J8</f>
        <v>31.7</v>
      </c>
      <c r="Z13" s="345">
        <f>[5]Mar!K8</f>
        <v>35.6</v>
      </c>
      <c r="AA13" s="339">
        <f>[5]Mar!$M8</f>
        <v>29.2</v>
      </c>
      <c r="AC13" s="1151">
        <f t="shared" ref="AC13:AC58" si="3">A13</f>
        <v>1980</v>
      </c>
      <c r="AD13" s="1152">
        <f t="shared" ref="AD13:AD45" si="4">O13</f>
        <v>3912</v>
      </c>
      <c r="AE13" s="1153">
        <f t="shared" ref="AE13:AE58" si="5">U13</f>
        <v>773629</v>
      </c>
      <c r="AF13" s="1154">
        <f>Y13</f>
        <v>31.7</v>
      </c>
      <c r="AG13" s="1155">
        <v>0</v>
      </c>
      <c r="AH13" s="1151">
        <v>1</v>
      </c>
      <c r="AI13" s="1154"/>
      <c r="AJ13" s="1155">
        <f>ROUND($AW$8+$AV$8*AE13+$AU$8*AF13+$AT$8*AG13+$AS$8*AH13,0)</f>
        <v>3405</v>
      </c>
      <c r="AK13" s="1155">
        <f t="shared" ref="AK13:AK41" si="6">AD13-AJ13</f>
        <v>507</v>
      </c>
      <c r="AL13" s="1156"/>
      <c r="AM13" s="1156"/>
      <c r="AN13" s="1156"/>
      <c r="AO13" s="1156"/>
      <c r="AP13" s="1156"/>
      <c r="AR13" s="1053" t="s">
        <v>177</v>
      </c>
      <c r="AS13" s="1054">
        <f>AS8/AS9</f>
        <v>1.7796742657555724</v>
      </c>
      <c r="AT13" s="1054">
        <f>AT8/AT9</f>
        <v>1.5857838224240384</v>
      </c>
      <c r="AU13" s="1054">
        <f>AU8/AU9</f>
        <v>-3.1446705736016352</v>
      </c>
      <c r="AV13" s="1054">
        <f>AV8/AV9</f>
        <v>9.1325396581773042</v>
      </c>
      <c r="AW13" s="1054">
        <f>AW8/AW9</f>
        <v>0.75623856178927062</v>
      </c>
      <c r="AX13" s="1055"/>
      <c r="AZ13" s="124">
        <f>AC13</f>
        <v>1980</v>
      </c>
      <c r="BA13">
        <f>ROUND($AW$8+$AV$8*$AE13+$AU$8*$AF$53+$AT$8*AG13+$AS$8*AH13,0)</f>
        <v>3096</v>
      </c>
      <c r="BB13" s="102">
        <f>AD13</f>
        <v>3912</v>
      </c>
      <c r="BC13" s="102">
        <f>BA13-BB13</f>
        <v>-816</v>
      </c>
      <c r="BD13" s="471">
        <f>AJ13</f>
        <v>3405</v>
      </c>
      <c r="BE13" s="464">
        <f>BA13-BD13</f>
        <v>-309</v>
      </c>
      <c r="BF13" s="102">
        <f>BC13-BE13</f>
        <v>-507</v>
      </c>
      <c r="BG13" s="102"/>
    </row>
    <row r="14" spans="1:59">
      <c r="A14" s="123">
        <v>1981</v>
      </c>
      <c r="B14" s="130">
        <v>29669</v>
      </c>
      <c r="C14" s="123">
        <v>8</v>
      </c>
      <c r="D14" s="346" t="str">
        <f t="shared" si="0"/>
        <v>Tue</v>
      </c>
      <c r="E14" s="134">
        <f>[6]Hist!G19</f>
        <v>3157</v>
      </c>
      <c r="F14" s="134">
        <f>[6]Hist!H19</f>
        <v>2560</v>
      </c>
      <c r="G14" s="164">
        <f>SUM([6]Hist!M19:O19)</f>
        <v>0</v>
      </c>
      <c r="H14" s="164">
        <f>[6]Hist!L19</f>
        <v>0</v>
      </c>
      <c r="I14" s="164">
        <f>[6]Hist!P19</f>
        <v>0</v>
      </c>
      <c r="J14" s="133">
        <f t="shared" ref="J14:J35" si="7">SUM(F14:I14)</f>
        <v>2560</v>
      </c>
      <c r="K14" s="164">
        <f>[6]Hist!U19</f>
        <v>0</v>
      </c>
      <c r="L14" s="164">
        <f>[6]Hist!V19</f>
        <v>11</v>
      </c>
      <c r="M14" s="133">
        <f t="shared" ref="M14:M39" si="8">SUM(J14:K14)</f>
        <v>2560</v>
      </c>
      <c r="N14" s="781">
        <v>150</v>
      </c>
      <c r="O14" s="133">
        <f t="shared" ref="O14:O46" si="9">J14-N14-L14</f>
        <v>2399</v>
      </c>
      <c r="P14" s="374">
        <f>[4]Data!$I79</f>
        <v>806253</v>
      </c>
      <c r="U14" s="132">
        <f t="shared" si="1"/>
        <v>806253</v>
      </c>
      <c r="V14" s="132"/>
      <c r="W14" s="132">
        <f t="shared" si="2"/>
        <v>32624</v>
      </c>
      <c r="X14" s="146">
        <f>[5]Mar!L9</f>
        <v>50.6</v>
      </c>
      <c r="Y14" s="1025">
        <f>[5]Mar!J9</f>
        <v>48.6</v>
      </c>
      <c r="Z14" s="345">
        <f>[5]Mar!K9</f>
        <v>54.6</v>
      </c>
      <c r="AA14" s="339">
        <f>[5]Mar!$M9</f>
        <v>48.8</v>
      </c>
      <c r="AC14" s="1151">
        <f t="shared" si="3"/>
        <v>1981</v>
      </c>
      <c r="AD14" s="1152">
        <f t="shared" si="4"/>
        <v>2399</v>
      </c>
      <c r="AE14" s="1153">
        <f t="shared" si="5"/>
        <v>806253</v>
      </c>
      <c r="AF14" s="1154">
        <f t="shared" ref="AF14:AF35" si="10">Y14</f>
        <v>48.6</v>
      </c>
      <c r="AG14" s="1155">
        <v>0</v>
      </c>
      <c r="AH14" s="1151">
        <v>0</v>
      </c>
      <c r="AI14" s="1154"/>
      <c r="AJ14" s="1155">
        <f t="shared" ref="AJ14:AJ40" si="11">ROUND($AW$8+$AV$8*AE14+$AU$8*AF14+$AT$8*AG14+$AS$8*AH14,0)</f>
        <v>2562</v>
      </c>
      <c r="AK14" s="1155">
        <f t="shared" si="6"/>
        <v>-163</v>
      </c>
      <c r="AL14" s="1156"/>
      <c r="AM14" s="1156"/>
      <c r="AN14" s="1156"/>
      <c r="AO14" s="1157"/>
      <c r="AP14" s="1158">
        <f t="shared" ref="AP14:AP45" si="12">AD14-AD13</f>
        <v>-1513</v>
      </c>
      <c r="AQ14" s="1"/>
      <c r="AR14" s="1"/>
      <c r="AS14" s="1"/>
      <c r="AT14" s="1"/>
      <c r="AU14" s="1"/>
      <c r="AV14" s="28"/>
      <c r="AW14" s="28"/>
      <c r="AX14"/>
      <c r="AZ14" s="124">
        <f>AC14</f>
        <v>1981</v>
      </c>
      <c r="BA14">
        <f t="shared" ref="BA14:BA41" si="13">ROUND($AW$8+$AV$8*$AE14+$AU$8*$AF$53+$AT$8*AG14+$AS$8*AH14,0)</f>
        <v>2723</v>
      </c>
      <c r="BB14" s="102">
        <f t="shared" ref="BB14:BB35" si="14">AD14</f>
        <v>2399</v>
      </c>
      <c r="BC14" s="102">
        <f t="shared" ref="BC14:BC35" si="15">BA14-BB14</f>
        <v>324</v>
      </c>
      <c r="BD14" s="471">
        <f t="shared" ref="BD14:BD35" si="16">AJ14</f>
        <v>2562</v>
      </c>
      <c r="BE14" s="464">
        <f t="shared" ref="BE14:BE35" si="17">BA14-BD14</f>
        <v>161</v>
      </c>
      <c r="BF14" s="102">
        <f t="shared" ref="BF14:BF35" si="18">BC14-BE14</f>
        <v>163</v>
      </c>
      <c r="BG14" s="102"/>
    </row>
    <row r="15" spans="1:59" ht="13.5" thickBot="1">
      <c r="A15" s="123">
        <v>1982</v>
      </c>
      <c r="B15" s="130">
        <v>30018</v>
      </c>
      <c r="C15" s="123">
        <v>8</v>
      </c>
      <c r="D15" s="346" t="str">
        <f t="shared" si="0"/>
        <v>Mon</v>
      </c>
      <c r="E15" s="134">
        <f>[6]Hist!G31</f>
        <v>3491</v>
      </c>
      <c r="F15" s="134">
        <f>[6]Hist!H31</f>
        <v>2858</v>
      </c>
      <c r="G15" s="164">
        <f>SUM([6]Hist!M31:O31)</f>
        <v>0</v>
      </c>
      <c r="H15" s="164">
        <f>[6]Hist!L31</f>
        <v>0</v>
      </c>
      <c r="I15" s="164">
        <f>[6]Hist!P31</f>
        <v>0</v>
      </c>
      <c r="J15" s="133">
        <f t="shared" si="7"/>
        <v>2858</v>
      </c>
      <c r="K15" s="164">
        <f>[6]Hist!U31</f>
        <v>12</v>
      </c>
      <c r="L15" s="164">
        <f>[6]Hist!V31</f>
        <v>12</v>
      </c>
      <c r="M15" s="133">
        <f t="shared" si="8"/>
        <v>2870</v>
      </c>
      <c r="N15" s="781">
        <v>150</v>
      </c>
      <c r="O15" s="133">
        <f t="shared" si="9"/>
        <v>2696</v>
      </c>
      <c r="P15" s="374">
        <f>[4]Data!$I80</f>
        <v>834476</v>
      </c>
      <c r="U15" s="132">
        <f t="shared" si="1"/>
        <v>834476</v>
      </c>
      <c r="V15" s="132"/>
      <c r="W15" s="132">
        <f t="shared" si="2"/>
        <v>28223</v>
      </c>
      <c r="X15" s="146">
        <f>[5]Mar!L10</f>
        <v>45.6</v>
      </c>
      <c r="Y15" s="1025">
        <f>[5]Mar!J10</f>
        <v>41</v>
      </c>
      <c r="Z15" s="345">
        <f>[5]Mar!K10</f>
        <v>54.9</v>
      </c>
      <c r="AA15" s="339">
        <f>[5]Mar!$M10</f>
        <v>41.5</v>
      </c>
      <c r="AC15" s="1159">
        <f t="shared" si="3"/>
        <v>1982</v>
      </c>
      <c r="AD15" s="1160">
        <f t="shared" si="4"/>
        <v>2696</v>
      </c>
      <c r="AE15" s="1161">
        <f t="shared" si="5"/>
        <v>834476</v>
      </c>
      <c r="AF15" s="1162">
        <f t="shared" si="10"/>
        <v>41</v>
      </c>
      <c r="AG15" s="1161">
        <v>0</v>
      </c>
      <c r="AH15" s="1159">
        <v>1</v>
      </c>
      <c r="AI15" s="1162"/>
      <c r="AJ15" s="1161">
        <f t="shared" si="11"/>
        <v>3406</v>
      </c>
      <c r="AK15" s="1161">
        <f t="shared" si="6"/>
        <v>-710</v>
      </c>
      <c r="AL15" s="1163"/>
      <c r="AM15" s="1163"/>
      <c r="AN15" s="1163"/>
      <c r="AO15" s="1163"/>
      <c r="AP15" s="1164">
        <f t="shared" si="12"/>
        <v>297</v>
      </c>
      <c r="AQ15"/>
      <c r="AR15"/>
      <c r="AS15"/>
      <c r="AT15"/>
      <c r="AU15"/>
      <c r="AV15"/>
      <c r="AW15"/>
      <c r="AX15"/>
      <c r="AZ15" s="124">
        <f t="shared" ref="AZ15:AZ35" si="19">AC15</f>
        <v>1982</v>
      </c>
      <c r="BA15">
        <f t="shared" si="13"/>
        <v>3356</v>
      </c>
      <c r="BB15" s="102">
        <f t="shared" si="14"/>
        <v>2696</v>
      </c>
      <c r="BC15" s="102">
        <f t="shared" si="15"/>
        <v>660</v>
      </c>
      <c r="BD15" s="471">
        <f t="shared" si="16"/>
        <v>3406</v>
      </c>
      <c r="BE15" s="464">
        <f t="shared" si="17"/>
        <v>-50</v>
      </c>
      <c r="BF15" s="102">
        <f t="shared" si="18"/>
        <v>710</v>
      </c>
      <c r="BG15" s="102"/>
    </row>
    <row r="16" spans="1:59">
      <c r="A16" s="123">
        <v>1983</v>
      </c>
      <c r="B16" s="130">
        <v>30386</v>
      </c>
      <c r="C16" s="123">
        <v>9</v>
      </c>
      <c r="D16" s="346" t="str">
        <f t="shared" si="0"/>
        <v>Fri</v>
      </c>
      <c r="E16" s="134">
        <f>[6]Hist!G43</f>
        <v>3942</v>
      </c>
      <c r="F16" s="134">
        <f>[6]Hist!H43</f>
        <v>3299</v>
      </c>
      <c r="G16" s="164">
        <f>SUM([6]Hist!M43:O43)</f>
        <v>0</v>
      </c>
      <c r="H16" s="164">
        <f>[6]Hist!L43</f>
        <v>0</v>
      </c>
      <c r="I16" s="164">
        <f>[6]Hist!P43</f>
        <v>0</v>
      </c>
      <c r="J16" s="133">
        <f t="shared" si="7"/>
        <v>3299</v>
      </c>
      <c r="K16" s="164">
        <f>[6]Hist!U43</f>
        <v>25</v>
      </c>
      <c r="L16" s="164">
        <f>[6]Hist!V43</f>
        <v>36</v>
      </c>
      <c r="M16" s="133">
        <f t="shared" si="8"/>
        <v>3324</v>
      </c>
      <c r="N16" s="781">
        <v>150</v>
      </c>
      <c r="O16" s="133">
        <f t="shared" si="9"/>
        <v>3113</v>
      </c>
      <c r="P16" s="374">
        <f>[4]Data!$I81</f>
        <v>865481</v>
      </c>
      <c r="U16" s="132">
        <f t="shared" si="1"/>
        <v>865481</v>
      </c>
      <c r="V16" s="132"/>
      <c r="W16" s="132">
        <f t="shared" si="2"/>
        <v>31005</v>
      </c>
      <c r="X16" s="146">
        <f>[5]Mar!L11</f>
        <v>47.8</v>
      </c>
      <c r="Y16" s="1025">
        <f>[5]Mar!J11</f>
        <v>45.2</v>
      </c>
      <c r="Z16" s="345">
        <f>[5]Mar!K11</f>
        <v>53.1</v>
      </c>
      <c r="AA16" s="339">
        <f>[5]Mar!$M11</f>
        <v>44.5</v>
      </c>
      <c r="AC16" s="1151">
        <f t="shared" si="3"/>
        <v>1983</v>
      </c>
      <c r="AD16" s="1152">
        <f t="shared" si="4"/>
        <v>3113</v>
      </c>
      <c r="AE16" s="1153">
        <f t="shared" si="5"/>
        <v>865481</v>
      </c>
      <c r="AF16" s="1154">
        <f t="shared" si="10"/>
        <v>45.2</v>
      </c>
      <c r="AG16" s="1155">
        <v>0</v>
      </c>
      <c r="AH16" s="1151">
        <v>0</v>
      </c>
      <c r="AI16" s="1154"/>
      <c r="AJ16" s="1155">
        <f t="shared" si="11"/>
        <v>2909</v>
      </c>
      <c r="AK16" s="1155">
        <f t="shared" si="6"/>
        <v>204</v>
      </c>
      <c r="AL16" s="1156"/>
      <c r="AM16" s="1156"/>
      <c r="AN16" s="1156"/>
      <c r="AO16" s="1165"/>
      <c r="AP16" s="1158">
        <f t="shared" si="12"/>
        <v>417</v>
      </c>
      <c r="AX16"/>
      <c r="AZ16" s="124">
        <f t="shared" si="19"/>
        <v>1983</v>
      </c>
      <c r="BA16">
        <f t="shared" si="13"/>
        <v>2976</v>
      </c>
      <c r="BB16" s="102">
        <f t="shared" si="14"/>
        <v>3113</v>
      </c>
      <c r="BC16" s="102">
        <f t="shared" si="15"/>
        <v>-137</v>
      </c>
      <c r="BD16" s="471">
        <f t="shared" si="16"/>
        <v>2909</v>
      </c>
      <c r="BE16" s="464">
        <f t="shared" si="17"/>
        <v>67</v>
      </c>
      <c r="BF16" s="102">
        <f t="shared" si="18"/>
        <v>-204</v>
      </c>
      <c r="BG16" s="102"/>
    </row>
    <row r="17" spans="1:59">
      <c r="A17" s="123">
        <v>1984</v>
      </c>
      <c r="B17" s="130">
        <v>30742</v>
      </c>
      <c r="C17" s="123">
        <v>8</v>
      </c>
      <c r="D17" s="346" t="str">
        <f t="shared" si="0"/>
        <v>Thu</v>
      </c>
      <c r="E17" s="134">
        <f>[6]Hist!G55</f>
        <v>4493</v>
      </c>
      <c r="F17" s="134">
        <f>[6]Hist!H55</f>
        <v>3954</v>
      </c>
      <c r="G17" s="164">
        <f>SUM([6]Hist!M55:O55)</f>
        <v>0</v>
      </c>
      <c r="H17" s="164">
        <f>[6]Hist!L55</f>
        <v>0</v>
      </c>
      <c r="I17" s="164">
        <f>[6]Hist!P55</f>
        <v>0</v>
      </c>
      <c r="J17" s="133">
        <f t="shared" si="7"/>
        <v>3954</v>
      </c>
      <c r="K17" s="164">
        <f>[6]Hist!U55</f>
        <v>44</v>
      </c>
      <c r="L17" s="164">
        <f>[6]Hist!V55</f>
        <v>36</v>
      </c>
      <c r="M17" s="133">
        <f t="shared" si="8"/>
        <v>3998</v>
      </c>
      <c r="N17" s="781">
        <v>150</v>
      </c>
      <c r="O17" s="133">
        <f t="shared" si="9"/>
        <v>3768</v>
      </c>
      <c r="P17" s="374">
        <f>[4]Data!$I82</f>
        <v>901289</v>
      </c>
      <c r="U17" s="132">
        <f t="shared" si="1"/>
        <v>901289</v>
      </c>
      <c r="V17" s="132"/>
      <c r="W17" s="132">
        <f t="shared" si="2"/>
        <v>35808</v>
      </c>
      <c r="X17" s="146">
        <f>[5]Mar!L12</f>
        <v>39.5</v>
      </c>
      <c r="Y17" s="1025">
        <f>[5]Mar!J12</f>
        <v>36.799999999999997</v>
      </c>
      <c r="Z17" s="345">
        <f>[5]Mar!K12</f>
        <v>44.9</v>
      </c>
      <c r="AA17" s="339">
        <f>[5]Mar!$M12</f>
        <v>37.4</v>
      </c>
      <c r="AC17" s="1151">
        <f t="shared" si="3"/>
        <v>1984</v>
      </c>
      <c r="AD17" s="1152">
        <f t="shared" si="4"/>
        <v>3768</v>
      </c>
      <c r="AE17" s="1153">
        <f t="shared" si="5"/>
        <v>901289</v>
      </c>
      <c r="AF17" s="1154">
        <f t="shared" si="10"/>
        <v>36.799999999999997</v>
      </c>
      <c r="AG17" s="1155">
        <v>0</v>
      </c>
      <c r="AH17" s="1151">
        <v>0</v>
      </c>
      <c r="AI17" s="1154"/>
      <c r="AJ17" s="1155">
        <f t="shared" si="11"/>
        <v>3295</v>
      </c>
      <c r="AK17" s="1155">
        <f t="shared" si="6"/>
        <v>473</v>
      </c>
      <c r="AL17" s="1151"/>
      <c r="AM17" s="1151"/>
      <c r="AN17" s="1156"/>
      <c r="AO17" s="1166"/>
      <c r="AP17" s="1158">
        <f t="shared" si="12"/>
        <v>655</v>
      </c>
      <c r="AX17"/>
      <c r="AZ17" s="124">
        <f t="shared" si="19"/>
        <v>1984</v>
      </c>
      <c r="BA17">
        <f t="shared" si="13"/>
        <v>3128</v>
      </c>
      <c r="BB17" s="102">
        <f t="shared" si="14"/>
        <v>3768</v>
      </c>
      <c r="BC17" s="102">
        <f t="shared" si="15"/>
        <v>-640</v>
      </c>
      <c r="BD17" s="471">
        <f t="shared" si="16"/>
        <v>3295</v>
      </c>
      <c r="BE17" s="464">
        <f t="shared" si="17"/>
        <v>-167</v>
      </c>
      <c r="BF17" s="102">
        <f t="shared" si="18"/>
        <v>-473</v>
      </c>
      <c r="BG17" s="102"/>
    </row>
    <row r="18" spans="1:59">
      <c r="A18" s="123">
        <v>1985</v>
      </c>
      <c r="B18" s="130">
        <v>31125</v>
      </c>
      <c r="C18" s="123">
        <v>8</v>
      </c>
      <c r="D18" s="346" t="str">
        <f t="shared" si="0"/>
        <v>Tue</v>
      </c>
      <c r="E18" s="134">
        <f>[6]Hist!G67</f>
        <v>3399</v>
      </c>
      <c r="F18" s="134">
        <f>[6]Hist!H67</f>
        <v>3092</v>
      </c>
      <c r="G18" s="164">
        <f>SUM([6]Hist!M67:O67)</f>
        <v>0</v>
      </c>
      <c r="H18" s="164">
        <f>[6]Hist!L67</f>
        <v>0</v>
      </c>
      <c r="I18" s="164">
        <f>[6]Hist!P67</f>
        <v>0</v>
      </c>
      <c r="J18" s="133">
        <f t="shared" si="7"/>
        <v>3092</v>
      </c>
      <c r="K18" s="164">
        <f>[6]Hist!U67</f>
        <v>63</v>
      </c>
      <c r="L18" s="164">
        <f>[6]Hist!V67</f>
        <v>42</v>
      </c>
      <c r="M18" s="133">
        <f t="shared" si="8"/>
        <v>3155</v>
      </c>
      <c r="N18" s="164">
        <f>[6]Hist!AA67</f>
        <v>148</v>
      </c>
      <c r="O18" s="133">
        <f t="shared" si="9"/>
        <v>2902</v>
      </c>
      <c r="P18" s="374">
        <f>[4]Data!$I83</f>
        <v>943642</v>
      </c>
      <c r="U18" s="132">
        <f t="shared" si="1"/>
        <v>943642</v>
      </c>
      <c r="V18" s="132"/>
      <c r="W18" s="132">
        <f t="shared" si="2"/>
        <v>42353</v>
      </c>
      <c r="X18" s="146">
        <f>[5]Mar!L13</f>
        <v>47</v>
      </c>
      <c r="Y18" s="1025">
        <f>[5]Mar!J13</f>
        <v>44.3</v>
      </c>
      <c r="Z18" s="345">
        <f>[5]Mar!K13</f>
        <v>52.6</v>
      </c>
      <c r="AA18" s="339">
        <f>[5]Mar!$M13</f>
        <v>43</v>
      </c>
      <c r="AC18" s="1151">
        <f t="shared" si="3"/>
        <v>1985</v>
      </c>
      <c r="AD18" s="1152">
        <f t="shared" si="4"/>
        <v>2902</v>
      </c>
      <c r="AE18" s="1153">
        <f t="shared" si="5"/>
        <v>943642</v>
      </c>
      <c r="AF18" s="1154">
        <f t="shared" si="10"/>
        <v>44.3</v>
      </c>
      <c r="AG18" s="1155">
        <v>0</v>
      </c>
      <c r="AH18" s="1151">
        <v>0</v>
      </c>
      <c r="AI18" s="1154"/>
      <c r="AJ18" s="1155">
        <f t="shared" si="11"/>
        <v>3267</v>
      </c>
      <c r="AK18" s="1155">
        <f t="shared" si="6"/>
        <v>-365</v>
      </c>
      <c r="AL18" s="1155"/>
      <c r="AM18" s="1155"/>
      <c r="AN18" s="1156"/>
      <c r="AO18" s="1166"/>
      <c r="AP18" s="1158">
        <f t="shared" si="12"/>
        <v>-866</v>
      </c>
      <c r="AX18"/>
      <c r="AZ18" s="124">
        <f t="shared" si="19"/>
        <v>1985</v>
      </c>
      <c r="BA18">
        <f t="shared" si="13"/>
        <v>3309</v>
      </c>
      <c r="BB18" s="102">
        <f t="shared" si="14"/>
        <v>2902</v>
      </c>
      <c r="BC18" s="102">
        <f t="shared" si="15"/>
        <v>407</v>
      </c>
      <c r="BD18" s="471">
        <f t="shared" si="16"/>
        <v>3267</v>
      </c>
      <c r="BE18" s="464">
        <f t="shared" si="17"/>
        <v>42</v>
      </c>
      <c r="BF18" s="102">
        <f t="shared" si="18"/>
        <v>365</v>
      </c>
      <c r="BG18" s="102"/>
    </row>
    <row r="19" spans="1:59">
      <c r="A19" s="123">
        <v>1986</v>
      </c>
      <c r="B19" s="130">
        <v>31473</v>
      </c>
      <c r="C19" s="123">
        <v>9</v>
      </c>
      <c r="D19" s="915" t="str">
        <f t="shared" si="0"/>
        <v>Sun</v>
      </c>
      <c r="E19" s="134">
        <f>[6]Hist!G79</f>
        <v>4268</v>
      </c>
      <c r="F19" s="134">
        <f>[6]Hist!H79</f>
        <v>3851</v>
      </c>
      <c r="G19" s="164">
        <f>SUM([6]Hist!M79:O79)</f>
        <v>0</v>
      </c>
      <c r="H19" s="164">
        <f>[6]Hist!L79</f>
        <v>0</v>
      </c>
      <c r="I19" s="164">
        <f>[6]Hist!P79</f>
        <v>0</v>
      </c>
      <c r="J19" s="133">
        <f t="shared" si="7"/>
        <v>3851</v>
      </c>
      <c r="K19" s="164">
        <f>[6]Hist!U79</f>
        <v>76</v>
      </c>
      <c r="L19" s="164">
        <f>[6]Hist!V79</f>
        <v>51</v>
      </c>
      <c r="M19" s="133">
        <f t="shared" si="8"/>
        <v>3927</v>
      </c>
      <c r="N19" s="164">
        <f>[6]Hist!AA79</f>
        <v>177</v>
      </c>
      <c r="O19" s="133">
        <f t="shared" si="9"/>
        <v>3623</v>
      </c>
      <c r="P19" s="374">
        <f>[4]Data!$I84</f>
        <v>983892</v>
      </c>
      <c r="U19" s="132">
        <f t="shared" si="1"/>
        <v>983892</v>
      </c>
      <c r="V19" s="132"/>
      <c r="W19" s="132">
        <f t="shared" si="2"/>
        <v>40250</v>
      </c>
      <c r="X19" s="146">
        <f>[5]Mar!L14</f>
        <v>43.7</v>
      </c>
      <c r="Y19" s="1025">
        <f>[5]Mar!J14</f>
        <v>43.6</v>
      </c>
      <c r="Z19" s="345">
        <f>[5]Mar!K14</f>
        <v>44.1</v>
      </c>
      <c r="AA19" s="339">
        <f>[5]Mar!$M14</f>
        <v>39.799999999999997</v>
      </c>
      <c r="AC19" s="1151">
        <f t="shared" si="3"/>
        <v>1986</v>
      </c>
      <c r="AD19" s="1152">
        <f t="shared" si="4"/>
        <v>3623</v>
      </c>
      <c r="AE19" s="1153">
        <f t="shared" si="5"/>
        <v>983892</v>
      </c>
      <c r="AF19" s="1154">
        <f t="shared" si="10"/>
        <v>43.6</v>
      </c>
      <c r="AG19" s="1155">
        <v>0</v>
      </c>
      <c r="AH19" s="1167">
        <v>1</v>
      </c>
      <c r="AI19" s="1154"/>
      <c r="AJ19" s="1155">
        <f t="shared" si="11"/>
        <v>3971</v>
      </c>
      <c r="AK19" s="1155">
        <f t="shared" si="6"/>
        <v>-348</v>
      </c>
      <c r="AL19" s="1155"/>
      <c r="AM19" s="1155"/>
      <c r="AN19" s="1156"/>
      <c r="AO19" s="1166"/>
      <c r="AP19" s="1158">
        <f t="shared" si="12"/>
        <v>721</v>
      </c>
      <c r="AX19"/>
      <c r="AZ19" s="124">
        <f t="shared" si="19"/>
        <v>1986</v>
      </c>
      <c r="BA19">
        <f t="shared" si="13"/>
        <v>3994</v>
      </c>
      <c r="BB19" s="102">
        <f t="shared" si="14"/>
        <v>3623</v>
      </c>
      <c r="BC19" s="102">
        <f t="shared" si="15"/>
        <v>371</v>
      </c>
      <c r="BD19" s="471">
        <f t="shared" si="16"/>
        <v>3971</v>
      </c>
      <c r="BE19" s="464">
        <f t="shared" si="17"/>
        <v>23</v>
      </c>
      <c r="BF19" s="102">
        <f t="shared" si="18"/>
        <v>348</v>
      </c>
      <c r="BG19" s="102"/>
    </row>
    <row r="20" spans="1:59">
      <c r="A20" s="123">
        <v>1987</v>
      </c>
      <c r="B20" s="623">
        <v>31867</v>
      </c>
      <c r="C20" s="624">
        <v>20</v>
      </c>
      <c r="D20" s="346" t="str">
        <f t="shared" si="0"/>
        <v>Tue</v>
      </c>
      <c r="E20" s="134">
        <f>[6]Hist!G91</f>
        <v>3671</v>
      </c>
      <c r="F20" s="134">
        <f>[6]Hist!H91</f>
        <v>3474</v>
      </c>
      <c r="G20" s="164">
        <f>SUM([6]Hist!M91:O91)</f>
        <v>0</v>
      </c>
      <c r="H20" s="164">
        <f>[6]Hist!L91</f>
        <v>0</v>
      </c>
      <c r="I20" s="164">
        <f>[6]Hist!P91</f>
        <v>0</v>
      </c>
      <c r="J20" s="133">
        <f t="shared" si="7"/>
        <v>3474</v>
      </c>
      <c r="K20" s="164">
        <f>[6]Hist!U91</f>
        <v>85</v>
      </c>
      <c r="L20" s="164">
        <f>[6]Hist!V91</f>
        <v>58</v>
      </c>
      <c r="M20" s="133">
        <f t="shared" si="8"/>
        <v>3559</v>
      </c>
      <c r="N20" s="164">
        <f>[6]Hist!AA91</f>
        <v>287</v>
      </c>
      <c r="O20" s="133">
        <f t="shared" si="9"/>
        <v>3129</v>
      </c>
      <c r="P20" s="374">
        <f>[4]Data!$I85</f>
        <v>1026224</v>
      </c>
      <c r="U20" s="132">
        <f t="shared" si="1"/>
        <v>1026224</v>
      </c>
      <c r="V20" s="132"/>
      <c r="W20" s="132">
        <f t="shared" si="2"/>
        <v>42332</v>
      </c>
      <c r="X20" s="146">
        <f>[5]Mar!L15</f>
        <v>53.4</v>
      </c>
      <c r="Y20" s="345">
        <f>[5]Mar!J15</f>
        <v>51.3</v>
      </c>
      <c r="Z20" s="345">
        <f>[5]Mar!K15</f>
        <v>57.7</v>
      </c>
      <c r="AA20" s="339">
        <f>[5]Mar!$M15</f>
        <v>53.6</v>
      </c>
      <c r="AC20" s="1151">
        <f t="shared" si="3"/>
        <v>1987</v>
      </c>
      <c r="AD20" s="1152">
        <f t="shared" si="4"/>
        <v>3129</v>
      </c>
      <c r="AE20" s="1153">
        <f t="shared" si="5"/>
        <v>1026224</v>
      </c>
      <c r="AF20" s="1154">
        <f t="shared" si="10"/>
        <v>51.3</v>
      </c>
      <c r="AG20" s="1155">
        <v>1</v>
      </c>
      <c r="AH20" s="1151">
        <v>0</v>
      </c>
      <c r="AI20" s="1154"/>
      <c r="AJ20" s="1155">
        <f t="shared" si="11"/>
        <v>3958</v>
      </c>
      <c r="AK20" s="1155">
        <f t="shared" si="6"/>
        <v>-829</v>
      </c>
      <c r="AL20" s="1155"/>
      <c r="AM20" s="1155"/>
      <c r="AN20" s="1156"/>
      <c r="AO20" s="1166"/>
      <c r="AP20" s="1158">
        <f t="shared" si="12"/>
        <v>-494</v>
      </c>
      <c r="AX20"/>
      <c r="AZ20" s="124">
        <f t="shared" si="19"/>
        <v>1987</v>
      </c>
      <c r="BA20">
        <f t="shared" si="13"/>
        <v>4194</v>
      </c>
      <c r="BB20" s="102">
        <f t="shared" si="14"/>
        <v>3129</v>
      </c>
      <c r="BC20" s="102">
        <f t="shared" si="15"/>
        <v>1065</v>
      </c>
      <c r="BD20" s="471">
        <f t="shared" si="16"/>
        <v>3958</v>
      </c>
      <c r="BE20" s="464">
        <f t="shared" si="17"/>
        <v>236</v>
      </c>
      <c r="BF20" s="102">
        <f t="shared" si="18"/>
        <v>829</v>
      </c>
      <c r="BG20" s="102"/>
    </row>
    <row r="21" spans="1:59">
      <c r="A21" s="123">
        <v>1988</v>
      </c>
      <c r="B21" s="130">
        <v>32218</v>
      </c>
      <c r="C21" s="123">
        <v>8</v>
      </c>
      <c r="D21" s="346" t="str">
        <f t="shared" si="0"/>
        <v>Wed</v>
      </c>
      <c r="E21" s="134">
        <f>[6]Hist!G103</f>
        <v>5000</v>
      </c>
      <c r="F21" s="134">
        <f>[6]Hist!H103</f>
        <v>4338</v>
      </c>
      <c r="G21" s="164">
        <f>SUM([6]Hist!M103:O103)</f>
        <v>0</v>
      </c>
      <c r="H21" s="164">
        <f>[6]Hist!L103</f>
        <v>0</v>
      </c>
      <c r="I21" s="164">
        <f>[6]Hist!P103</f>
        <v>0</v>
      </c>
      <c r="J21" s="133">
        <f t="shared" si="7"/>
        <v>4338</v>
      </c>
      <c r="K21" s="164">
        <f>[6]Hist!U103</f>
        <v>91</v>
      </c>
      <c r="L21" s="164">
        <f>[6]Hist!V103</f>
        <v>61</v>
      </c>
      <c r="M21" s="133">
        <f t="shared" si="8"/>
        <v>4429</v>
      </c>
      <c r="N21" s="164">
        <f>[6]Hist!AA103</f>
        <v>218</v>
      </c>
      <c r="O21" s="133">
        <f t="shared" si="9"/>
        <v>4059</v>
      </c>
      <c r="P21" s="374">
        <f>[4]Data!$I86</f>
        <v>1065403</v>
      </c>
      <c r="U21" s="132">
        <f t="shared" si="1"/>
        <v>1065403</v>
      </c>
      <c r="V21" s="132"/>
      <c r="W21" s="132">
        <f t="shared" si="2"/>
        <v>39179</v>
      </c>
      <c r="X21" s="146">
        <f>[5]Mar!L16</f>
        <v>44</v>
      </c>
      <c r="Y21" s="1025">
        <f>[5]Mar!J16</f>
        <v>42.3</v>
      </c>
      <c r="Z21" s="345">
        <f>[5]Mar!K16</f>
        <v>47.6</v>
      </c>
      <c r="AA21" s="339">
        <f>[5]Mar!$M16</f>
        <v>41.6</v>
      </c>
      <c r="AC21" s="1151">
        <f t="shared" si="3"/>
        <v>1988</v>
      </c>
      <c r="AD21" s="1152">
        <f t="shared" si="4"/>
        <v>4059</v>
      </c>
      <c r="AE21" s="1153">
        <f t="shared" si="5"/>
        <v>1065403</v>
      </c>
      <c r="AF21" s="1154">
        <f t="shared" si="10"/>
        <v>42.3</v>
      </c>
      <c r="AG21" s="1155">
        <v>0</v>
      </c>
      <c r="AH21" s="1151">
        <v>0</v>
      </c>
      <c r="AI21" s="1154"/>
      <c r="AJ21" s="1155">
        <f t="shared" si="11"/>
        <v>3842</v>
      </c>
      <c r="AK21" s="1155">
        <f t="shared" si="6"/>
        <v>217</v>
      </c>
      <c r="AL21" s="1155"/>
      <c r="AM21" s="1155"/>
      <c r="AN21" s="1156"/>
      <c r="AO21" s="1166"/>
      <c r="AP21" s="1158">
        <f t="shared" si="12"/>
        <v>930</v>
      </c>
      <c r="AX21"/>
      <c r="AZ21" s="124">
        <f t="shared" si="19"/>
        <v>1988</v>
      </c>
      <c r="BA21">
        <f t="shared" si="13"/>
        <v>3829</v>
      </c>
      <c r="BB21" s="102">
        <f t="shared" si="14"/>
        <v>4059</v>
      </c>
      <c r="BC21" s="102">
        <f t="shared" si="15"/>
        <v>-230</v>
      </c>
      <c r="BD21" s="471">
        <f t="shared" si="16"/>
        <v>3842</v>
      </c>
      <c r="BE21" s="464">
        <f t="shared" si="17"/>
        <v>-13</v>
      </c>
      <c r="BF21" s="102">
        <f t="shared" si="18"/>
        <v>-217</v>
      </c>
      <c r="BG21" s="102"/>
    </row>
    <row r="22" spans="1:59">
      <c r="A22" s="123">
        <v>1989</v>
      </c>
      <c r="B22" s="623">
        <v>32576</v>
      </c>
      <c r="C22" s="624">
        <v>20</v>
      </c>
      <c r="D22" s="346" t="str">
        <f t="shared" si="0"/>
        <v>Thu</v>
      </c>
      <c r="E22" s="134">
        <f>[6]Hist!G115</f>
        <v>5009</v>
      </c>
      <c r="F22" s="134">
        <f>[6]Hist!H115</f>
        <v>4624</v>
      </c>
      <c r="G22" s="164">
        <f>SUM([6]Hist!M115:O115)</f>
        <v>50</v>
      </c>
      <c r="H22" s="164">
        <f>[6]Hist!L115</f>
        <v>0</v>
      </c>
      <c r="I22" s="164">
        <f>[6]Hist!P115</f>
        <v>0</v>
      </c>
      <c r="J22" s="133">
        <f t="shared" si="7"/>
        <v>4674</v>
      </c>
      <c r="K22" s="164">
        <f>[6]Hist!U115</f>
        <v>96</v>
      </c>
      <c r="L22" s="164">
        <f>[6]Hist!V115</f>
        <v>66</v>
      </c>
      <c r="M22" s="133">
        <f t="shared" si="8"/>
        <v>4770</v>
      </c>
      <c r="N22" s="164">
        <f>[6]Hist!AA115</f>
        <v>251</v>
      </c>
      <c r="O22" s="133">
        <f t="shared" si="9"/>
        <v>4357</v>
      </c>
      <c r="P22" s="374">
        <f>[4]Data!$I87</f>
        <v>1104068</v>
      </c>
      <c r="U22" s="132">
        <f t="shared" si="1"/>
        <v>1104068</v>
      </c>
      <c r="V22" s="132"/>
      <c r="W22" s="132">
        <f t="shared" si="2"/>
        <v>38665</v>
      </c>
      <c r="X22" s="146">
        <f>[5]Mar!L17</f>
        <v>46.4</v>
      </c>
      <c r="Y22" s="345">
        <f>[5]Mar!J17</f>
        <v>46.3</v>
      </c>
      <c r="Z22" s="345">
        <f>[5]Mar!K17</f>
        <v>46.7</v>
      </c>
      <c r="AA22" s="339">
        <f>[5]Mar!$M17</f>
        <v>48.9</v>
      </c>
      <c r="AC22" s="1151">
        <f t="shared" si="3"/>
        <v>1989</v>
      </c>
      <c r="AD22" s="1152">
        <f t="shared" si="4"/>
        <v>4357</v>
      </c>
      <c r="AE22" s="1153">
        <f t="shared" si="5"/>
        <v>1104068</v>
      </c>
      <c r="AF22" s="1154">
        <f t="shared" si="10"/>
        <v>46.3</v>
      </c>
      <c r="AG22" s="1155">
        <v>1</v>
      </c>
      <c r="AH22" s="1151">
        <v>0</v>
      </c>
      <c r="AI22" s="1154"/>
      <c r="AJ22" s="1155">
        <f t="shared" si="11"/>
        <v>4429</v>
      </c>
      <c r="AK22" s="1155">
        <f t="shared" si="6"/>
        <v>-72</v>
      </c>
      <c r="AL22" s="1155"/>
      <c r="AM22" s="1155"/>
      <c r="AN22" s="1156"/>
      <c r="AO22" s="1157"/>
      <c r="AP22" s="1158">
        <f t="shared" si="12"/>
        <v>298</v>
      </c>
      <c r="AX22"/>
      <c r="AZ22" s="124">
        <f t="shared" si="19"/>
        <v>1989</v>
      </c>
      <c r="BA22">
        <f t="shared" si="13"/>
        <v>4526</v>
      </c>
      <c r="BB22" s="102">
        <f t="shared" si="14"/>
        <v>4357</v>
      </c>
      <c r="BC22" s="102">
        <f t="shared" si="15"/>
        <v>169</v>
      </c>
      <c r="BD22" s="471">
        <f t="shared" si="16"/>
        <v>4429</v>
      </c>
      <c r="BE22" s="464">
        <f t="shared" si="17"/>
        <v>97</v>
      </c>
      <c r="BF22" s="102">
        <f t="shared" si="18"/>
        <v>72</v>
      </c>
      <c r="BG22" s="102"/>
    </row>
    <row r="23" spans="1:59">
      <c r="A23" s="123">
        <v>1990</v>
      </c>
      <c r="B23" s="623">
        <v>32948</v>
      </c>
      <c r="C23" s="624">
        <v>17</v>
      </c>
      <c r="D23" s="346" t="str">
        <f t="shared" si="0"/>
        <v>Fri</v>
      </c>
      <c r="E23" s="133">
        <f>[7]MoCoinMW!F7</f>
        <v>3806</v>
      </c>
      <c r="F23" s="133">
        <f>[7]MoCoinMW!G7</f>
        <v>3592.0267643297293</v>
      </c>
      <c r="G23" s="164">
        <f>SUM([6]Hist!M127:O127)</f>
        <v>0</v>
      </c>
      <c r="H23" s="164">
        <f>[6]Hist!L127</f>
        <v>0</v>
      </c>
      <c r="I23" s="164">
        <f>[6]Hist!P127</f>
        <v>0</v>
      </c>
      <c r="J23" s="133">
        <f t="shared" si="7"/>
        <v>3592.0267643297293</v>
      </c>
      <c r="K23" s="164">
        <f>[6]Hist!U127</f>
        <v>101</v>
      </c>
      <c r="L23" s="164">
        <f>[6]Hist!V127</f>
        <v>66</v>
      </c>
      <c r="M23" s="133">
        <f t="shared" si="8"/>
        <v>3693.0267643297293</v>
      </c>
      <c r="N23" s="164">
        <f>[6]Hist!AA127</f>
        <v>317</v>
      </c>
      <c r="O23" s="133">
        <f t="shared" si="9"/>
        <v>3209.0267643297293</v>
      </c>
      <c r="P23" s="374">
        <f>[4]Data!$I88</f>
        <v>1142397</v>
      </c>
      <c r="U23" s="132">
        <f t="shared" si="1"/>
        <v>1142397</v>
      </c>
      <c r="V23" s="132"/>
      <c r="W23" s="132">
        <f t="shared" si="2"/>
        <v>38329</v>
      </c>
      <c r="X23" s="176">
        <f>[5]Mar!L18</f>
        <v>81.3</v>
      </c>
      <c r="Y23" s="345">
        <f>[5]Mar!J18</f>
        <v>83.9</v>
      </c>
      <c r="Z23" s="345">
        <f>[5]Mar!K18</f>
        <v>76.2</v>
      </c>
      <c r="AA23" s="339">
        <f>[5]Mar!$M18</f>
        <v>84.2</v>
      </c>
      <c r="AC23" s="1151">
        <f t="shared" si="3"/>
        <v>1990</v>
      </c>
      <c r="AD23" s="1152">
        <f t="shared" si="4"/>
        <v>3209.0267643297293</v>
      </c>
      <c r="AE23" s="1153">
        <f t="shared" si="5"/>
        <v>1142397</v>
      </c>
      <c r="AF23" s="1154">
        <f t="shared" si="10"/>
        <v>83.9</v>
      </c>
      <c r="AG23" s="1155">
        <v>1</v>
      </c>
      <c r="AH23" s="1151">
        <v>0</v>
      </c>
      <c r="AI23" s="1154"/>
      <c r="AJ23" s="1155">
        <f t="shared" si="11"/>
        <v>3546</v>
      </c>
      <c r="AK23" s="1155">
        <f t="shared" si="6"/>
        <v>-336.9732356702707</v>
      </c>
      <c r="AL23" s="1155"/>
      <c r="AM23" s="1155"/>
      <c r="AN23" s="1156"/>
      <c r="AO23" s="1157"/>
      <c r="AP23" s="1158">
        <f t="shared" si="12"/>
        <v>-1147.9732356702707</v>
      </c>
      <c r="AX23"/>
      <c r="AZ23" s="124">
        <f t="shared" si="19"/>
        <v>1990</v>
      </c>
      <c r="BA23">
        <f t="shared" si="13"/>
        <v>4690</v>
      </c>
      <c r="BB23" s="102">
        <f t="shared" si="14"/>
        <v>3209.0267643297293</v>
      </c>
      <c r="BC23" s="102">
        <f t="shared" si="15"/>
        <v>1480.9732356702707</v>
      </c>
      <c r="BD23" s="471">
        <f t="shared" si="16"/>
        <v>3546</v>
      </c>
      <c r="BE23" s="464">
        <f t="shared" si="17"/>
        <v>1144</v>
      </c>
      <c r="BF23" s="102">
        <f t="shared" si="18"/>
        <v>336.9732356702707</v>
      </c>
      <c r="BG23" s="102"/>
    </row>
    <row r="24" spans="1:59">
      <c r="A24" s="123">
        <v>1991</v>
      </c>
      <c r="B24" s="130">
        <v>33308</v>
      </c>
      <c r="C24" s="123">
        <v>8</v>
      </c>
      <c r="D24" s="346" t="str">
        <f t="shared" si="0"/>
        <v>Mon</v>
      </c>
      <c r="E24" s="133">
        <f>[7]MoCoinMW!F19</f>
        <v>5157</v>
      </c>
      <c r="F24" s="133">
        <f>[7]MoCoinMW!G19</f>
        <v>4540.2410301127775</v>
      </c>
      <c r="G24" s="164">
        <f>SUM([6]Hist!M139:O139)</f>
        <v>0</v>
      </c>
      <c r="H24" s="164">
        <f>[6]Hist!L139</f>
        <v>0</v>
      </c>
      <c r="I24" s="164">
        <f>[6]Hist!P139</f>
        <v>0</v>
      </c>
      <c r="J24" s="133">
        <f t="shared" si="7"/>
        <v>4540.2410301127775</v>
      </c>
      <c r="K24" s="164">
        <f>[6]Hist!U139</f>
        <v>104</v>
      </c>
      <c r="L24" s="164">
        <f>[6]Hist!V139</f>
        <v>65.5</v>
      </c>
      <c r="M24" s="133">
        <f t="shared" si="8"/>
        <v>4644.2410301127775</v>
      </c>
      <c r="N24" s="164">
        <f>[6]Hist!AA139</f>
        <v>202</v>
      </c>
      <c r="O24" s="133">
        <f t="shared" si="9"/>
        <v>4272.7410301127775</v>
      </c>
      <c r="P24" s="374">
        <f>[4]Data!$I89</f>
        <v>1169437</v>
      </c>
      <c r="U24" s="132">
        <f t="shared" si="1"/>
        <v>1169437</v>
      </c>
      <c r="V24" s="132"/>
      <c r="W24" s="132">
        <f t="shared" si="2"/>
        <v>27040</v>
      </c>
      <c r="X24" s="146">
        <f>[5]Mar!L19</f>
        <v>47.6</v>
      </c>
      <c r="Y24" s="1025">
        <f>[5]Mar!J19</f>
        <v>45.3</v>
      </c>
      <c r="Z24" s="345">
        <f>[5]Mar!K19</f>
        <v>52.5</v>
      </c>
      <c r="AA24" s="339">
        <f>[5]Mar!$M19</f>
        <v>43.7</v>
      </c>
      <c r="AC24" s="1151">
        <f t="shared" si="3"/>
        <v>1991</v>
      </c>
      <c r="AD24" s="1152">
        <f t="shared" si="4"/>
        <v>4272.7410301127775</v>
      </c>
      <c r="AE24" s="1153">
        <f t="shared" si="5"/>
        <v>1169437</v>
      </c>
      <c r="AF24" s="1154">
        <f t="shared" si="10"/>
        <v>45.3</v>
      </c>
      <c r="AG24" s="1155">
        <v>0</v>
      </c>
      <c r="AH24" s="1167">
        <v>1</v>
      </c>
      <c r="AI24" s="1154"/>
      <c r="AJ24" s="1155">
        <f t="shared" si="11"/>
        <v>4716</v>
      </c>
      <c r="AK24" s="1155">
        <f t="shared" si="6"/>
        <v>-443.25896988722252</v>
      </c>
      <c r="AL24" s="1155"/>
      <c r="AM24" s="1155"/>
      <c r="AN24" s="1156"/>
      <c r="AO24" s="1168"/>
      <c r="AP24" s="1158">
        <f t="shared" si="12"/>
        <v>1063.7142657830482</v>
      </c>
      <c r="AX24" s="28"/>
      <c r="AZ24" s="124">
        <f t="shared" si="19"/>
        <v>1991</v>
      </c>
      <c r="BA24">
        <f t="shared" si="13"/>
        <v>4785</v>
      </c>
      <c r="BB24" s="102">
        <f t="shared" si="14"/>
        <v>4272.7410301127775</v>
      </c>
      <c r="BC24" s="102">
        <f t="shared" si="15"/>
        <v>512.25896988722252</v>
      </c>
      <c r="BD24" s="471">
        <f t="shared" si="16"/>
        <v>4716</v>
      </c>
      <c r="BE24" s="464">
        <f t="shared" si="17"/>
        <v>69</v>
      </c>
      <c r="BF24" s="102">
        <f t="shared" si="18"/>
        <v>443.25896988722252</v>
      </c>
      <c r="BG24" s="102"/>
    </row>
    <row r="25" spans="1:59">
      <c r="A25" s="123">
        <v>1992</v>
      </c>
      <c r="B25" s="130">
        <v>33675</v>
      </c>
      <c r="C25" s="123">
        <v>9</v>
      </c>
      <c r="D25" s="346" t="str">
        <f t="shared" si="0"/>
        <v>Thu</v>
      </c>
      <c r="E25" s="133">
        <f>[7]MoCoinMW!F31</f>
        <v>4653</v>
      </c>
      <c r="F25" s="133">
        <f>[7]MoCoinMW!G31</f>
        <v>4227.4159493522666</v>
      </c>
      <c r="G25" s="164">
        <f>SUM([6]Hist!M151:O151)</f>
        <v>176</v>
      </c>
      <c r="H25" s="164">
        <f>[6]Hist!L151</f>
        <v>0</v>
      </c>
      <c r="I25" s="164">
        <f>[6]Hist!P151</f>
        <v>0</v>
      </c>
      <c r="J25" s="133">
        <f t="shared" si="7"/>
        <v>4403.4159493522666</v>
      </c>
      <c r="K25" s="164">
        <f>[6]Hist!U151</f>
        <v>112</v>
      </c>
      <c r="L25" s="164">
        <f>[6]Hist!V151</f>
        <v>65.5</v>
      </c>
      <c r="M25" s="133">
        <f t="shared" si="8"/>
        <v>4515.4159493522666</v>
      </c>
      <c r="N25" s="164">
        <f>[6]Hist!AA151</f>
        <v>209</v>
      </c>
      <c r="O25" s="133">
        <f t="shared" si="9"/>
        <v>4128.9159493522666</v>
      </c>
      <c r="P25" s="374">
        <f>[4]Data!$I90</f>
        <v>1190780</v>
      </c>
      <c r="U25" s="132">
        <f t="shared" si="1"/>
        <v>1190780</v>
      </c>
      <c r="V25" s="132"/>
      <c r="W25" s="132">
        <f t="shared" si="2"/>
        <v>21343</v>
      </c>
      <c r="X25" s="146">
        <f>[5]Mar!L20</f>
        <v>48.8</v>
      </c>
      <c r="Y25" s="1025">
        <f>[5]Mar!J20</f>
        <v>47.8</v>
      </c>
      <c r="Z25" s="345">
        <f>[5]Mar!K20</f>
        <v>50.9</v>
      </c>
      <c r="AA25" s="339">
        <f>[5]Mar!$M20</f>
        <v>47</v>
      </c>
      <c r="AC25" s="1151">
        <f t="shared" si="3"/>
        <v>1992</v>
      </c>
      <c r="AD25" s="1152">
        <f t="shared" si="4"/>
        <v>4128.9159493522666</v>
      </c>
      <c r="AE25" s="1153">
        <f t="shared" si="5"/>
        <v>1190780</v>
      </c>
      <c r="AF25" s="1154">
        <f t="shared" si="10"/>
        <v>47.8</v>
      </c>
      <c r="AG25" s="1155">
        <v>0</v>
      </c>
      <c r="AH25" s="1151">
        <v>0</v>
      </c>
      <c r="AI25" s="1154"/>
      <c r="AJ25" s="1155">
        <f t="shared" si="11"/>
        <v>4224</v>
      </c>
      <c r="AK25" s="1155">
        <f t="shared" si="6"/>
        <v>-95.08405064773342</v>
      </c>
      <c r="AL25" s="1155"/>
      <c r="AM25" s="1155"/>
      <c r="AN25" s="1156"/>
      <c r="AO25" s="1166"/>
      <c r="AP25" s="1158">
        <f t="shared" si="12"/>
        <v>-143.8250807605109</v>
      </c>
      <c r="AX25" s="28"/>
      <c r="AZ25" s="124">
        <f t="shared" si="19"/>
        <v>1992</v>
      </c>
      <c r="BA25">
        <f t="shared" si="13"/>
        <v>4363</v>
      </c>
      <c r="BB25" s="102">
        <f t="shared" si="14"/>
        <v>4128.9159493522666</v>
      </c>
      <c r="BC25" s="102">
        <f t="shared" si="15"/>
        <v>234.08405064773342</v>
      </c>
      <c r="BD25" s="471">
        <f t="shared" si="16"/>
        <v>4224</v>
      </c>
      <c r="BE25" s="464">
        <f t="shared" si="17"/>
        <v>139</v>
      </c>
      <c r="BF25" s="102">
        <f t="shared" si="18"/>
        <v>95.08405064773342</v>
      </c>
      <c r="BG25" s="102"/>
    </row>
    <row r="26" spans="1:59">
      <c r="A26" s="123">
        <v>1993</v>
      </c>
      <c r="B26" s="130">
        <v>34043</v>
      </c>
      <c r="C26" s="123">
        <v>7</v>
      </c>
      <c r="D26" s="346" t="str">
        <f t="shared" si="0"/>
        <v>Mon</v>
      </c>
      <c r="E26" s="133">
        <f>[7]MoCoinMW!F43</f>
        <v>6219</v>
      </c>
      <c r="F26" s="133">
        <f>[7]MoCoinMW!G43</f>
        <v>5367.9674395613647</v>
      </c>
      <c r="G26" s="164">
        <f>SUM([6]Hist!M163:O163)</f>
        <v>107</v>
      </c>
      <c r="H26" s="164">
        <f>[6]Hist!L163</f>
        <v>0</v>
      </c>
      <c r="I26" s="164">
        <f>[6]Hist!P163</f>
        <v>675</v>
      </c>
      <c r="J26" s="133">
        <f t="shared" si="7"/>
        <v>6149.9674395613647</v>
      </c>
      <c r="K26" s="164">
        <f>[6]Hist!U163</f>
        <v>124</v>
      </c>
      <c r="L26" s="164">
        <f>[6]Hist!V163</f>
        <v>65.5</v>
      </c>
      <c r="M26" s="133">
        <f t="shared" si="8"/>
        <v>6273.9674395613647</v>
      </c>
      <c r="N26" s="164">
        <f>[6]Hist!AA163</f>
        <v>155</v>
      </c>
      <c r="O26" s="133">
        <f t="shared" si="9"/>
        <v>5929.4674395613647</v>
      </c>
      <c r="P26" s="374">
        <f>[4]Data!$I91</f>
        <v>1216145</v>
      </c>
      <c r="U26" s="132">
        <f t="shared" si="1"/>
        <v>1216145</v>
      </c>
      <c r="V26" s="132"/>
      <c r="W26" s="132">
        <f t="shared" si="2"/>
        <v>25365</v>
      </c>
      <c r="X26" s="146">
        <f>[5]Mar!L21</f>
        <v>37.1</v>
      </c>
      <c r="Y26" s="1025">
        <f>[5]Mar!J21</f>
        <v>34.9</v>
      </c>
      <c r="Z26" s="345">
        <f>[5]Mar!K21</f>
        <v>41.7</v>
      </c>
      <c r="AA26" s="339">
        <f>[5]Mar!$M21</f>
        <v>35.299999999999997</v>
      </c>
      <c r="AC26" s="1151">
        <f t="shared" si="3"/>
        <v>1993</v>
      </c>
      <c r="AD26" s="1152">
        <f t="shared" si="4"/>
        <v>5929.4674395613647</v>
      </c>
      <c r="AE26" s="1153">
        <f t="shared" si="5"/>
        <v>1216145</v>
      </c>
      <c r="AF26" s="1154">
        <f t="shared" si="10"/>
        <v>34.9</v>
      </c>
      <c r="AG26" s="1155">
        <v>0</v>
      </c>
      <c r="AH26" s="1167">
        <v>1</v>
      </c>
      <c r="AI26" s="1154"/>
      <c r="AJ26" s="1155">
        <f t="shared" si="11"/>
        <v>5204</v>
      </c>
      <c r="AK26" s="1155">
        <f t="shared" si="6"/>
        <v>725.4674395613647</v>
      </c>
      <c r="AL26" s="1155"/>
      <c r="AM26" s="1155"/>
      <c r="AN26" s="1156"/>
      <c r="AO26" s="1166"/>
      <c r="AP26" s="1158">
        <f t="shared" si="12"/>
        <v>1800.5514902090981</v>
      </c>
      <c r="AQ26" s="271"/>
      <c r="AR26" s="271"/>
      <c r="AS26" s="266"/>
      <c r="AT26" s="266"/>
      <c r="AU26" s="266"/>
      <c r="AV26" s="28"/>
      <c r="AW26" s="28"/>
      <c r="AX26" s="28"/>
      <c r="AZ26" s="124">
        <f t="shared" si="19"/>
        <v>1993</v>
      </c>
      <c r="BA26">
        <f t="shared" si="13"/>
        <v>4984</v>
      </c>
      <c r="BB26" s="102">
        <f t="shared" si="14"/>
        <v>5929.4674395613647</v>
      </c>
      <c r="BC26" s="102">
        <f t="shared" si="15"/>
        <v>-945.4674395613647</v>
      </c>
      <c r="BD26" s="471">
        <f t="shared" si="16"/>
        <v>5204</v>
      </c>
      <c r="BE26" s="464">
        <f t="shared" si="17"/>
        <v>-220</v>
      </c>
      <c r="BF26" s="102">
        <f t="shared" si="18"/>
        <v>-725.4674395613647</v>
      </c>
      <c r="BG26" s="102"/>
    </row>
    <row r="27" spans="1:59">
      <c r="A27" s="123">
        <v>1994</v>
      </c>
      <c r="B27" s="623">
        <v>34421</v>
      </c>
      <c r="C27" s="624">
        <v>17</v>
      </c>
      <c r="D27" s="346" t="str">
        <f t="shared" si="0"/>
        <v>Mon</v>
      </c>
      <c r="E27" s="133">
        <f>[7]MoCoinMW!F55</f>
        <v>5159</v>
      </c>
      <c r="F27" s="133">
        <f>[7]MoCoinMW!G55</f>
        <v>4726.524355851755</v>
      </c>
      <c r="G27" s="164">
        <f>SUM([6]Hist!M175:O175)</f>
        <v>0</v>
      </c>
      <c r="H27" s="164">
        <f>[6]Hist!L175</f>
        <v>0</v>
      </c>
      <c r="I27" s="164">
        <f>[6]Hist!P175</f>
        <v>0</v>
      </c>
      <c r="J27" s="133">
        <f t="shared" si="7"/>
        <v>4726.524355851755</v>
      </c>
      <c r="K27" s="164">
        <f>[6]Hist!U175</f>
        <v>144</v>
      </c>
      <c r="L27" s="164">
        <f>[6]Hist!V175</f>
        <v>65.5</v>
      </c>
      <c r="M27" s="133">
        <f t="shared" si="8"/>
        <v>4870.524355851755</v>
      </c>
      <c r="N27" s="164">
        <f>[6]Hist!AA175</f>
        <v>271</v>
      </c>
      <c r="O27" s="133">
        <f t="shared" si="9"/>
        <v>4390.024355851755</v>
      </c>
      <c r="P27" s="374">
        <f>[4]Data!$I92</f>
        <v>1255150</v>
      </c>
      <c r="U27" s="132">
        <f t="shared" si="1"/>
        <v>1255150</v>
      </c>
      <c r="W27" s="132">
        <f t="shared" ref="W27:W58" si="20">U27-U26</f>
        <v>39005</v>
      </c>
      <c r="X27" s="176">
        <f>[5]Mar!L22</f>
        <v>82.2</v>
      </c>
      <c r="Y27" s="345">
        <f>[5]Mar!J22</f>
        <v>83.4</v>
      </c>
      <c r="Z27" s="345">
        <f>[5]Mar!K22</f>
        <v>79.8</v>
      </c>
      <c r="AA27" s="339">
        <f>[5]Mar!$M22</f>
        <v>85.2</v>
      </c>
      <c r="AC27" s="1151">
        <f t="shared" si="3"/>
        <v>1994</v>
      </c>
      <c r="AD27" s="1152">
        <f t="shared" si="4"/>
        <v>4390.024355851755</v>
      </c>
      <c r="AE27" s="1153">
        <f t="shared" si="5"/>
        <v>1255150</v>
      </c>
      <c r="AF27" s="1154">
        <f t="shared" si="10"/>
        <v>83.4</v>
      </c>
      <c r="AG27" s="1155">
        <v>1</v>
      </c>
      <c r="AH27" s="1151">
        <v>0</v>
      </c>
      <c r="AI27" s="1154"/>
      <c r="AJ27" s="1155">
        <f t="shared" si="11"/>
        <v>4041</v>
      </c>
      <c r="AK27" s="1155">
        <f t="shared" si="6"/>
        <v>349.02435585175499</v>
      </c>
      <c r="AL27" s="1155"/>
      <c r="AM27" s="1155"/>
      <c r="AN27" s="1156"/>
      <c r="AO27" s="1166"/>
      <c r="AP27" s="1158">
        <f t="shared" si="12"/>
        <v>-1539.4430837096097</v>
      </c>
      <c r="AQ27" s="272"/>
      <c r="AR27" s="273"/>
      <c r="AS27" s="274"/>
      <c r="AT27" s="273"/>
      <c r="AU27" s="267"/>
      <c r="AV27" s="28"/>
      <c r="AW27" s="28"/>
      <c r="AX27" s="28"/>
      <c r="AZ27" s="124">
        <f t="shared" si="19"/>
        <v>1994</v>
      </c>
      <c r="BA27">
        <f t="shared" si="13"/>
        <v>5171</v>
      </c>
      <c r="BB27" s="102">
        <f t="shared" si="14"/>
        <v>4390.024355851755</v>
      </c>
      <c r="BC27" s="102">
        <f t="shared" si="15"/>
        <v>780.97564414824501</v>
      </c>
      <c r="BD27" s="471">
        <f t="shared" si="16"/>
        <v>4041</v>
      </c>
      <c r="BE27" s="464">
        <f t="shared" si="17"/>
        <v>1130</v>
      </c>
      <c r="BF27" s="102">
        <f t="shared" si="18"/>
        <v>-349.02435585175499</v>
      </c>
      <c r="BG27" s="102"/>
    </row>
    <row r="28" spans="1:59">
      <c r="A28" s="123">
        <v>1995</v>
      </c>
      <c r="B28" s="130">
        <v>34768</v>
      </c>
      <c r="C28" s="123">
        <v>8</v>
      </c>
      <c r="D28" s="346" t="str">
        <f t="shared" si="0"/>
        <v>Fri</v>
      </c>
      <c r="E28" s="133">
        <f>[7]MoCoinMW!F67</f>
        <v>5064</v>
      </c>
      <c r="F28" s="133">
        <f>[7]MoCoinMW!G67</f>
        <v>4537.923034443199</v>
      </c>
      <c r="G28" s="164">
        <f>SUM([6]Hist!M187:O187)</f>
        <v>0</v>
      </c>
      <c r="H28" s="164">
        <f>[6]Hist!L187</f>
        <v>0</v>
      </c>
      <c r="I28" s="164">
        <f>[6]Hist!P187</f>
        <v>0</v>
      </c>
      <c r="J28" s="133">
        <f t="shared" si="7"/>
        <v>4537.923034443199</v>
      </c>
      <c r="K28" s="164">
        <f>[6]Hist!U187</f>
        <v>161</v>
      </c>
      <c r="L28" s="164">
        <f>[6]Hist!V187</f>
        <v>65.5</v>
      </c>
      <c r="M28" s="133">
        <f t="shared" si="8"/>
        <v>4698.923034443199</v>
      </c>
      <c r="N28" s="164">
        <f>[6]Hist!AA187</f>
        <v>300</v>
      </c>
      <c r="O28" s="133">
        <f t="shared" si="9"/>
        <v>4172.423034443199</v>
      </c>
      <c r="P28" s="814">
        <f>'[12]1996'!$K$106-[4]Data!$G$93</f>
        <v>1272893</v>
      </c>
      <c r="U28" s="132">
        <f t="shared" si="1"/>
        <v>1272893</v>
      </c>
      <c r="W28" s="132">
        <f t="shared" si="20"/>
        <v>17743</v>
      </c>
      <c r="X28" s="146">
        <f>[5]Mar!L23</f>
        <v>49.5</v>
      </c>
      <c r="Y28" s="1025">
        <f>[5]Mar!J23</f>
        <v>47.7</v>
      </c>
      <c r="Z28" s="345">
        <f>[5]Mar!K23</f>
        <v>53.2</v>
      </c>
      <c r="AA28" s="339">
        <f>[5]Mar!$M23</f>
        <v>47.2</v>
      </c>
      <c r="AC28" s="1151">
        <f t="shared" si="3"/>
        <v>1995</v>
      </c>
      <c r="AD28" s="1152">
        <f t="shared" si="4"/>
        <v>4172.423034443199</v>
      </c>
      <c r="AE28" s="1153">
        <f t="shared" si="5"/>
        <v>1272893</v>
      </c>
      <c r="AF28" s="1154">
        <f t="shared" si="10"/>
        <v>47.7</v>
      </c>
      <c r="AG28" s="1155">
        <v>0</v>
      </c>
      <c r="AH28" s="1151">
        <v>0</v>
      </c>
      <c r="AI28" s="1154"/>
      <c r="AJ28" s="1155">
        <f t="shared" si="11"/>
        <v>4577</v>
      </c>
      <c r="AK28" s="1155">
        <f t="shared" si="6"/>
        <v>-404.57696555680104</v>
      </c>
      <c r="AL28" s="1155"/>
      <c r="AM28" s="1155"/>
      <c r="AN28" s="1156"/>
      <c r="AO28" s="1157"/>
      <c r="AP28" s="1158">
        <f t="shared" si="12"/>
        <v>-217.60132140855603</v>
      </c>
      <c r="AQ28" s="275"/>
      <c r="AR28" s="268"/>
      <c r="AS28" s="276"/>
      <c r="AT28" s="268"/>
      <c r="AU28" s="268"/>
      <c r="AV28" s="28"/>
      <c r="AW28" s="28"/>
      <c r="AX28" s="28"/>
      <c r="AZ28" s="124">
        <f t="shared" si="19"/>
        <v>1995</v>
      </c>
      <c r="BA28">
        <f t="shared" si="13"/>
        <v>4714</v>
      </c>
      <c r="BB28" s="102">
        <f t="shared" si="14"/>
        <v>4172.423034443199</v>
      </c>
      <c r="BC28" s="102">
        <f t="shared" si="15"/>
        <v>541.57696555680104</v>
      </c>
      <c r="BD28" s="471">
        <f t="shared" si="16"/>
        <v>4577</v>
      </c>
      <c r="BE28" s="464">
        <f t="shared" si="17"/>
        <v>137</v>
      </c>
      <c r="BF28" s="102">
        <f t="shared" si="18"/>
        <v>404.57696555680104</v>
      </c>
      <c r="BG28" s="102"/>
    </row>
    <row r="29" spans="1:59">
      <c r="A29" s="123">
        <v>1996</v>
      </c>
      <c r="B29" s="130">
        <v>35133</v>
      </c>
      <c r="C29" s="123">
        <v>9</v>
      </c>
      <c r="D29" s="915" t="str">
        <f t="shared" si="0"/>
        <v>Sat</v>
      </c>
      <c r="E29" s="133">
        <f>[7]MoCoinMW!F79</f>
        <v>7246</v>
      </c>
      <c r="F29" s="133">
        <f>[7]MoCoinMW!G79</f>
        <v>6339.3845562641163</v>
      </c>
      <c r="G29" s="164">
        <f>SUM([6]Hist!M199:O199)</f>
        <v>0</v>
      </c>
      <c r="H29" s="164">
        <f>[6]Hist!L199</f>
        <v>0</v>
      </c>
      <c r="I29" s="164">
        <f>[6]Hist!P199</f>
        <v>0</v>
      </c>
      <c r="J29" s="133">
        <f t="shared" si="7"/>
        <v>6339.3845562641163</v>
      </c>
      <c r="K29" s="164">
        <f>[6]Hist!U199</f>
        <v>184</v>
      </c>
      <c r="L29" s="164">
        <f>[6]Hist!V199</f>
        <v>71.5</v>
      </c>
      <c r="M29" s="133">
        <f t="shared" si="8"/>
        <v>6523.3845562641163</v>
      </c>
      <c r="N29" s="164">
        <f>[6]Hist!AA199</f>
        <v>325</v>
      </c>
      <c r="O29" s="133">
        <f t="shared" si="9"/>
        <v>5942.8845562641163</v>
      </c>
      <c r="P29" s="814">
        <f>[8]FCST!$BE3</f>
        <v>1301306</v>
      </c>
      <c r="S29" s="677" t="s">
        <v>336</v>
      </c>
      <c r="U29" s="132">
        <f t="shared" si="1"/>
        <v>1301306</v>
      </c>
      <c r="W29" s="132">
        <f t="shared" si="20"/>
        <v>28413</v>
      </c>
      <c r="X29" s="146">
        <f>[5]Mar!L24</f>
        <v>38.700000000000003</v>
      </c>
      <c r="Y29" s="1025">
        <f>[5]Mar!J24</f>
        <v>36</v>
      </c>
      <c r="Z29" s="345">
        <f>[5]Mar!K24</f>
        <v>44.1</v>
      </c>
      <c r="AA29" s="339">
        <f>[5]Mar!$M24</f>
        <v>34.299999999999997</v>
      </c>
      <c r="AC29" s="1151">
        <f t="shared" si="3"/>
        <v>1996</v>
      </c>
      <c r="AD29" s="1152">
        <f t="shared" si="4"/>
        <v>5942.8845562641163</v>
      </c>
      <c r="AE29" s="1153">
        <f t="shared" si="5"/>
        <v>1301306</v>
      </c>
      <c r="AF29" s="1154">
        <f t="shared" si="10"/>
        <v>36</v>
      </c>
      <c r="AG29" s="1155">
        <v>0</v>
      </c>
      <c r="AH29" s="1167">
        <v>1</v>
      </c>
      <c r="AI29" s="1154"/>
      <c r="AJ29" s="1155">
        <f t="shared" si="11"/>
        <v>5537</v>
      </c>
      <c r="AK29" s="1155">
        <f t="shared" si="6"/>
        <v>405.88455626411633</v>
      </c>
      <c r="AL29" s="1155"/>
      <c r="AM29" s="1155"/>
      <c r="AN29" s="1156"/>
      <c r="AO29" s="1168"/>
      <c r="AP29" s="1158">
        <f t="shared" si="12"/>
        <v>1770.4615218209174</v>
      </c>
      <c r="AQ29" s="277"/>
      <c r="AR29" s="278"/>
      <c r="AS29" s="269"/>
      <c r="AT29" s="269"/>
      <c r="AU29" s="269"/>
      <c r="AV29" s="45"/>
      <c r="AW29" s="45"/>
      <c r="AX29" s="45"/>
      <c r="AZ29" s="124">
        <f t="shared" si="19"/>
        <v>1996</v>
      </c>
      <c r="BA29">
        <f t="shared" si="13"/>
        <v>5348</v>
      </c>
      <c r="BB29" s="102">
        <f t="shared" si="14"/>
        <v>5942.8845562641163</v>
      </c>
      <c r="BC29" s="102">
        <f t="shared" si="15"/>
        <v>-594.88455626411633</v>
      </c>
      <c r="BD29" s="471">
        <f t="shared" si="16"/>
        <v>5537</v>
      </c>
      <c r="BE29" s="464">
        <f t="shared" si="17"/>
        <v>-189</v>
      </c>
      <c r="BF29" s="102">
        <f t="shared" si="18"/>
        <v>-405.88455626411633</v>
      </c>
      <c r="BG29" s="102"/>
    </row>
    <row r="30" spans="1:59">
      <c r="A30" s="123">
        <v>1997</v>
      </c>
      <c r="B30" s="623">
        <v>35494</v>
      </c>
      <c r="C30" s="624">
        <v>17</v>
      </c>
      <c r="D30" s="346" t="str">
        <f t="shared" si="0"/>
        <v>Wed</v>
      </c>
      <c r="E30" s="133">
        <f>[7]MoCoinMW!F91</f>
        <v>5028</v>
      </c>
      <c r="F30" s="133">
        <f>[7]MoCoinMW!G91</f>
        <v>4817.6985740369946</v>
      </c>
      <c r="G30" s="164">
        <f>SUM([6]Hist!M211:O211)</f>
        <v>0</v>
      </c>
      <c r="H30" s="164">
        <f>[6]Hist!L211</f>
        <v>0</v>
      </c>
      <c r="I30" s="164">
        <f>[6]Hist!P211</f>
        <v>0</v>
      </c>
      <c r="J30" s="133">
        <f t="shared" si="7"/>
        <v>4817.6985740369946</v>
      </c>
      <c r="K30" s="164">
        <f>[6]Hist!U211</f>
        <v>207.5</v>
      </c>
      <c r="L30" s="164">
        <f>[6]Hist!V211</f>
        <v>71.5</v>
      </c>
      <c r="M30" s="133">
        <f t="shared" si="8"/>
        <v>5025.1985740369946</v>
      </c>
      <c r="N30" s="164">
        <f>[6]Hist!AA211</f>
        <v>343.8</v>
      </c>
      <c r="O30" s="133">
        <f t="shared" si="9"/>
        <v>4402.3985740369944</v>
      </c>
      <c r="P30" s="132">
        <f>[8]FCST!$BE4</f>
        <v>1328498</v>
      </c>
      <c r="S30" s="123">
        <f>[9]Sheet1!$R$9</f>
        <v>501</v>
      </c>
      <c r="U30" s="132">
        <f>P30-Q30+S30</f>
        <v>1328999</v>
      </c>
      <c r="W30" s="132">
        <f t="shared" si="20"/>
        <v>27693</v>
      </c>
      <c r="X30" s="176">
        <f>[5]Mar!L25</f>
        <v>80.400000000000006</v>
      </c>
      <c r="Y30" s="345">
        <f>[5]Mar!J25</f>
        <v>83.3</v>
      </c>
      <c r="Z30" s="345">
        <f>[5]Mar!K25</f>
        <v>74.599999999999994</v>
      </c>
      <c r="AA30" s="339">
        <f>[5]Mar!$M25</f>
        <v>83.5</v>
      </c>
      <c r="AC30" s="1151">
        <f t="shared" si="3"/>
        <v>1997</v>
      </c>
      <c r="AD30" s="1152">
        <f t="shared" si="4"/>
        <v>4402.3985740369944</v>
      </c>
      <c r="AE30" s="1153">
        <f t="shared" si="5"/>
        <v>1328999</v>
      </c>
      <c r="AF30" s="1154">
        <f t="shared" si="10"/>
        <v>83.3</v>
      </c>
      <c r="AG30" s="1155">
        <v>1</v>
      </c>
      <c r="AH30" s="1151">
        <v>0</v>
      </c>
      <c r="AI30" s="1154"/>
      <c r="AJ30" s="1155">
        <f t="shared" si="11"/>
        <v>4359</v>
      </c>
      <c r="AK30" s="1155">
        <f t="shared" si="6"/>
        <v>43.398574036994432</v>
      </c>
      <c r="AL30" s="1155"/>
      <c r="AM30" s="1155"/>
      <c r="AN30" s="1156"/>
      <c r="AO30" s="1166"/>
      <c r="AP30" s="1158">
        <f t="shared" si="12"/>
        <v>-1540.4859822271219</v>
      </c>
      <c r="AQ30" s="268"/>
      <c r="AR30" s="279"/>
      <c r="AS30" s="269"/>
      <c r="AT30" s="269"/>
      <c r="AU30" s="269"/>
      <c r="AV30" s="1"/>
      <c r="AW30" s="1"/>
      <c r="AX30" s="1"/>
      <c r="AZ30" s="124">
        <f t="shared" si="19"/>
        <v>1997</v>
      </c>
      <c r="BA30">
        <f t="shared" si="13"/>
        <v>5486</v>
      </c>
      <c r="BB30" s="102">
        <f t="shared" si="14"/>
        <v>4402.3985740369944</v>
      </c>
      <c r="BC30" s="102">
        <f t="shared" si="15"/>
        <v>1083.6014259630056</v>
      </c>
      <c r="BD30" s="471">
        <f t="shared" si="16"/>
        <v>4359</v>
      </c>
      <c r="BE30" s="464">
        <f t="shared" si="17"/>
        <v>1127</v>
      </c>
      <c r="BF30" s="102">
        <f t="shared" si="18"/>
        <v>-43.398574036994432</v>
      </c>
      <c r="BG30" s="102"/>
    </row>
    <row r="31" spans="1:59">
      <c r="A31" s="123">
        <v>1998</v>
      </c>
      <c r="B31" s="139">
        <v>35867</v>
      </c>
      <c r="C31" s="131">
        <v>8</v>
      </c>
      <c r="D31" s="346" t="str">
        <f t="shared" si="0"/>
        <v>Fri</v>
      </c>
      <c r="E31" s="133">
        <f>[7]MoCoinMW!F103</f>
        <v>6885</v>
      </c>
      <c r="F31" s="133">
        <f>[7]MoCoinMW!G103</f>
        <v>5945.1856784802858</v>
      </c>
      <c r="G31" s="164">
        <f>SUM([6]Hist!M223:O223)</f>
        <v>216</v>
      </c>
      <c r="H31" s="164">
        <f>[6]Hist!L223</f>
        <v>0</v>
      </c>
      <c r="I31" s="164">
        <f>[6]Hist!P223</f>
        <v>0</v>
      </c>
      <c r="J31" s="133">
        <f t="shared" si="7"/>
        <v>6161.1856784802858</v>
      </c>
      <c r="K31" s="164">
        <f>[6]Hist!U223</f>
        <v>251</v>
      </c>
      <c r="L31" s="164">
        <f>[6]Hist!V223</f>
        <v>75</v>
      </c>
      <c r="M31" s="133">
        <f t="shared" si="8"/>
        <v>6412.1856784802858</v>
      </c>
      <c r="N31" s="164">
        <f>'Interruptible Forecast'!AJ9</f>
        <v>346</v>
      </c>
      <c r="O31" s="133">
        <f t="shared" si="9"/>
        <v>5740.1856784802858</v>
      </c>
      <c r="P31" s="132">
        <f>[8]FCST!$BE5</f>
        <v>1346867</v>
      </c>
      <c r="S31" s="123">
        <f>[9]Sheet1!$R$21</f>
        <v>6508</v>
      </c>
      <c r="U31" s="132">
        <f t="shared" ref="U31:U39" si="21">P31-Q31+S$31</f>
        <v>1353375</v>
      </c>
      <c r="W31" s="132">
        <f t="shared" si="20"/>
        <v>24376</v>
      </c>
      <c r="X31" s="146">
        <f>[5]Mar!L26</f>
        <v>43.3</v>
      </c>
      <c r="Y31" s="1025">
        <f>[5]Mar!J26</f>
        <v>42</v>
      </c>
      <c r="Z31" s="345">
        <f>[5]Mar!K26</f>
        <v>45.9</v>
      </c>
      <c r="AA31" s="339">
        <f>[5]Mar!$M26</f>
        <v>40.5</v>
      </c>
      <c r="AC31" s="1151">
        <f t="shared" si="3"/>
        <v>1998</v>
      </c>
      <c r="AD31" s="1152">
        <f t="shared" si="4"/>
        <v>5740.1856784802858</v>
      </c>
      <c r="AE31" s="1153">
        <f t="shared" si="5"/>
        <v>1353375</v>
      </c>
      <c r="AF31" s="1154">
        <f t="shared" si="10"/>
        <v>42</v>
      </c>
      <c r="AG31" s="1155">
        <v>0</v>
      </c>
      <c r="AH31" s="1151">
        <v>0</v>
      </c>
      <c r="AI31" s="1154"/>
      <c r="AJ31" s="1155">
        <f t="shared" si="11"/>
        <v>5079</v>
      </c>
      <c r="AK31" s="1155">
        <f t="shared" si="6"/>
        <v>661.18567848028579</v>
      </c>
      <c r="AL31" s="1155"/>
      <c r="AM31" s="1155"/>
      <c r="AN31" s="1156"/>
      <c r="AO31" s="1166"/>
      <c r="AP31" s="1158">
        <f t="shared" si="12"/>
        <v>1337.7871044432914</v>
      </c>
      <c r="AQ31" s="279"/>
      <c r="AR31" s="279"/>
      <c r="AS31" s="269"/>
      <c r="AT31" s="269"/>
      <c r="AU31" s="269"/>
      <c r="AV31" s="1"/>
      <c r="AW31" s="1"/>
      <c r="AX31" s="1"/>
      <c r="AZ31" s="124">
        <f t="shared" si="19"/>
        <v>1998</v>
      </c>
      <c r="BA31">
        <f t="shared" si="13"/>
        <v>5057</v>
      </c>
      <c r="BB31" s="102">
        <f t="shared" si="14"/>
        <v>5740.1856784802858</v>
      </c>
      <c r="BC31" s="102">
        <f t="shared" si="15"/>
        <v>-683.18567848028579</v>
      </c>
      <c r="BD31" s="471">
        <f t="shared" si="16"/>
        <v>5079</v>
      </c>
      <c r="BE31" s="464">
        <f t="shared" si="17"/>
        <v>-22</v>
      </c>
      <c r="BF31" s="102">
        <f t="shared" si="18"/>
        <v>-661.18567848028579</v>
      </c>
      <c r="BG31" s="102"/>
    </row>
    <row r="32" spans="1:59">
      <c r="A32" s="123">
        <v>1999</v>
      </c>
      <c r="B32" s="139">
        <v>36224</v>
      </c>
      <c r="C32" s="123">
        <v>8</v>
      </c>
      <c r="D32" s="346" t="str">
        <f t="shared" si="0"/>
        <v>Fri</v>
      </c>
      <c r="E32" s="133">
        <f>[7]MoCoinMW!F115</f>
        <v>6311</v>
      </c>
      <c r="F32" s="133">
        <f>[7]MoCoinMW!G115</f>
        <v>5427.4789228649934</v>
      </c>
      <c r="G32" s="164">
        <f>SUM([6]Hist!M235:O235)</f>
        <v>0</v>
      </c>
      <c r="H32" s="164">
        <f>[6]Hist!L235</f>
        <v>0</v>
      </c>
      <c r="I32" s="164">
        <f>[6]Hist!P235</f>
        <v>0</v>
      </c>
      <c r="J32" s="133">
        <f t="shared" si="7"/>
        <v>5427.4789228649934</v>
      </c>
      <c r="K32" s="164">
        <f>[6]Hist!U235</f>
        <v>281</v>
      </c>
      <c r="L32" s="164">
        <f>[6]Hist!V235</f>
        <v>75</v>
      </c>
      <c r="M32" s="133">
        <f t="shared" si="8"/>
        <v>5708.4789228649934</v>
      </c>
      <c r="N32" s="164">
        <f>'Interruptible Forecast'!AJ10</f>
        <v>326</v>
      </c>
      <c r="O32" s="133">
        <f t="shared" si="9"/>
        <v>5026.4789228649934</v>
      </c>
      <c r="P32" s="132">
        <f>[8]FCST!$BE6</f>
        <v>1374112</v>
      </c>
      <c r="Q32" s="123">
        <v>2400</v>
      </c>
      <c r="U32" s="132">
        <f t="shared" si="21"/>
        <v>1378220</v>
      </c>
      <c r="W32" s="132">
        <f t="shared" si="20"/>
        <v>24845</v>
      </c>
      <c r="X32" s="145">
        <f>[5]Mar!L27</f>
        <v>48.7</v>
      </c>
      <c r="Y32" s="1025">
        <f>[5]Mar!J27</f>
        <v>46.8</v>
      </c>
      <c r="Z32" s="345">
        <f>[5]Mar!K27</f>
        <v>52.6</v>
      </c>
      <c r="AA32" s="339">
        <f>[5]Mar!$M27</f>
        <v>44.4</v>
      </c>
      <c r="AC32" s="1151">
        <f t="shared" si="3"/>
        <v>1999</v>
      </c>
      <c r="AD32" s="1152">
        <f t="shared" si="4"/>
        <v>5026.4789228649934</v>
      </c>
      <c r="AE32" s="1153">
        <f t="shared" si="5"/>
        <v>1378220</v>
      </c>
      <c r="AF32" s="1154">
        <f t="shared" si="10"/>
        <v>46.8</v>
      </c>
      <c r="AG32" s="1155">
        <v>0</v>
      </c>
      <c r="AH32" s="1151">
        <v>0</v>
      </c>
      <c r="AI32" s="1154"/>
      <c r="AJ32" s="1155">
        <f t="shared" si="11"/>
        <v>5052</v>
      </c>
      <c r="AK32" s="1155">
        <f t="shared" si="6"/>
        <v>-25.521077135006635</v>
      </c>
      <c r="AL32" s="1155"/>
      <c r="AM32" s="1155"/>
      <c r="AN32" s="1155"/>
      <c r="AO32" s="1166"/>
      <c r="AP32" s="1158">
        <f t="shared" si="12"/>
        <v>-713.70675561529242</v>
      </c>
      <c r="AQ32" s="270"/>
      <c r="AR32" s="270"/>
      <c r="AS32" s="270"/>
      <c r="AT32" s="270"/>
      <c r="AU32" s="270"/>
      <c r="AV32" s="1"/>
      <c r="AW32" s="1"/>
      <c r="AX32" s="1"/>
      <c r="AZ32" s="124">
        <f t="shared" si="19"/>
        <v>1999</v>
      </c>
      <c r="BA32">
        <f t="shared" si="13"/>
        <v>5163</v>
      </c>
      <c r="BB32" s="102">
        <f t="shared" si="14"/>
        <v>5026.4789228649934</v>
      </c>
      <c r="BC32" s="102">
        <f t="shared" si="15"/>
        <v>136.52107713500664</v>
      </c>
      <c r="BD32" s="471">
        <f t="shared" si="16"/>
        <v>5052</v>
      </c>
      <c r="BE32" s="464">
        <f t="shared" si="17"/>
        <v>111</v>
      </c>
      <c r="BF32" s="102">
        <f t="shared" si="18"/>
        <v>25.521077135006635</v>
      </c>
      <c r="BG32" s="102"/>
    </row>
    <row r="33" spans="1:59">
      <c r="A33" s="123">
        <v>2000</v>
      </c>
      <c r="B33" s="625">
        <v>36616</v>
      </c>
      <c r="C33" s="624">
        <v>17</v>
      </c>
      <c r="D33" s="346" t="str">
        <f t="shared" si="0"/>
        <v>Fri</v>
      </c>
      <c r="E33" s="133">
        <f>[7]MoCoinMW!F127</f>
        <v>5912</v>
      </c>
      <c r="F33" s="133">
        <f>[7]MoCoinMW!G127</f>
        <v>5307.0599999999995</v>
      </c>
      <c r="G33" s="164">
        <f>SUM([6]Hist!M247:O247)</f>
        <v>0</v>
      </c>
      <c r="H33" s="164">
        <f>[6]Hist!L247</f>
        <v>0</v>
      </c>
      <c r="I33" s="164">
        <f>[6]Hist!P247</f>
        <v>0</v>
      </c>
      <c r="J33" s="133">
        <f t="shared" si="7"/>
        <v>5307.0599999999995</v>
      </c>
      <c r="K33" s="164">
        <f>[6]Hist!U247</f>
        <v>309</v>
      </c>
      <c r="L33" s="164">
        <f>[6]Hist!V247</f>
        <v>75</v>
      </c>
      <c r="M33" s="133">
        <f t="shared" si="8"/>
        <v>5616.0599999999995</v>
      </c>
      <c r="N33" s="164">
        <f>'Interruptible Forecast'!AJ11</f>
        <v>335</v>
      </c>
      <c r="O33" s="133">
        <f t="shared" si="9"/>
        <v>4897.0599999999995</v>
      </c>
      <c r="P33" s="132">
        <f>[8]FCST!$BE7</f>
        <v>1406196</v>
      </c>
      <c r="Q33" s="463">
        <f>[8]FCST!$DG7</f>
        <v>5000</v>
      </c>
      <c r="U33" s="132">
        <f t="shared" si="21"/>
        <v>1407704</v>
      </c>
      <c r="W33" s="132">
        <f t="shared" si="20"/>
        <v>29484</v>
      </c>
      <c r="X33" s="342">
        <f>[5]Mar!L28</f>
        <v>80.5</v>
      </c>
      <c r="Y33" s="345">
        <f>[5]Mar!J28</f>
        <v>82.3</v>
      </c>
      <c r="Z33" s="345">
        <f>[5]Mar!K28</f>
        <v>77</v>
      </c>
      <c r="AA33" s="339">
        <f>[5]Mar!$M28</f>
        <v>82.8</v>
      </c>
      <c r="AC33" s="1151">
        <f t="shared" si="3"/>
        <v>2000</v>
      </c>
      <c r="AD33" s="1152">
        <f t="shared" si="4"/>
        <v>4897.0599999999995</v>
      </c>
      <c r="AE33" s="1153">
        <f t="shared" si="5"/>
        <v>1407704</v>
      </c>
      <c r="AF33" s="1154">
        <f t="shared" si="10"/>
        <v>82.3</v>
      </c>
      <c r="AG33" s="1155">
        <v>1</v>
      </c>
      <c r="AH33" s="1151">
        <v>0</v>
      </c>
      <c r="AI33" s="1154"/>
      <c r="AJ33" s="1155">
        <f t="shared" si="11"/>
        <v>4723</v>
      </c>
      <c r="AK33" s="1155">
        <f t="shared" si="6"/>
        <v>174.05999999999949</v>
      </c>
      <c r="AL33" s="1155"/>
      <c r="AM33" s="1155"/>
      <c r="AN33" s="1155"/>
      <c r="AO33" s="1169"/>
      <c r="AP33" s="1158">
        <f t="shared" si="12"/>
        <v>-129.41892286499387</v>
      </c>
      <c r="AQ33" s="1"/>
      <c r="AR33" s="1"/>
      <c r="AS33" s="1"/>
      <c r="AT33" s="1"/>
      <c r="AU33" s="1"/>
      <c r="AV33" s="1"/>
      <c r="AW33" s="1"/>
      <c r="AX33" s="1"/>
      <c r="AZ33" s="124">
        <f t="shared" si="19"/>
        <v>2000</v>
      </c>
      <c r="BA33">
        <f t="shared" si="13"/>
        <v>5822</v>
      </c>
      <c r="BB33" s="102">
        <f t="shared" si="14"/>
        <v>4897.0599999999995</v>
      </c>
      <c r="BC33" s="102">
        <f t="shared" si="15"/>
        <v>924.94000000000051</v>
      </c>
      <c r="BD33" s="471">
        <f t="shared" si="16"/>
        <v>4723</v>
      </c>
      <c r="BE33" s="464">
        <f t="shared" si="17"/>
        <v>1099</v>
      </c>
      <c r="BF33" s="102">
        <f t="shared" si="18"/>
        <v>-174.05999999999949</v>
      </c>
      <c r="BG33" s="102"/>
    </row>
    <row r="34" spans="1:59">
      <c r="A34" s="123">
        <v>2001</v>
      </c>
      <c r="B34" s="139">
        <v>36958</v>
      </c>
      <c r="C34" s="123">
        <v>8</v>
      </c>
      <c r="D34" s="346" t="str">
        <f t="shared" si="0"/>
        <v>Thu</v>
      </c>
      <c r="E34" s="133">
        <f>[7]MoCoinMW!F139</f>
        <v>6271</v>
      </c>
      <c r="F34" s="133">
        <f>[7]MoCoinMW!G139</f>
        <v>5323.18</v>
      </c>
      <c r="G34" s="164">
        <f>SUM([6]Hist!M259:O259)</f>
        <v>0</v>
      </c>
      <c r="H34" s="164">
        <f>[6]Hist!L259</f>
        <v>0</v>
      </c>
      <c r="I34" s="164">
        <f>[6]Hist!P259</f>
        <v>0</v>
      </c>
      <c r="J34" s="133">
        <f t="shared" si="7"/>
        <v>5323.18</v>
      </c>
      <c r="K34" s="164">
        <f>[6]Hist!U259</f>
        <v>331</v>
      </c>
      <c r="L34" s="164">
        <f>[6]Hist!V259</f>
        <v>75</v>
      </c>
      <c r="M34" s="133">
        <f t="shared" si="8"/>
        <v>5654.18</v>
      </c>
      <c r="N34" s="164">
        <f>'Interruptible Forecast'!AJ12</f>
        <v>313</v>
      </c>
      <c r="O34" s="133">
        <f t="shared" si="9"/>
        <v>4935.18</v>
      </c>
      <c r="P34" s="132">
        <f>[8]FCST!$BE8</f>
        <v>1443952</v>
      </c>
      <c r="Q34" s="463">
        <f>[8]FCST!$DG8</f>
        <v>5214</v>
      </c>
      <c r="U34" s="132">
        <f t="shared" si="21"/>
        <v>1445246</v>
      </c>
      <c r="W34" s="132">
        <f t="shared" si="20"/>
        <v>37542</v>
      </c>
      <c r="X34" s="307">
        <f>[5]Mar!L29</f>
        <v>49.7</v>
      </c>
      <c r="Y34" s="1025">
        <f>[5]Mar!J29</f>
        <v>47.5</v>
      </c>
      <c r="Z34" s="345">
        <f>[5]Mar!K29</f>
        <v>54.2</v>
      </c>
      <c r="AA34" s="339">
        <f>[5]Mar!$M29</f>
        <v>46.4</v>
      </c>
      <c r="AC34" s="1151">
        <f t="shared" si="3"/>
        <v>2001</v>
      </c>
      <c r="AD34" s="1152">
        <f t="shared" si="4"/>
        <v>4935.18</v>
      </c>
      <c r="AE34" s="1153">
        <f t="shared" si="5"/>
        <v>1445246</v>
      </c>
      <c r="AF34" s="1154">
        <f t="shared" si="10"/>
        <v>47.5</v>
      </c>
      <c r="AG34" s="1155">
        <v>0</v>
      </c>
      <c r="AH34" s="1151">
        <v>0</v>
      </c>
      <c r="AI34" s="1154"/>
      <c r="AJ34" s="1155">
        <f t="shared" si="11"/>
        <v>5318</v>
      </c>
      <c r="AK34" s="1155">
        <f t="shared" si="6"/>
        <v>-382.81999999999971</v>
      </c>
      <c r="AL34" s="1170"/>
      <c r="AM34" s="1155"/>
      <c r="AN34" s="1155"/>
      <c r="AO34" s="1169"/>
      <c r="AP34" s="1158">
        <f t="shared" si="12"/>
        <v>38.1200000000008</v>
      </c>
      <c r="AQ34" s="1"/>
      <c r="AR34" s="1"/>
      <c r="AS34" s="1"/>
      <c r="AT34" s="1"/>
      <c r="AU34" s="1"/>
      <c r="AV34" s="1"/>
      <c r="AW34" s="1"/>
      <c r="AX34" s="1"/>
      <c r="AZ34" s="124">
        <f t="shared" si="19"/>
        <v>2001</v>
      </c>
      <c r="BA34">
        <f t="shared" si="13"/>
        <v>5449</v>
      </c>
      <c r="BB34" s="102">
        <f t="shared" si="14"/>
        <v>4935.18</v>
      </c>
      <c r="BC34" s="102">
        <f t="shared" si="15"/>
        <v>513.81999999999971</v>
      </c>
      <c r="BD34" s="471">
        <f t="shared" si="16"/>
        <v>5318</v>
      </c>
      <c r="BE34" s="464">
        <f t="shared" si="17"/>
        <v>131</v>
      </c>
      <c r="BF34" s="102">
        <f t="shared" si="18"/>
        <v>382.81999999999971</v>
      </c>
      <c r="BG34" s="102"/>
    </row>
    <row r="35" spans="1:59">
      <c r="A35" s="123">
        <v>2002</v>
      </c>
      <c r="B35" s="139">
        <v>37320</v>
      </c>
      <c r="C35" s="123">
        <v>8</v>
      </c>
      <c r="D35" s="346" t="str">
        <f t="shared" si="0"/>
        <v>Tue</v>
      </c>
      <c r="E35" s="133">
        <f>[7]MoCoinMW!F151</f>
        <v>8345</v>
      </c>
      <c r="F35" s="133">
        <f>[7]MoCoinMW!G151</f>
        <v>7220</v>
      </c>
      <c r="G35" s="164">
        <f>SUM([6]Hist!M271:O271)</f>
        <v>0</v>
      </c>
      <c r="H35" s="164">
        <f>[6]Hist!L271</f>
        <v>0</v>
      </c>
      <c r="I35" s="164">
        <f>[6]Hist!P271</f>
        <v>0</v>
      </c>
      <c r="J35" s="133">
        <f t="shared" si="7"/>
        <v>7220</v>
      </c>
      <c r="K35" s="164">
        <f>[6]Hist!U271</f>
        <v>353</v>
      </c>
      <c r="L35" s="164">
        <f>[6]Hist!V271</f>
        <v>75</v>
      </c>
      <c r="M35" s="133">
        <f t="shared" si="8"/>
        <v>7573</v>
      </c>
      <c r="N35" s="164">
        <f>'Interruptible Forecast'!AJ13</f>
        <v>339</v>
      </c>
      <c r="O35" s="133">
        <f t="shared" si="9"/>
        <v>6806</v>
      </c>
      <c r="P35" s="132">
        <f>[8]FCST!$BE9</f>
        <v>1473875</v>
      </c>
      <c r="Q35" s="463">
        <f>[8]FCST!$DG9</f>
        <v>5593</v>
      </c>
      <c r="U35" s="132">
        <f t="shared" si="21"/>
        <v>1474790</v>
      </c>
      <c r="W35" s="132">
        <f t="shared" si="20"/>
        <v>29544</v>
      </c>
      <c r="X35" s="307">
        <f>[5]Mar!L30</f>
        <v>40</v>
      </c>
      <c r="Y35" s="1026">
        <f>[5]Mar!J30</f>
        <v>37.5</v>
      </c>
      <c r="Z35" s="465">
        <f>[5]Mar!K30</f>
        <v>44.9</v>
      </c>
      <c r="AA35" s="339">
        <f>[5]Mar!$M30</f>
        <v>37.9</v>
      </c>
      <c r="AC35" s="1151">
        <f t="shared" si="3"/>
        <v>2002</v>
      </c>
      <c r="AD35" s="1152">
        <f t="shared" si="4"/>
        <v>6806</v>
      </c>
      <c r="AE35" s="1153">
        <f t="shared" si="5"/>
        <v>1474790</v>
      </c>
      <c r="AF35" s="1154">
        <f t="shared" si="10"/>
        <v>37.5</v>
      </c>
      <c r="AG35" s="1155">
        <v>0</v>
      </c>
      <c r="AH35" s="1151">
        <f t="shared" ref="AH35:AH53" si="22">AH34</f>
        <v>0</v>
      </c>
      <c r="AI35" s="1154"/>
      <c r="AJ35" s="1155">
        <f t="shared" si="11"/>
        <v>5723</v>
      </c>
      <c r="AK35" s="1155">
        <f t="shared" si="6"/>
        <v>1083</v>
      </c>
      <c r="AL35" s="1155"/>
      <c r="AM35" s="1155"/>
      <c r="AN35" s="1155"/>
      <c r="AO35" s="1169"/>
      <c r="AP35" s="1158">
        <f t="shared" si="12"/>
        <v>1870.8199999999997</v>
      </c>
      <c r="AQ35"/>
      <c r="AR35"/>
      <c r="AS35"/>
      <c r="AT35"/>
      <c r="AU35"/>
      <c r="AV35"/>
      <c r="AW35"/>
      <c r="AX35"/>
      <c r="AZ35" s="124">
        <f t="shared" si="19"/>
        <v>2002</v>
      </c>
      <c r="BA35">
        <f t="shared" si="13"/>
        <v>5575</v>
      </c>
      <c r="BB35" s="102">
        <f t="shared" si="14"/>
        <v>6806</v>
      </c>
      <c r="BC35" s="102">
        <f t="shared" si="15"/>
        <v>-1231</v>
      </c>
      <c r="BD35" s="471">
        <f t="shared" si="16"/>
        <v>5723</v>
      </c>
      <c r="BE35" s="464">
        <f t="shared" si="17"/>
        <v>-148</v>
      </c>
      <c r="BF35" s="102">
        <f t="shared" si="18"/>
        <v>-1083</v>
      </c>
      <c r="BG35" s="102"/>
    </row>
    <row r="36" spans="1:59">
      <c r="A36" s="123">
        <v>2003</v>
      </c>
      <c r="B36" s="625">
        <v>37700</v>
      </c>
      <c r="C36" s="624">
        <v>15</v>
      </c>
      <c r="D36" s="346" t="str">
        <f t="shared" ref="D36:D41" si="23">TEXT(WEEKDAY(B36),"ddd")</f>
        <v>Thu</v>
      </c>
      <c r="E36" s="133">
        <f>[7]MoCoinMW!F$163</f>
        <v>7178</v>
      </c>
      <c r="F36" s="133">
        <f>[7]MoCoinMW!G$163</f>
        <v>6452.1</v>
      </c>
      <c r="G36" s="164">
        <f>SUM([6]Hist!M$283:O$283)</f>
        <v>0</v>
      </c>
      <c r="H36" s="164">
        <f>[6]Hist!L$283</f>
        <v>0</v>
      </c>
      <c r="I36" s="164">
        <f>[6]Hist!P$283</f>
        <v>0</v>
      </c>
      <c r="J36" s="133">
        <f t="shared" ref="J36:J41" si="24">SUM(F36:I36)</f>
        <v>6452.1</v>
      </c>
      <c r="K36" s="164">
        <f>[6]Hist!U$283</f>
        <v>377</v>
      </c>
      <c r="L36" s="164">
        <f>[6]Hist!V$283</f>
        <v>75</v>
      </c>
      <c r="M36" s="133">
        <f t="shared" si="8"/>
        <v>6829.1</v>
      </c>
      <c r="N36" s="164">
        <f>'Interruptible Forecast'!AJ14</f>
        <v>328</v>
      </c>
      <c r="O36" s="133">
        <f t="shared" si="9"/>
        <v>6049.1</v>
      </c>
      <c r="P36" s="132">
        <f>[8]FCST!$BE10</f>
        <v>1505564</v>
      </c>
      <c r="Q36" s="463">
        <f>[8]FCST!$DG10</f>
        <v>5743</v>
      </c>
      <c r="R36" s="559"/>
      <c r="S36" s="371">
        <f>[8]FCST!$CO10</f>
        <v>44485</v>
      </c>
      <c r="T36" s="369"/>
      <c r="U36" s="132">
        <f t="shared" si="21"/>
        <v>1506329</v>
      </c>
      <c r="W36" s="132">
        <f t="shared" si="20"/>
        <v>31539</v>
      </c>
      <c r="X36" s="773">
        <f>[5]Mar!L31</f>
        <v>84</v>
      </c>
      <c r="Y36" s="143">
        <f>[5]Mar!J31</f>
        <v>86.5</v>
      </c>
      <c r="Z36" s="143">
        <f>[5]Mar!K31</f>
        <v>78.900000000000006</v>
      </c>
      <c r="AA36" s="339">
        <f>[5]Mar!$M31</f>
        <v>85.7</v>
      </c>
      <c r="AC36" s="1151">
        <f t="shared" si="3"/>
        <v>2003</v>
      </c>
      <c r="AD36" s="1152">
        <f t="shared" si="4"/>
        <v>6049.1</v>
      </c>
      <c r="AE36" s="1153">
        <f t="shared" si="5"/>
        <v>1506329</v>
      </c>
      <c r="AF36" s="1154">
        <f t="shared" ref="AF36:AF45" si="25">Y36</f>
        <v>86.5</v>
      </c>
      <c r="AG36" s="1155">
        <v>1</v>
      </c>
      <c r="AH36" s="1151">
        <f t="shared" si="22"/>
        <v>0</v>
      </c>
      <c r="AI36" s="1154"/>
      <c r="AJ36" s="1155">
        <f t="shared" si="11"/>
        <v>5026</v>
      </c>
      <c r="AK36" s="1155">
        <f t="shared" si="6"/>
        <v>1023.1000000000004</v>
      </c>
      <c r="AL36" s="1155"/>
      <c r="AM36" s="1155"/>
      <c r="AN36" s="1155"/>
      <c r="AO36" s="1169"/>
      <c r="AP36" s="1158">
        <f t="shared" si="12"/>
        <v>-756.89999999999964</v>
      </c>
      <c r="AQ36"/>
      <c r="AR36"/>
      <c r="AS36"/>
      <c r="AT36"/>
      <c r="AU36"/>
      <c r="AV36"/>
      <c r="AW36"/>
      <c r="AX36"/>
      <c r="AZ36" s="124">
        <f t="shared" ref="AZ36:AZ41" si="26">AC36</f>
        <v>2003</v>
      </c>
      <c r="BA36">
        <f t="shared" si="13"/>
        <v>6242</v>
      </c>
      <c r="BB36" s="102">
        <f t="shared" ref="BB36:BB41" si="27">AD36</f>
        <v>6049.1</v>
      </c>
      <c r="BC36" s="102">
        <f t="shared" ref="BC36:BC41" si="28">BA36-BB36</f>
        <v>192.89999999999964</v>
      </c>
      <c r="BD36" s="471">
        <f t="shared" ref="BD36:BD41" si="29">AJ36</f>
        <v>5026</v>
      </c>
      <c r="BE36" s="464">
        <f t="shared" ref="BE36:BE41" si="30">BA36-BD36</f>
        <v>1216</v>
      </c>
      <c r="BF36" s="102">
        <f t="shared" ref="BF36:BF41" si="31">BC36-BE36</f>
        <v>-1023.1000000000004</v>
      </c>
      <c r="BG36" s="102"/>
    </row>
    <row r="37" spans="1:59">
      <c r="A37" s="123">
        <v>2004</v>
      </c>
      <c r="B37" s="139">
        <v>38057</v>
      </c>
      <c r="C37" s="123">
        <v>8</v>
      </c>
      <c r="D37" s="346" t="str">
        <f t="shared" si="23"/>
        <v>Thu</v>
      </c>
      <c r="E37" s="133">
        <f>[7]MoCoinMW!F$175</f>
        <v>6017.3</v>
      </c>
      <c r="F37" s="133">
        <f>[7]MoCoinMW!G$175</f>
        <v>5465.7</v>
      </c>
      <c r="G37" s="164">
        <f>SUM([6]Hist!M$295:O$295)</f>
        <v>0</v>
      </c>
      <c r="H37" s="164">
        <f>[6]Hist!L$295</f>
        <v>0</v>
      </c>
      <c r="I37" s="164">
        <f>[6]Hist!P$295</f>
        <v>0</v>
      </c>
      <c r="J37" s="133">
        <f t="shared" si="24"/>
        <v>5465.7</v>
      </c>
      <c r="K37" s="164">
        <f>[6]Hist!U$295</f>
        <v>402</v>
      </c>
      <c r="L37" s="164">
        <f>[6]Hist!V$295</f>
        <v>110</v>
      </c>
      <c r="M37" s="133">
        <f t="shared" si="8"/>
        <v>5867.7</v>
      </c>
      <c r="N37" s="164">
        <f>'Interruptible Forecast'!AJ15</f>
        <v>331</v>
      </c>
      <c r="O37" s="133">
        <f t="shared" si="9"/>
        <v>5024.7</v>
      </c>
      <c r="P37" s="132">
        <f>[8]FCST!$BE11</f>
        <v>1540021</v>
      </c>
      <c r="Q37" s="463">
        <f>[8]FCST!$DG11</f>
        <v>5748</v>
      </c>
      <c r="R37" s="559"/>
      <c r="S37" s="371">
        <f>[8]FCST!$CO11</f>
        <v>50852</v>
      </c>
      <c r="T37" s="369"/>
      <c r="U37" s="132">
        <f t="shared" si="21"/>
        <v>1540781</v>
      </c>
      <c r="W37" s="132">
        <f t="shared" si="20"/>
        <v>34452</v>
      </c>
      <c r="X37" s="145">
        <f>[5]Mar!L32</f>
        <v>49.7</v>
      </c>
      <c r="Y37" s="1027">
        <f>[5]Mar!J32</f>
        <v>47.5</v>
      </c>
      <c r="Z37" s="143">
        <f>[5]Mar!K32</f>
        <v>54</v>
      </c>
      <c r="AA37" s="339">
        <f>[5]Mar!$M32</f>
        <v>46.2</v>
      </c>
      <c r="AC37" s="1151">
        <f t="shared" si="3"/>
        <v>2004</v>
      </c>
      <c r="AD37" s="1152">
        <f t="shared" si="4"/>
        <v>5024.7</v>
      </c>
      <c r="AE37" s="1153">
        <f t="shared" si="5"/>
        <v>1540781</v>
      </c>
      <c r="AF37" s="1154">
        <f t="shared" si="25"/>
        <v>47.5</v>
      </c>
      <c r="AG37" s="1155">
        <v>0</v>
      </c>
      <c r="AH37" s="1151">
        <f t="shared" si="22"/>
        <v>0</v>
      </c>
      <c r="AI37" s="1154"/>
      <c r="AJ37" s="1155">
        <f t="shared" si="11"/>
        <v>5726</v>
      </c>
      <c r="AK37" s="1155">
        <f t="shared" si="6"/>
        <v>-701.30000000000018</v>
      </c>
      <c r="AL37" s="1155"/>
      <c r="AM37" s="1155"/>
      <c r="AN37" s="1155"/>
      <c r="AO37" s="1169"/>
      <c r="AP37" s="1158">
        <f t="shared" si="12"/>
        <v>-1024.4000000000005</v>
      </c>
      <c r="AQ37"/>
      <c r="AR37"/>
      <c r="AS37"/>
      <c r="AT37"/>
      <c r="AU37"/>
      <c r="AV37"/>
      <c r="AW37"/>
      <c r="AX37"/>
      <c r="AZ37" s="124">
        <f t="shared" si="26"/>
        <v>2004</v>
      </c>
      <c r="BA37">
        <f t="shared" si="13"/>
        <v>5857</v>
      </c>
      <c r="BB37" s="102">
        <f t="shared" si="27"/>
        <v>5024.7</v>
      </c>
      <c r="BC37" s="102">
        <f t="shared" si="28"/>
        <v>832.30000000000018</v>
      </c>
      <c r="BD37" s="471">
        <f t="shared" si="29"/>
        <v>5726</v>
      </c>
      <c r="BE37" s="464">
        <f t="shared" si="30"/>
        <v>131</v>
      </c>
      <c r="BF37" s="102">
        <f t="shared" si="31"/>
        <v>701.30000000000018</v>
      </c>
    </row>
    <row r="38" spans="1:59">
      <c r="A38" s="123">
        <v>2005</v>
      </c>
      <c r="B38" s="625">
        <v>38414</v>
      </c>
      <c r="C38" s="624">
        <v>20</v>
      </c>
      <c r="D38" s="346" t="str">
        <f t="shared" si="23"/>
        <v>Thu</v>
      </c>
      <c r="E38" s="133">
        <f>[7]MoCoinMW!F$187</f>
        <v>7610.3</v>
      </c>
      <c r="F38" s="133">
        <f>[7]MoCoinMW!G$187</f>
        <v>6662.3</v>
      </c>
      <c r="G38" s="164">
        <f>SUM([6]Hist!M$307:O$307)</f>
        <v>0</v>
      </c>
      <c r="H38" s="164">
        <f>[6]Hist!L$307</f>
        <v>0</v>
      </c>
      <c r="I38" s="164">
        <f>[6]Hist!P$307</f>
        <v>0</v>
      </c>
      <c r="J38" s="133">
        <f t="shared" si="24"/>
        <v>6662.3</v>
      </c>
      <c r="K38" s="164">
        <f>[6]Hist!U$307</f>
        <v>428</v>
      </c>
      <c r="L38" s="164">
        <f>[6]Hist!V$307</f>
        <v>110</v>
      </c>
      <c r="M38" s="133">
        <f t="shared" si="8"/>
        <v>7090.3</v>
      </c>
      <c r="N38" s="164">
        <f>'Interruptible Forecast'!AJ16</f>
        <v>369</v>
      </c>
      <c r="O38" s="133">
        <f t="shared" si="9"/>
        <v>6183.3</v>
      </c>
      <c r="P38" s="132">
        <f>[8]FCST!$BE12</f>
        <v>1574683</v>
      </c>
      <c r="Q38" s="463">
        <f>[8]FCST!$DG12</f>
        <v>6376</v>
      </c>
      <c r="R38" s="559"/>
      <c r="S38" s="371">
        <f>[8]FCST!$CO12</f>
        <v>54279</v>
      </c>
      <c r="T38" s="369"/>
      <c r="U38" s="132">
        <f t="shared" si="21"/>
        <v>1574815</v>
      </c>
      <c r="W38" s="132">
        <f t="shared" si="20"/>
        <v>34034</v>
      </c>
      <c r="X38" s="145">
        <f>[5]Mar!L33</f>
        <v>48.6</v>
      </c>
      <c r="Y38" s="143">
        <f>[5]Mar!J33</f>
        <v>48</v>
      </c>
      <c r="Z38" s="143">
        <f>[5]Mar!K33</f>
        <v>50</v>
      </c>
      <c r="AA38" s="339">
        <f>[5]Mar!$M33</f>
        <v>48.9</v>
      </c>
      <c r="AC38" s="1151">
        <f t="shared" si="3"/>
        <v>2005</v>
      </c>
      <c r="AD38" s="1152">
        <f t="shared" si="4"/>
        <v>6183.3</v>
      </c>
      <c r="AE38" s="1153">
        <f t="shared" si="5"/>
        <v>1574815</v>
      </c>
      <c r="AF38" s="1154">
        <f t="shared" si="25"/>
        <v>48</v>
      </c>
      <c r="AG38" s="1155">
        <v>1</v>
      </c>
      <c r="AH38" s="1151">
        <f t="shared" si="22"/>
        <v>0</v>
      </c>
      <c r="AI38" s="1154"/>
      <c r="AJ38" s="1155">
        <f t="shared" si="11"/>
        <v>6390</v>
      </c>
      <c r="AK38" s="1155">
        <f t="shared" si="6"/>
        <v>-206.69999999999982</v>
      </c>
      <c r="AL38" s="1155"/>
      <c r="AM38" s="1155"/>
      <c r="AN38" s="1155"/>
      <c r="AO38" s="1169"/>
      <c r="AP38" s="1158">
        <f t="shared" si="12"/>
        <v>1158.6000000000004</v>
      </c>
      <c r="AZ38" s="124">
        <f t="shared" si="26"/>
        <v>2005</v>
      </c>
      <c r="BA38">
        <f t="shared" si="13"/>
        <v>6535</v>
      </c>
      <c r="BB38" s="102">
        <f t="shared" si="27"/>
        <v>6183.3</v>
      </c>
      <c r="BC38" s="102">
        <f t="shared" si="28"/>
        <v>351.69999999999982</v>
      </c>
      <c r="BD38" s="471">
        <f t="shared" si="29"/>
        <v>6390</v>
      </c>
      <c r="BE38" s="464">
        <f t="shared" si="30"/>
        <v>145</v>
      </c>
      <c r="BF38" s="102">
        <f t="shared" si="31"/>
        <v>206.69999999999982</v>
      </c>
    </row>
    <row r="39" spans="1:59">
      <c r="A39" s="123">
        <v>2006</v>
      </c>
      <c r="B39" s="625">
        <v>38797</v>
      </c>
      <c r="C39" s="624">
        <v>20</v>
      </c>
      <c r="D39" s="346" t="str">
        <f t="shared" si="23"/>
        <v>Tue</v>
      </c>
      <c r="E39" s="133">
        <f>[7]MoCoinMW!F$199</f>
        <v>6440</v>
      </c>
      <c r="F39" s="570">
        <f>[7]MoCoinMW!G$199</f>
        <v>5932.7</v>
      </c>
      <c r="G39" s="164">
        <f>SUM([6]Hist!M$319:O$319)</f>
        <v>0</v>
      </c>
      <c r="H39" s="164">
        <f>[6]Hist!L$319</f>
        <v>0</v>
      </c>
      <c r="I39" s="164">
        <f>[6]Hist!P$319</f>
        <v>0</v>
      </c>
      <c r="J39" s="133">
        <f t="shared" si="24"/>
        <v>5932.7</v>
      </c>
      <c r="K39" s="164">
        <f>[6]Hist!U$319</f>
        <v>463</v>
      </c>
      <c r="L39" s="164">
        <f>[6]Hist!V$319</f>
        <v>66</v>
      </c>
      <c r="M39" s="133">
        <f t="shared" si="8"/>
        <v>6395.7</v>
      </c>
      <c r="N39" s="164">
        <f>'Interruptible Forecast'!AJ17</f>
        <v>331</v>
      </c>
      <c r="O39" s="133">
        <f t="shared" si="9"/>
        <v>5535.7</v>
      </c>
      <c r="P39" s="132">
        <f>[8]FCST!$BE13</f>
        <v>1607087</v>
      </c>
      <c r="Q39" s="463">
        <f>[8]FCST!$DG13</f>
        <v>7301</v>
      </c>
      <c r="R39" s="619"/>
      <c r="S39" s="371">
        <f>[8]FCST!$CO13</f>
        <v>56307</v>
      </c>
      <c r="T39" s="620"/>
      <c r="U39" s="506">
        <f t="shared" si="21"/>
        <v>1606294</v>
      </c>
      <c r="V39" s="374">
        <f>[10]WP2005!$D$21</f>
        <v>14368</v>
      </c>
      <c r="W39" s="132">
        <f t="shared" si="20"/>
        <v>31479</v>
      </c>
      <c r="X39" s="145">
        <f>[5]Mar!L34</f>
        <v>77.2</v>
      </c>
      <c r="Y39" s="143">
        <f>[5]Mar!J34</f>
        <v>78.3</v>
      </c>
      <c r="Z39" s="143">
        <f>[5]Mar!K34</f>
        <v>74.900000000000006</v>
      </c>
      <c r="AA39" s="339">
        <f>[5]Mar!$M34</f>
        <v>80.8</v>
      </c>
      <c r="AC39" s="1151">
        <f t="shared" si="3"/>
        <v>2006</v>
      </c>
      <c r="AD39" s="1152">
        <f t="shared" si="4"/>
        <v>5535.7</v>
      </c>
      <c r="AE39" s="1153">
        <f t="shared" si="5"/>
        <v>1606294</v>
      </c>
      <c r="AF39" s="1154">
        <f t="shared" si="25"/>
        <v>78.3</v>
      </c>
      <c r="AG39" s="1155">
        <v>1</v>
      </c>
      <c r="AH39" s="1151">
        <f t="shared" si="22"/>
        <v>0</v>
      </c>
      <c r="AI39" s="1154"/>
      <c r="AJ39" s="1155">
        <f t="shared" si="11"/>
        <v>5681</v>
      </c>
      <c r="AK39" s="1155">
        <f t="shared" si="6"/>
        <v>-145.30000000000018</v>
      </c>
      <c r="AL39" s="1155"/>
      <c r="AM39" s="1155"/>
      <c r="AN39" s="1155"/>
      <c r="AO39" s="1169"/>
      <c r="AP39" s="1158">
        <f t="shared" si="12"/>
        <v>-647.60000000000036</v>
      </c>
      <c r="AZ39" s="124">
        <f t="shared" si="26"/>
        <v>2006</v>
      </c>
      <c r="BA39">
        <f t="shared" si="13"/>
        <v>6669</v>
      </c>
      <c r="BB39" s="102">
        <f t="shared" si="27"/>
        <v>5535.7</v>
      </c>
      <c r="BC39" s="102">
        <f t="shared" si="28"/>
        <v>1133.3000000000002</v>
      </c>
      <c r="BD39" s="471">
        <f t="shared" si="29"/>
        <v>5681</v>
      </c>
      <c r="BE39" s="464">
        <f t="shared" si="30"/>
        <v>988</v>
      </c>
      <c r="BF39" s="102">
        <f t="shared" si="31"/>
        <v>145.30000000000018</v>
      </c>
    </row>
    <row r="40" spans="1:59">
      <c r="A40" s="123">
        <v>2007</v>
      </c>
      <c r="B40" s="830">
        <v>39147</v>
      </c>
      <c r="C40" s="284">
        <v>8</v>
      </c>
      <c r="D40" s="346" t="str">
        <f t="shared" si="23"/>
        <v>Tue</v>
      </c>
      <c r="E40" s="133">
        <f>[7]MoCoinMW!F$211</f>
        <v>6990</v>
      </c>
      <c r="F40" s="133">
        <f>[7]MoCoinMW!G$211</f>
        <v>6054</v>
      </c>
      <c r="G40" s="164">
        <f>SUM([6]Hist!M$331:O$331)</f>
        <v>0</v>
      </c>
      <c r="H40" s="164">
        <f>[6]Hist!L$331</f>
        <v>0</v>
      </c>
      <c r="I40" s="164">
        <f>[6]Hist!P$331</f>
        <v>0</v>
      </c>
      <c r="J40" s="133">
        <f t="shared" si="24"/>
        <v>6054</v>
      </c>
      <c r="K40" s="164">
        <f>[6]Hist!U$331</f>
        <v>498</v>
      </c>
      <c r="L40" s="164">
        <f>[6]Hist!V$331</f>
        <v>110</v>
      </c>
      <c r="M40" s="133">
        <f t="shared" ref="M40:M45" si="32">SUM(J40:K40)</f>
        <v>6552</v>
      </c>
      <c r="N40" s="164">
        <f>'Interruptible Forecast'!AJ18</f>
        <v>294</v>
      </c>
      <c r="O40" s="133">
        <f t="shared" si="9"/>
        <v>5650</v>
      </c>
      <c r="P40" s="132">
        <f>[8]FCST!$BE14</f>
        <v>1636345</v>
      </c>
      <c r="Q40" s="463">
        <f>[8]FCST!$DG14</f>
        <v>7281</v>
      </c>
      <c r="R40" s="619"/>
      <c r="S40" s="371">
        <f>[8]FCST!$CO14</f>
        <v>56598</v>
      </c>
      <c r="T40" s="620"/>
      <c r="U40" s="506">
        <f t="shared" ref="U40:U58" si="33">P40-Q40+S$31</f>
        <v>1635572</v>
      </c>
      <c r="V40" s="374">
        <f>ROUND(V39*1.01,0)</f>
        <v>14512</v>
      </c>
      <c r="W40" s="132">
        <f t="shared" si="20"/>
        <v>29278</v>
      </c>
      <c r="X40" s="844">
        <f>[5]Mar!L35</f>
        <v>46.6</v>
      </c>
      <c r="Y40" s="1027">
        <f>[5]Mar!J35</f>
        <v>43.1</v>
      </c>
      <c r="Z40" s="143">
        <f>[5]Mar!K35</f>
        <v>53.6</v>
      </c>
      <c r="AA40" s="339">
        <f>[5]Mar!$M35</f>
        <v>44.2</v>
      </c>
      <c r="AC40" s="1151">
        <f t="shared" si="3"/>
        <v>2007</v>
      </c>
      <c r="AD40" s="1152">
        <f t="shared" si="4"/>
        <v>5650</v>
      </c>
      <c r="AE40" s="1153">
        <f t="shared" si="5"/>
        <v>1635572</v>
      </c>
      <c r="AF40" s="1154">
        <f t="shared" si="25"/>
        <v>43.1</v>
      </c>
      <c r="AG40" s="1155">
        <v>0</v>
      </c>
      <c r="AH40" s="1151">
        <f t="shared" si="22"/>
        <v>0</v>
      </c>
      <c r="AI40" s="1154"/>
      <c r="AJ40" s="1155">
        <f t="shared" si="11"/>
        <v>6253</v>
      </c>
      <c r="AK40" s="1155">
        <f t="shared" si="6"/>
        <v>-603</v>
      </c>
      <c r="AL40" s="1155"/>
      <c r="AM40" s="1155"/>
      <c r="AN40" s="1155"/>
      <c r="AO40" s="1169"/>
      <c r="AP40" s="1158">
        <f t="shared" si="12"/>
        <v>114.30000000000018</v>
      </c>
      <c r="AZ40" s="124">
        <f t="shared" si="26"/>
        <v>2007</v>
      </c>
      <c r="BA40">
        <f t="shared" si="13"/>
        <v>6261</v>
      </c>
      <c r="BB40" s="102">
        <f t="shared" si="27"/>
        <v>5650</v>
      </c>
      <c r="BC40" s="102">
        <f t="shared" si="28"/>
        <v>611</v>
      </c>
      <c r="BD40" s="471">
        <f t="shared" si="29"/>
        <v>6253</v>
      </c>
      <c r="BE40" s="464">
        <f t="shared" si="30"/>
        <v>8</v>
      </c>
      <c r="BF40" s="102">
        <f t="shared" si="31"/>
        <v>603</v>
      </c>
    </row>
    <row r="41" spans="1:59">
      <c r="A41" s="123">
        <v>2008</v>
      </c>
      <c r="B41" s="902">
        <v>39523</v>
      </c>
      <c r="C41" s="831">
        <v>17</v>
      </c>
      <c r="D41" s="346" t="str">
        <f t="shared" si="23"/>
        <v>Sun</v>
      </c>
      <c r="E41" s="133">
        <f>[7]MoCoinMW!F$223</f>
        <v>6794</v>
      </c>
      <c r="F41" s="133">
        <f>[7]MoCoinMW!G$223</f>
        <v>5740</v>
      </c>
      <c r="G41" s="164">
        <f>SUM([6]Hist!M$343:O$343)</f>
        <v>0</v>
      </c>
      <c r="H41" s="164">
        <f>[6]Hist!L$343</f>
        <v>0</v>
      </c>
      <c r="I41" s="164">
        <f>[6]Hist!P$343</f>
        <v>0</v>
      </c>
      <c r="J41" s="133">
        <f t="shared" si="24"/>
        <v>5740</v>
      </c>
      <c r="K41" s="164">
        <f>[6]Hist!U$343</f>
        <v>532</v>
      </c>
      <c r="L41" s="164">
        <f>[6]Hist!V$343</f>
        <v>110</v>
      </c>
      <c r="M41" s="133">
        <f t="shared" si="32"/>
        <v>6272</v>
      </c>
      <c r="N41" s="164">
        <f>'Interruptible Forecast'!AJ19</f>
        <v>267</v>
      </c>
      <c r="O41" s="133">
        <f t="shared" si="9"/>
        <v>5363</v>
      </c>
      <c r="P41" s="132">
        <f>[8]FCST!$BE15</f>
        <v>1641954</v>
      </c>
      <c r="Q41" s="463">
        <f>[8]FCST!$DG15</f>
        <v>8167</v>
      </c>
      <c r="R41" s="619"/>
      <c r="S41" s="371">
        <f>[8]FCST!$CO15</f>
        <v>57705</v>
      </c>
      <c r="T41" s="620"/>
      <c r="U41" s="506">
        <f t="shared" si="33"/>
        <v>1640295</v>
      </c>
      <c r="V41" s="374">
        <f>ROUND(V40*1.005,0)</f>
        <v>14585</v>
      </c>
      <c r="W41" s="132">
        <f t="shared" si="20"/>
        <v>4723</v>
      </c>
      <c r="X41" s="893">
        <f>[5]Mar!L36</f>
        <v>80</v>
      </c>
      <c r="Y41" s="143">
        <f>[5]Mar!J36</f>
        <v>82</v>
      </c>
      <c r="Z41" s="143">
        <f>[5]Mar!K36</f>
        <v>76</v>
      </c>
      <c r="AA41" s="339">
        <f>[5]Mar!$M36</f>
        <v>80.099999999999994</v>
      </c>
      <c r="AC41" s="1151">
        <f t="shared" si="3"/>
        <v>2008</v>
      </c>
      <c r="AD41" s="1152">
        <f t="shared" si="4"/>
        <v>5363</v>
      </c>
      <c r="AE41" s="1153">
        <f t="shared" si="5"/>
        <v>1640295</v>
      </c>
      <c r="AF41" s="1154">
        <f t="shared" si="25"/>
        <v>82</v>
      </c>
      <c r="AG41" s="1155">
        <v>0</v>
      </c>
      <c r="AH41" s="1167">
        <v>1</v>
      </c>
      <c r="AI41" s="1154"/>
      <c r="AJ41" s="1155">
        <f>ROUND($AW$8+$AV$8*$AE41+$AU$8*$AF41+$AT$8*$AG41+$AS$8*$AH41,0)</f>
        <v>5703</v>
      </c>
      <c r="AK41" s="1155">
        <f t="shared" si="6"/>
        <v>-340</v>
      </c>
      <c r="AL41" s="1155"/>
      <c r="AM41" s="1155"/>
      <c r="AN41" s="1155"/>
      <c r="AO41" s="1169"/>
      <c r="AP41" s="1158">
        <f t="shared" si="12"/>
        <v>-287</v>
      </c>
      <c r="AZ41" s="124">
        <f t="shared" si="26"/>
        <v>2008</v>
      </c>
      <c r="BA41">
        <f t="shared" si="13"/>
        <v>6794</v>
      </c>
      <c r="BB41" s="102">
        <f t="shared" si="27"/>
        <v>5363</v>
      </c>
      <c r="BC41" s="102">
        <f t="shared" si="28"/>
        <v>1431</v>
      </c>
      <c r="BD41" s="471">
        <f t="shared" si="29"/>
        <v>5703</v>
      </c>
      <c r="BE41" s="464">
        <f t="shared" si="30"/>
        <v>1091</v>
      </c>
      <c r="BF41" s="102">
        <f t="shared" si="31"/>
        <v>340</v>
      </c>
    </row>
    <row r="42" spans="1:59">
      <c r="A42" s="123">
        <v>2009</v>
      </c>
      <c r="B42" s="830">
        <v>39875</v>
      </c>
      <c r="C42" s="284">
        <v>8</v>
      </c>
      <c r="D42" s="346" t="str">
        <f>TEXT(WEEKDAY(B42),"ddd")</f>
        <v>Tue</v>
      </c>
      <c r="E42" s="133">
        <f>[7]MoCoinMW!F$235</f>
        <v>7829</v>
      </c>
      <c r="F42" s="133">
        <f>[7]MoCoinMW!G$235</f>
        <v>6610</v>
      </c>
      <c r="G42" s="164">
        <f>SUM([6]Hist!M$355:O$355)</f>
        <v>0</v>
      </c>
      <c r="H42" s="164">
        <f>[6]Hist!L$355</f>
        <v>0</v>
      </c>
      <c r="I42" s="164">
        <f>[6]Hist!P$355</f>
        <v>0</v>
      </c>
      <c r="J42" s="133">
        <f>SUM(F42:I42)</f>
        <v>6610</v>
      </c>
      <c r="K42" s="164">
        <f>[6]Hist!U$355</f>
        <v>575</v>
      </c>
      <c r="L42" s="164">
        <f>[6]Hist!V$355</f>
        <v>110</v>
      </c>
      <c r="M42" s="133">
        <f t="shared" si="32"/>
        <v>7185</v>
      </c>
      <c r="N42" s="164">
        <f>'Interruptible Forecast'!AJ20</f>
        <v>221</v>
      </c>
      <c r="O42" s="133">
        <f t="shared" si="9"/>
        <v>6279</v>
      </c>
      <c r="P42" s="132">
        <f>[8]FCST!$BE16</f>
        <v>1633128</v>
      </c>
      <c r="Q42" s="463">
        <f>[8]FCST!$DG16</f>
        <v>8191</v>
      </c>
      <c r="R42" s="619"/>
      <c r="S42" s="371">
        <f>[8]FCST!$CO16</f>
        <v>58664</v>
      </c>
      <c r="T42" s="620"/>
      <c r="U42" s="506">
        <f t="shared" si="33"/>
        <v>1631445</v>
      </c>
      <c r="V42" s="374">
        <f t="shared" ref="V42:V73" si="34">ROUND(V41*1.005,0)</f>
        <v>14658</v>
      </c>
      <c r="W42" s="132">
        <f t="shared" si="20"/>
        <v>-8850</v>
      </c>
      <c r="X42" s="969">
        <f>[5]Mar!L37</f>
        <v>42.5</v>
      </c>
      <c r="Y42" s="1027">
        <f>[5]Mar!J37</f>
        <v>39.4</v>
      </c>
      <c r="Z42" s="143">
        <f>[5]Mar!K37</f>
        <v>48.9</v>
      </c>
      <c r="AA42" s="339">
        <f>[5]Mar!$M37</f>
        <v>41.3</v>
      </c>
      <c r="AC42" s="1151">
        <f t="shared" si="3"/>
        <v>2009</v>
      </c>
      <c r="AD42" s="1152">
        <f t="shared" si="4"/>
        <v>6279</v>
      </c>
      <c r="AE42" s="1153">
        <f t="shared" si="5"/>
        <v>1631445</v>
      </c>
      <c r="AF42" s="1154">
        <f t="shared" si="25"/>
        <v>39.4</v>
      </c>
      <c r="AG42" s="1155">
        <v>0</v>
      </c>
      <c r="AH42" s="1151">
        <v>0</v>
      </c>
      <c r="AI42" s="1154"/>
      <c r="AJ42" s="1155">
        <f>ROUND($AW$8+$AV$8*$AE42+$AU$8*$AF42+$AT$8*$AG42+$AS$8*$AH42,0)</f>
        <v>6338</v>
      </c>
      <c r="AK42" s="1155">
        <f>AD42-AJ42</f>
        <v>-59</v>
      </c>
      <c r="AL42" s="1155"/>
      <c r="AM42" s="1155"/>
      <c r="AN42" s="1155"/>
      <c r="AO42" s="1169"/>
      <c r="AP42" s="1158">
        <f t="shared" si="12"/>
        <v>916</v>
      </c>
      <c r="AZ42" s="124">
        <f>AC42</f>
        <v>2009</v>
      </c>
      <c r="BA42">
        <f>ROUND($AW$8+$AV$8*$AE42+$AU$8*$AF$53+$AT$8*AG42+$AS$8*AH42,0)</f>
        <v>6243</v>
      </c>
      <c r="BB42" s="102">
        <f>AD42</f>
        <v>6279</v>
      </c>
      <c r="BC42" s="102">
        <f>BA42-BB42</f>
        <v>-36</v>
      </c>
      <c r="BD42" s="471">
        <f>AJ42</f>
        <v>6338</v>
      </c>
      <c r="BE42" s="464">
        <f>BA42-BD42</f>
        <v>-95</v>
      </c>
      <c r="BF42" s="102">
        <f>BC42-BE42</f>
        <v>59</v>
      </c>
    </row>
    <row r="43" spans="1:59">
      <c r="A43" s="123">
        <v>2010</v>
      </c>
      <c r="B43" s="830">
        <v>40242</v>
      </c>
      <c r="C43" s="284">
        <v>8</v>
      </c>
      <c r="D43" s="346" t="str">
        <f>TEXT(WEEKDAY(B43),"ddd")</f>
        <v>Fri</v>
      </c>
      <c r="E43" s="133">
        <f>[7]MoCoinMW!F$247</f>
        <v>8276</v>
      </c>
      <c r="F43" s="133">
        <f>[7]MoCoinMW!G$247</f>
        <v>7237</v>
      </c>
      <c r="G43" s="164">
        <f>SUM([6]Hist!M$367:O$367)</f>
        <v>0</v>
      </c>
      <c r="H43" s="164">
        <f>[6]Hist!L$367</f>
        <v>0</v>
      </c>
      <c r="I43" s="164">
        <f>[6]Hist!P$367</f>
        <v>0</v>
      </c>
      <c r="J43" s="133">
        <f>SUM(F43:I43)</f>
        <v>7237</v>
      </c>
      <c r="K43" s="164">
        <f>[6]Hist!U$367</f>
        <v>624</v>
      </c>
      <c r="L43" s="164">
        <f>[6]Hist!V$367</f>
        <v>110</v>
      </c>
      <c r="M43" s="133">
        <f t="shared" si="32"/>
        <v>7861</v>
      </c>
      <c r="N43" s="164">
        <f>'Interruptible Forecast'!AJ21</f>
        <v>223</v>
      </c>
      <c r="O43" s="133">
        <f t="shared" si="9"/>
        <v>6904</v>
      </c>
      <c r="P43" s="132">
        <f>[8]FCST!$BE17</f>
        <v>1633151</v>
      </c>
      <c r="Q43" s="463">
        <f>[8]FCST!$DG17</f>
        <v>7628</v>
      </c>
      <c r="R43" s="619"/>
      <c r="S43" s="371">
        <f>[8]FCST!$CO17</f>
        <v>61077</v>
      </c>
      <c r="T43" s="620"/>
      <c r="U43" s="506">
        <f t="shared" si="33"/>
        <v>1632031</v>
      </c>
      <c r="V43" s="374">
        <f t="shared" si="34"/>
        <v>14731</v>
      </c>
      <c r="W43" s="132">
        <f t="shared" si="20"/>
        <v>586</v>
      </c>
      <c r="X43" s="969">
        <f>[5]Mar!L38</f>
        <v>42.2</v>
      </c>
      <c r="Y43" s="1027">
        <f>[5]Mar!J38</f>
        <v>40</v>
      </c>
      <c r="Z43" s="143">
        <f>[5]Mar!K38</f>
        <v>46.7</v>
      </c>
      <c r="AA43" s="339">
        <f>[5]Mar!$M38</f>
        <v>40</v>
      </c>
      <c r="AC43" s="1151">
        <f t="shared" si="3"/>
        <v>2010</v>
      </c>
      <c r="AD43" s="1152">
        <f t="shared" si="4"/>
        <v>6904</v>
      </c>
      <c r="AE43" s="1153">
        <f t="shared" si="5"/>
        <v>1632031</v>
      </c>
      <c r="AF43" s="1154">
        <f t="shared" si="25"/>
        <v>40</v>
      </c>
      <c r="AG43" s="1155">
        <v>0</v>
      </c>
      <c r="AH43" s="1151">
        <f t="shared" si="22"/>
        <v>0</v>
      </c>
      <c r="AI43" s="1154"/>
      <c r="AJ43" s="1155">
        <f>ROUND($AW$8+$AV$8*$AE43+$AU$8*$AF43+$AT$8*$AG43+$AS$8*$AH43,0)</f>
        <v>6324</v>
      </c>
      <c r="AK43" s="1155">
        <f>AD43-AJ43</f>
        <v>580</v>
      </c>
      <c r="AL43" s="1155"/>
      <c r="AM43" s="1155"/>
      <c r="AN43" s="1155"/>
      <c r="AO43" s="1169"/>
      <c r="AP43" s="1158">
        <f t="shared" si="12"/>
        <v>625</v>
      </c>
      <c r="AZ43" s="124">
        <f>AC43</f>
        <v>2010</v>
      </c>
      <c r="BA43">
        <f>ROUND($AW$8+$AV$8*$AE43+$AU$8*$AF$53+$AT$8*AG43+$AS$8*AH43,0)</f>
        <v>6246</v>
      </c>
      <c r="BB43" s="102">
        <f>AD43</f>
        <v>6904</v>
      </c>
      <c r="BC43" s="102">
        <f>BA43-BB43</f>
        <v>-658</v>
      </c>
      <c r="BD43" s="471">
        <f>AJ43</f>
        <v>6324</v>
      </c>
      <c r="BE43" s="464">
        <f>BA43-BD43</f>
        <v>-78</v>
      </c>
      <c r="BF43" s="102">
        <f>BC43-BE43</f>
        <v>-580</v>
      </c>
    </row>
    <row r="44" spans="1:59">
      <c r="A44" s="123">
        <v>2011</v>
      </c>
      <c r="B44" s="830">
        <v>40629</v>
      </c>
      <c r="C44" s="284">
        <v>17</v>
      </c>
      <c r="D44" s="346" t="str">
        <f>TEXT(WEEKDAY(B44),"ddd")</f>
        <v>Sun</v>
      </c>
      <c r="E44" s="133">
        <f>[7]MoCoinMW!F$259</f>
        <v>6133</v>
      </c>
      <c r="F44" s="133">
        <f>[7]MoCoinMW!G$259</f>
        <v>5474</v>
      </c>
      <c r="G44" s="164">
        <f>SUM([6]Hist!M$379:O$379)</f>
        <v>0</v>
      </c>
      <c r="H44" s="164">
        <f>[6]Hist!L$379</f>
        <v>0</v>
      </c>
      <c r="I44" s="164">
        <f>[6]Hist!P$379</f>
        <v>0</v>
      </c>
      <c r="J44" s="133">
        <f>SUM(F44:I44)</f>
        <v>5474</v>
      </c>
      <c r="K44" s="164">
        <f>[6]Hist!U$379</f>
        <v>692</v>
      </c>
      <c r="L44" s="164">
        <f>[6]Hist!V$379</f>
        <v>110</v>
      </c>
      <c r="M44" s="133">
        <f t="shared" si="32"/>
        <v>6166</v>
      </c>
      <c r="N44" s="164">
        <f>'Interruptible Forecast'!AJ22</f>
        <v>291</v>
      </c>
      <c r="O44" s="133">
        <f t="shared" si="9"/>
        <v>5073</v>
      </c>
      <c r="P44" s="132">
        <f>[8]FCST!$BE18</f>
        <v>1640963</v>
      </c>
      <c r="Q44" s="463">
        <f>[8]FCST!$DG18</f>
        <v>9794</v>
      </c>
      <c r="R44" s="619"/>
      <c r="S44" s="371">
        <f>[8]FCST!$CO18</f>
        <v>57898</v>
      </c>
      <c r="T44" s="620"/>
      <c r="U44" s="389">
        <f t="shared" si="33"/>
        <v>1637677</v>
      </c>
      <c r="V44" s="374">
        <f t="shared" si="34"/>
        <v>14805</v>
      </c>
      <c r="W44" s="132">
        <f t="shared" si="20"/>
        <v>5646</v>
      </c>
      <c r="X44" s="969">
        <f>[5]Mar!L39</f>
        <v>83.1</v>
      </c>
      <c r="Y44" s="681">
        <f>[5]Mar!J39</f>
        <v>86.9</v>
      </c>
      <c r="Z44" s="143">
        <f>[5]Mar!K39</f>
        <v>75.5</v>
      </c>
      <c r="AA44" s="339">
        <f>[5]Mar!$M39</f>
        <v>85.2</v>
      </c>
      <c r="AC44" s="1151">
        <f t="shared" si="3"/>
        <v>2011</v>
      </c>
      <c r="AD44" s="1152">
        <f t="shared" si="4"/>
        <v>5073</v>
      </c>
      <c r="AE44" s="1153">
        <f t="shared" si="5"/>
        <v>1637677</v>
      </c>
      <c r="AF44" s="1154">
        <f t="shared" si="25"/>
        <v>86.9</v>
      </c>
      <c r="AG44" s="1155">
        <v>0</v>
      </c>
      <c r="AH44" s="1151">
        <f t="shared" si="22"/>
        <v>0</v>
      </c>
      <c r="AI44" s="1154"/>
      <c r="AJ44" s="1155"/>
      <c r="AK44" s="1155"/>
      <c r="AL44" s="1155"/>
      <c r="AM44" s="1155"/>
      <c r="AN44" s="1155"/>
      <c r="AO44" s="1169"/>
      <c r="AP44" s="1158">
        <f t="shared" si="12"/>
        <v>-1831</v>
      </c>
    </row>
    <row r="45" spans="1:59">
      <c r="A45" s="123">
        <v>2012</v>
      </c>
      <c r="B45" s="830">
        <v>40991</v>
      </c>
      <c r="C45" s="284">
        <v>17</v>
      </c>
      <c r="D45" s="346" t="str">
        <f>TEXT(WEEKDAY(B45),"ddd")</f>
        <v>Fri</v>
      </c>
      <c r="E45" s="133">
        <f>[7]MoCoinMW!F$271</f>
        <v>6135</v>
      </c>
      <c r="F45" s="133">
        <f>[7]MoCoinMW!G$271</f>
        <v>5820</v>
      </c>
      <c r="G45" s="164">
        <f>SUM([6]Hist!M$391:O$391)</f>
        <v>0</v>
      </c>
      <c r="H45" s="164">
        <f>[6]Hist!L$391</f>
        <v>0</v>
      </c>
      <c r="I45" s="164">
        <f>[6]Hist!P$391</f>
        <v>0</v>
      </c>
      <c r="J45" s="133">
        <f>SUM(F45:I45)</f>
        <v>5820</v>
      </c>
      <c r="K45" s="164">
        <f>[6]Hist!U$391</f>
        <v>757</v>
      </c>
      <c r="L45" s="164">
        <f>[6]Hist!V$391</f>
        <v>110</v>
      </c>
      <c r="M45" s="133">
        <f t="shared" si="32"/>
        <v>6577</v>
      </c>
      <c r="N45" s="164">
        <f>'Interruptible Forecast'!AJ23</f>
        <v>230</v>
      </c>
      <c r="O45" s="133">
        <f t="shared" si="9"/>
        <v>5480</v>
      </c>
      <c r="P45" s="132">
        <f>[8]FCST!$BE19</f>
        <v>1653097</v>
      </c>
      <c r="Q45" s="463">
        <f>[8]FCST!$DG19</f>
        <v>9508</v>
      </c>
      <c r="R45" s="619"/>
      <c r="S45" s="371">
        <f>[8]FCST!$CO19</f>
        <v>61662</v>
      </c>
      <c r="T45" s="620"/>
      <c r="U45" s="389">
        <f t="shared" si="33"/>
        <v>1650097</v>
      </c>
      <c r="V45" s="374">
        <f t="shared" si="34"/>
        <v>14879</v>
      </c>
      <c r="W45" s="132">
        <f t="shared" si="20"/>
        <v>12420</v>
      </c>
      <c r="X45" s="969">
        <f>[5]Mar!L40</f>
        <v>80.099999999999994</v>
      </c>
      <c r="Y45" s="681">
        <f>[5]Mar!J40</f>
        <v>82.8</v>
      </c>
      <c r="Z45" s="143">
        <f>[5]Mar!K40</f>
        <v>74.599999999999994</v>
      </c>
      <c r="AA45" s="339">
        <f>[5]Mar!$M40</f>
        <v>81.2</v>
      </c>
      <c r="AC45" s="1151">
        <f t="shared" si="3"/>
        <v>2012</v>
      </c>
      <c r="AD45" s="1152">
        <f t="shared" si="4"/>
        <v>5480</v>
      </c>
      <c r="AE45" s="1153">
        <f t="shared" si="5"/>
        <v>1650097</v>
      </c>
      <c r="AF45" s="1154">
        <f t="shared" si="25"/>
        <v>82.8</v>
      </c>
      <c r="AG45" s="1155">
        <v>0</v>
      </c>
      <c r="AH45" s="1151">
        <f t="shared" si="22"/>
        <v>0</v>
      </c>
      <c r="AI45" s="1154"/>
      <c r="AJ45" s="1155"/>
      <c r="AK45" s="1155"/>
      <c r="AL45" s="1155"/>
      <c r="AM45" s="1155"/>
      <c r="AN45" s="1155">
        <f>[11]Mar!$AM45</f>
        <v>0</v>
      </c>
      <c r="AO45" s="1169"/>
      <c r="AP45" s="1158">
        <f t="shared" si="12"/>
        <v>407</v>
      </c>
    </row>
    <row r="46" spans="1:59">
      <c r="A46" s="123">
        <v>2013</v>
      </c>
      <c r="B46" s="830">
        <v>41337</v>
      </c>
      <c r="C46" s="284">
        <v>8</v>
      </c>
      <c r="D46" s="915" t="str">
        <f>TEXT(WEEKDAY(B46),"ddd")</f>
        <v>Mon</v>
      </c>
      <c r="E46" s="133">
        <f>[7]MoCoinMW!F$283</f>
        <v>7856</v>
      </c>
      <c r="F46" s="133">
        <f>[7]MoCoinMW!G$283</f>
        <v>7019</v>
      </c>
      <c r="G46" s="164">
        <f>SUM([6]Hist!M$403:O$403)</f>
        <v>0</v>
      </c>
      <c r="H46" s="164">
        <f>[6]Hist!L$403</f>
        <v>0</v>
      </c>
      <c r="I46" s="164">
        <f>[6]Hist!P$403</f>
        <v>0</v>
      </c>
      <c r="J46" s="133">
        <f>SUM(F46:I46)</f>
        <v>7019</v>
      </c>
      <c r="K46" s="164">
        <f>[6]Hist!U$403</f>
        <v>814</v>
      </c>
      <c r="L46" s="164">
        <f>[6]Hist!V$403</f>
        <v>124</v>
      </c>
      <c r="M46" s="133">
        <f t="shared" ref="M46" si="35">SUM(J46:K46)</f>
        <v>7833</v>
      </c>
      <c r="N46" s="164">
        <f>'Interruptible Forecast'!AJ24</f>
        <v>237</v>
      </c>
      <c r="O46" s="133">
        <f t="shared" si="9"/>
        <v>6658</v>
      </c>
      <c r="P46" s="132">
        <f>[8]FCST!$BE20</f>
        <v>1667562</v>
      </c>
      <c r="Q46" s="463">
        <f>[8]FCST!$DG20</f>
        <v>9370</v>
      </c>
      <c r="R46" s="619"/>
      <c r="S46" s="371">
        <f>[8]FCST!$CO20</f>
        <v>57216</v>
      </c>
      <c r="T46" s="620"/>
      <c r="U46" s="389">
        <f t="shared" si="33"/>
        <v>1664700</v>
      </c>
      <c r="V46" s="374">
        <f t="shared" si="34"/>
        <v>14953</v>
      </c>
      <c r="W46" s="132">
        <f t="shared" si="20"/>
        <v>14603</v>
      </c>
      <c r="X46" s="969">
        <f>[5]Mar!L41</f>
        <v>39.1</v>
      </c>
      <c r="Y46" s="1027">
        <f>[5]Mar!J41</f>
        <v>36.4</v>
      </c>
      <c r="Z46" s="143">
        <f>[5]Mar!K41</f>
        <v>44.4</v>
      </c>
      <c r="AA46" s="339">
        <f>[5]Mar!$M41</f>
        <v>35.799999999999997</v>
      </c>
      <c r="AC46" s="1151">
        <f t="shared" si="3"/>
        <v>2013</v>
      </c>
      <c r="AD46" s="1156"/>
      <c r="AE46" s="1153">
        <f t="shared" si="5"/>
        <v>1664700</v>
      </c>
      <c r="AF46" s="1171">
        <f t="shared" ref="AF46:AF63" si="36">$Y$74</f>
        <v>42.8</v>
      </c>
      <c r="AG46" s="1155">
        <v>0</v>
      </c>
      <c r="AH46" s="1151">
        <f t="shared" si="22"/>
        <v>0</v>
      </c>
      <c r="AI46" s="1154"/>
      <c r="AJ46" s="1155"/>
      <c r="AK46" s="1155"/>
      <c r="AL46" s="1155">
        <v>25</v>
      </c>
      <c r="AM46" s="1155">
        <f t="shared" ref="AM46:AM63" si="37">ROUND($AW$8+$AV$8*$AE46+$AU$8*$AF46+$AT$8*$AG46+$AS$8*$AH46,0)</f>
        <v>6385</v>
      </c>
      <c r="AN46" s="1155">
        <f>[11]Mar!$AM46</f>
        <v>7002</v>
      </c>
      <c r="AO46" s="1169">
        <f t="shared" ref="AO46:AO53" si="38">AM46-AN46</f>
        <v>-617</v>
      </c>
      <c r="AP46" s="1158">
        <f>AM46-AD45</f>
        <v>905</v>
      </c>
    </row>
    <row r="47" spans="1:59">
      <c r="A47" s="123">
        <v>2014</v>
      </c>
      <c r="P47" s="132">
        <f>[8]FCST!$BE21</f>
        <v>1684187.71659772</v>
      </c>
      <c r="Q47" s="371">
        <f t="shared" ref="Q47:Q53" si="39">R47*S47</f>
        <v>8435.6909626799406</v>
      </c>
      <c r="R47" s="619">
        <f t="shared" ref="R47:R52" si="40">$R$4</f>
        <v>0.13469999999999999</v>
      </c>
      <c r="S47" s="371">
        <f>[8]FCST!$CO21</f>
        <v>62625.768097104243</v>
      </c>
      <c r="T47" s="620">
        <f>[8]FCST!$BW21</f>
        <v>1491089.71659772</v>
      </c>
      <c r="U47" s="621">
        <f t="shared" si="33"/>
        <v>1682260.0256350401</v>
      </c>
      <c r="V47" s="374">
        <f t="shared" si="34"/>
        <v>15028</v>
      </c>
      <c r="W47" s="132">
        <f t="shared" si="20"/>
        <v>17560.025635040132</v>
      </c>
      <c r="X47" s="123"/>
      <c r="Y47" s="123"/>
      <c r="AC47" s="1151">
        <f t="shared" si="3"/>
        <v>2014</v>
      </c>
      <c r="AD47" s="1156"/>
      <c r="AE47" s="1153">
        <f t="shared" si="5"/>
        <v>1682260.0256350401</v>
      </c>
      <c r="AF47" s="1171">
        <f t="shared" si="36"/>
        <v>42.8</v>
      </c>
      <c r="AG47" s="1155">
        <v>0</v>
      </c>
      <c r="AH47" s="1151">
        <f t="shared" si="22"/>
        <v>0</v>
      </c>
      <c r="AI47" s="1154"/>
      <c r="AJ47" s="1155"/>
      <c r="AK47" s="1155"/>
      <c r="AL47" s="1155">
        <v>25</v>
      </c>
      <c r="AM47" s="1155">
        <f t="shared" si="37"/>
        <v>6460</v>
      </c>
      <c r="AN47" s="1155">
        <f>[11]Mar!$AM47</f>
        <v>7110</v>
      </c>
      <c r="AO47" s="1169">
        <f t="shared" si="38"/>
        <v>-650</v>
      </c>
      <c r="AP47" s="1158">
        <f t="shared" ref="AP47:AP53" si="41">AM47-AM46</f>
        <v>75</v>
      </c>
    </row>
    <row r="48" spans="1:59">
      <c r="A48" s="123">
        <v>2015</v>
      </c>
      <c r="P48" s="132">
        <f>[8]FCST!$BE22</f>
        <v>1709552.01265442</v>
      </c>
      <c r="Q48" s="371">
        <f t="shared" si="39"/>
        <v>8564.6360983911145</v>
      </c>
      <c r="R48" s="619">
        <f t="shared" si="40"/>
        <v>0.13469999999999999</v>
      </c>
      <c r="S48" s="371">
        <f>[8]FCST!$CO22</f>
        <v>63583.044531485641</v>
      </c>
      <c r="T48" s="620">
        <f>[8]FCST!$BW22</f>
        <v>1513882.01265442</v>
      </c>
      <c r="U48" s="621">
        <f t="shared" si="33"/>
        <v>1707495.3765560288</v>
      </c>
      <c r="V48" s="374">
        <f t="shared" si="34"/>
        <v>15103</v>
      </c>
      <c r="W48" s="132">
        <f t="shared" si="20"/>
        <v>25235.350920988712</v>
      </c>
      <c r="X48" s="123"/>
      <c r="Y48" s="123"/>
      <c r="AC48" s="1151">
        <f t="shared" si="3"/>
        <v>2015</v>
      </c>
      <c r="AD48" s="1156"/>
      <c r="AE48" s="1153">
        <f t="shared" si="5"/>
        <v>1707495.3765560288</v>
      </c>
      <c r="AF48" s="1171">
        <f t="shared" si="36"/>
        <v>42.8</v>
      </c>
      <c r="AG48" s="1155">
        <v>0</v>
      </c>
      <c r="AH48" s="1151">
        <f t="shared" si="22"/>
        <v>0</v>
      </c>
      <c r="AI48" s="1154"/>
      <c r="AJ48" s="1155"/>
      <c r="AK48" s="1155"/>
      <c r="AL48" s="1155">
        <v>25</v>
      </c>
      <c r="AM48" s="1155">
        <f t="shared" si="37"/>
        <v>6568</v>
      </c>
      <c r="AN48" s="1155">
        <f>[11]Mar!$AM48</f>
        <v>7244</v>
      </c>
      <c r="AO48" s="1169">
        <f t="shared" si="38"/>
        <v>-676</v>
      </c>
      <c r="AP48" s="1158">
        <f t="shared" si="41"/>
        <v>108</v>
      </c>
    </row>
    <row r="49" spans="1:58">
      <c r="A49" s="123">
        <v>2016</v>
      </c>
      <c r="P49" s="132">
        <f>[8]FCST!$BE23</f>
        <v>1736110.88684675</v>
      </c>
      <c r="Q49" s="371">
        <f t="shared" si="39"/>
        <v>8699.4285990468034</v>
      </c>
      <c r="R49" s="619">
        <f t="shared" si="40"/>
        <v>0.13469999999999999</v>
      </c>
      <c r="S49" s="371">
        <f>[8]FCST!$CO23</f>
        <v>64583.731247563504</v>
      </c>
      <c r="T49" s="620">
        <f>[8]FCST!$BW23</f>
        <v>1537707.88684675</v>
      </c>
      <c r="U49" s="621">
        <f t="shared" si="33"/>
        <v>1733919.4582477033</v>
      </c>
      <c r="V49" s="374">
        <f t="shared" si="34"/>
        <v>15179</v>
      </c>
      <c r="W49" s="132">
        <f t="shared" si="20"/>
        <v>26424.081691674422</v>
      </c>
      <c r="X49" s="123"/>
      <c r="Y49" s="123"/>
      <c r="AC49" s="1151">
        <f t="shared" si="3"/>
        <v>2016</v>
      </c>
      <c r="AD49" s="1156"/>
      <c r="AE49" s="1153">
        <f t="shared" si="5"/>
        <v>1733919.4582477033</v>
      </c>
      <c r="AF49" s="1171">
        <f t="shared" si="36"/>
        <v>42.8</v>
      </c>
      <c r="AG49" s="1155">
        <v>0</v>
      </c>
      <c r="AH49" s="1151">
        <f t="shared" si="22"/>
        <v>0</v>
      </c>
      <c r="AI49" s="1154"/>
      <c r="AJ49" s="1155"/>
      <c r="AK49" s="1155"/>
      <c r="AL49" s="1155">
        <v>25</v>
      </c>
      <c r="AM49" s="1155">
        <f t="shared" si="37"/>
        <v>6681</v>
      </c>
      <c r="AN49" s="1155">
        <f>[11]Mar!$AM49</f>
        <v>7377</v>
      </c>
      <c r="AO49" s="1169">
        <f t="shared" si="38"/>
        <v>-696</v>
      </c>
      <c r="AP49" s="1158">
        <f t="shared" si="41"/>
        <v>113</v>
      </c>
    </row>
    <row r="50" spans="1:58">
      <c r="A50" s="123">
        <v>2017</v>
      </c>
      <c r="P50" s="132">
        <f>[8]FCST!$BE24</f>
        <v>1762664.0585743999</v>
      </c>
      <c r="Q50" s="371">
        <f t="shared" si="39"/>
        <v>8834.4038197788086</v>
      </c>
      <c r="R50" s="619">
        <f t="shared" si="40"/>
        <v>0.13469999999999999</v>
      </c>
      <c r="S50" s="371">
        <f>[8]FCST!$CO24</f>
        <v>65585.774460124798</v>
      </c>
      <c r="T50" s="620">
        <f>[8]FCST!$BW24</f>
        <v>1561566.0585743999</v>
      </c>
      <c r="U50" s="621">
        <f t="shared" si="33"/>
        <v>1760337.6547546212</v>
      </c>
      <c r="V50" s="374">
        <f t="shared" si="34"/>
        <v>15255</v>
      </c>
      <c r="W50" s="132">
        <f t="shared" si="20"/>
        <v>26418.196506917942</v>
      </c>
      <c r="X50" s="123"/>
      <c r="Y50" s="123"/>
      <c r="AC50" s="1151">
        <f t="shared" si="3"/>
        <v>2017</v>
      </c>
      <c r="AD50" s="1156"/>
      <c r="AE50" s="1153">
        <f t="shared" si="5"/>
        <v>1760337.6547546212</v>
      </c>
      <c r="AF50" s="1171">
        <f t="shared" si="36"/>
        <v>42.8</v>
      </c>
      <c r="AG50" s="1155">
        <v>0</v>
      </c>
      <c r="AH50" s="1151">
        <f t="shared" si="22"/>
        <v>0</v>
      </c>
      <c r="AI50" s="1154"/>
      <c r="AJ50" s="1155"/>
      <c r="AK50" s="1155"/>
      <c r="AL50" s="1155">
        <v>25</v>
      </c>
      <c r="AM50" s="1155">
        <f t="shared" si="37"/>
        <v>6793</v>
      </c>
      <c r="AN50" s="1155">
        <f>[11]Mar!$AM50</f>
        <v>7511</v>
      </c>
      <c r="AO50" s="1169">
        <f t="shared" si="38"/>
        <v>-718</v>
      </c>
      <c r="AP50" s="1158">
        <f t="shared" si="41"/>
        <v>112</v>
      </c>
    </row>
    <row r="51" spans="1:58">
      <c r="A51" s="123">
        <v>2018</v>
      </c>
      <c r="P51" s="132">
        <f>[8]FCST!$BE25</f>
        <v>1788524.0726233099</v>
      </c>
      <c r="Q51" s="371">
        <f t="shared" si="39"/>
        <v>8965.9101622591133</v>
      </c>
      <c r="R51" s="619">
        <f t="shared" si="40"/>
        <v>0.13469999999999999</v>
      </c>
      <c r="S51" s="371">
        <f>[8]FCST!$CO25</f>
        <v>66562.065050179022</v>
      </c>
      <c r="T51" s="620">
        <f>[8]FCST!$BW25</f>
        <v>1584811.0726233099</v>
      </c>
      <c r="U51" s="621">
        <f t="shared" si="33"/>
        <v>1786066.1624610508</v>
      </c>
      <c r="V51" s="374">
        <f t="shared" si="34"/>
        <v>15331</v>
      </c>
      <c r="W51" s="132">
        <f t="shared" si="20"/>
        <v>25728.507706429577</v>
      </c>
      <c r="X51" s="123"/>
      <c r="Y51" s="123"/>
      <c r="AC51" s="1151">
        <f t="shared" si="3"/>
        <v>2018</v>
      </c>
      <c r="AD51" s="1156"/>
      <c r="AE51" s="1153">
        <f t="shared" si="5"/>
        <v>1786066.1624610508</v>
      </c>
      <c r="AF51" s="1171">
        <f t="shared" si="36"/>
        <v>42.8</v>
      </c>
      <c r="AG51" s="1155">
        <v>0</v>
      </c>
      <c r="AH51" s="1151">
        <f t="shared" si="22"/>
        <v>0</v>
      </c>
      <c r="AI51" s="1154"/>
      <c r="AJ51" s="1155"/>
      <c r="AK51" s="1155"/>
      <c r="AL51" s="1155">
        <v>25</v>
      </c>
      <c r="AM51" s="1155">
        <f t="shared" si="37"/>
        <v>6903</v>
      </c>
      <c r="AN51" s="1155">
        <f>[11]Mar!$AM51</f>
        <v>7650</v>
      </c>
      <c r="AO51" s="1169">
        <f t="shared" si="38"/>
        <v>-747</v>
      </c>
      <c r="AP51" s="1158">
        <f t="shared" si="41"/>
        <v>110</v>
      </c>
    </row>
    <row r="52" spans="1:58">
      <c r="A52" s="123">
        <v>2019</v>
      </c>
      <c r="P52" s="132">
        <f>[8]FCST!$BE26</f>
        <v>1812839.5026463601</v>
      </c>
      <c r="Q52" s="371">
        <f t="shared" si="39"/>
        <v>9089.6738774715159</v>
      </c>
      <c r="R52" s="619">
        <f t="shared" si="40"/>
        <v>0.13469999999999999</v>
      </c>
      <c r="S52" s="371">
        <f>[8]FCST!$CO26</f>
        <v>67480.875111147121</v>
      </c>
      <c r="T52" s="620">
        <f>[8]FCST!$BW26</f>
        <v>1606687.5026463601</v>
      </c>
      <c r="U52" s="621">
        <f t="shared" si="33"/>
        <v>1810257.8287688885</v>
      </c>
      <c r="V52" s="374">
        <f t="shared" si="34"/>
        <v>15408</v>
      </c>
      <c r="W52" s="132">
        <f t="shared" si="20"/>
        <v>24191.666307837702</v>
      </c>
      <c r="X52" s="123"/>
      <c r="Y52" s="123"/>
      <c r="AC52" s="1151">
        <f t="shared" si="3"/>
        <v>2019</v>
      </c>
      <c r="AD52" s="1156"/>
      <c r="AE52" s="1153">
        <f t="shared" si="5"/>
        <v>1810257.8287688885</v>
      </c>
      <c r="AF52" s="1171">
        <f t="shared" si="36"/>
        <v>42.8</v>
      </c>
      <c r="AG52" s="1155">
        <v>0</v>
      </c>
      <c r="AH52" s="1151">
        <f t="shared" si="22"/>
        <v>0</v>
      </c>
      <c r="AI52" s="1154"/>
      <c r="AJ52" s="1155"/>
      <c r="AK52" s="1155"/>
      <c r="AL52" s="1155">
        <v>25</v>
      </c>
      <c r="AM52" s="1155">
        <f t="shared" si="37"/>
        <v>7006</v>
      </c>
      <c r="AN52" s="1155">
        <f>[11]Mar!$AM52</f>
        <v>7790</v>
      </c>
      <c r="AO52" s="1169">
        <f t="shared" si="38"/>
        <v>-784</v>
      </c>
      <c r="AP52" s="1158">
        <f t="shared" si="41"/>
        <v>103</v>
      </c>
    </row>
    <row r="53" spans="1:58">
      <c r="A53" s="123">
        <v>2020</v>
      </c>
      <c r="P53" s="132">
        <f>[8]FCST!$BE27</f>
        <v>1836453.05523018</v>
      </c>
      <c r="Q53" s="371">
        <f t="shared" si="39"/>
        <v>9210.0325312592213</v>
      </c>
      <c r="R53" s="619">
        <f t="shared" ref="R53:R73" si="42">$R$4</f>
        <v>0.13469999999999999</v>
      </c>
      <c r="S53" s="371">
        <f>[8]FCST!$CO27</f>
        <v>68374.406319667571</v>
      </c>
      <c r="T53" s="620">
        <f>[8]FCST!$BW27</f>
        <v>1627962.05523018</v>
      </c>
      <c r="U53" s="621">
        <f t="shared" si="33"/>
        <v>1833751.0226989209</v>
      </c>
      <c r="V53" s="374">
        <f t="shared" si="34"/>
        <v>15485</v>
      </c>
      <c r="W53" s="132">
        <f t="shared" si="20"/>
        <v>23493.19393003243</v>
      </c>
      <c r="X53" s="123"/>
      <c r="Y53" s="123"/>
      <c r="AC53" s="1151">
        <f t="shared" si="3"/>
        <v>2020</v>
      </c>
      <c r="AD53" s="1156"/>
      <c r="AE53" s="1153">
        <f t="shared" si="5"/>
        <v>1833751.0226989209</v>
      </c>
      <c r="AF53" s="1171">
        <f t="shared" si="36"/>
        <v>42.8</v>
      </c>
      <c r="AG53" s="1155">
        <v>0</v>
      </c>
      <c r="AH53" s="1151">
        <f t="shared" si="22"/>
        <v>0</v>
      </c>
      <c r="AI53" s="1154"/>
      <c r="AJ53" s="1155"/>
      <c r="AK53" s="1155"/>
      <c r="AL53" s="1155">
        <v>25</v>
      </c>
      <c r="AM53" s="1155">
        <f t="shared" si="37"/>
        <v>7107</v>
      </c>
      <c r="AN53" s="1155">
        <f>[11]Mar!$AM53</f>
        <v>7930</v>
      </c>
      <c r="AO53" s="1169">
        <f t="shared" si="38"/>
        <v>-823</v>
      </c>
      <c r="AP53" s="1158">
        <f t="shared" si="41"/>
        <v>101</v>
      </c>
    </row>
    <row r="54" spans="1:58">
      <c r="A54" s="123">
        <v>2021</v>
      </c>
      <c r="P54" s="132">
        <f>[8]FCST!$BE28</f>
        <v>1859353.5310224099</v>
      </c>
      <c r="Q54" s="371">
        <f t="shared" ref="Q54:Q63" si="43">R54*S54</f>
        <v>9326.8322460061809</v>
      </c>
      <c r="R54" s="619">
        <f t="shared" si="42"/>
        <v>0.13469999999999999</v>
      </c>
      <c r="S54" s="371">
        <f>[8]FCST!$CO28</f>
        <v>69241.516302941222</v>
      </c>
      <c r="T54" s="620">
        <f>[8]FCST!$BW28</f>
        <v>1648607.5310224099</v>
      </c>
      <c r="U54" s="621">
        <f t="shared" si="33"/>
        <v>1856534.6987764037</v>
      </c>
      <c r="V54" s="374">
        <f t="shared" si="34"/>
        <v>15562</v>
      </c>
      <c r="W54" s="132">
        <f t="shared" si="20"/>
        <v>22783.676077482756</v>
      </c>
      <c r="X54" s="123"/>
      <c r="Y54" s="123"/>
      <c r="AC54" s="1151">
        <f t="shared" si="3"/>
        <v>2021</v>
      </c>
      <c r="AD54" s="1156"/>
      <c r="AE54" s="1153">
        <f t="shared" si="5"/>
        <v>1856534.6987764037</v>
      </c>
      <c r="AF54" s="1171">
        <f t="shared" si="36"/>
        <v>42.8</v>
      </c>
      <c r="AG54" s="1155">
        <v>0</v>
      </c>
      <c r="AH54" s="1151">
        <f t="shared" ref="AH54:AH63" si="44">AH53</f>
        <v>0</v>
      </c>
      <c r="AI54" s="1154"/>
      <c r="AJ54" s="1155"/>
      <c r="AK54" s="1155"/>
      <c r="AL54" s="1155">
        <v>25</v>
      </c>
      <c r="AM54" s="1155">
        <f t="shared" si="37"/>
        <v>7204</v>
      </c>
      <c r="AN54" s="1155">
        <f>[11]Mar!$AM54</f>
        <v>8068</v>
      </c>
      <c r="AO54" s="1169">
        <f t="shared" ref="AO54:AO63" si="45">AM54-AN54</f>
        <v>-864</v>
      </c>
      <c r="AP54" s="1158">
        <f t="shared" ref="AP54:AP63" si="46">AM54-AM53</f>
        <v>97</v>
      </c>
    </row>
    <row r="55" spans="1:58">
      <c r="A55" s="123">
        <v>2022</v>
      </c>
      <c r="K55" s="164"/>
      <c r="L55" s="164"/>
      <c r="P55" s="132">
        <f>[8]FCST!$BE29</f>
        <v>1881650.9695806501</v>
      </c>
      <c r="Q55" s="371">
        <f t="shared" si="43"/>
        <v>9440.6785873055687</v>
      </c>
      <c r="R55" s="619">
        <f t="shared" si="42"/>
        <v>0.13469999999999999</v>
      </c>
      <c r="S55" s="371">
        <f>[8]FCST!$CO29</f>
        <v>70086.700722387308</v>
      </c>
      <c r="T55" s="620">
        <f>[8]FCST!$BW29</f>
        <v>1668730.9695806501</v>
      </c>
      <c r="U55" s="621">
        <f t="shared" si="33"/>
        <v>1878718.2909933445</v>
      </c>
      <c r="V55" s="374">
        <f t="shared" si="34"/>
        <v>15640</v>
      </c>
      <c r="W55" s="132">
        <f t="shared" si="20"/>
        <v>22183.59221694083</v>
      </c>
      <c r="AC55" s="1151">
        <f t="shared" si="3"/>
        <v>2022</v>
      </c>
      <c r="AD55" s="1156"/>
      <c r="AE55" s="1153">
        <f t="shared" si="5"/>
        <v>1878718.2909933445</v>
      </c>
      <c r="AF55" s="1171">
        <f t="shared" si="36"/>
        <v>42.8</v>
      </c>
      <c r="AG55" s="1155">
        <v>0</v>
      </c>
      <c r="AH55" s="1151">
        <f t="shared" si="44"/>
        <v>0</v>
      </c>
      <c r="AI55" s="1154"/>
      <c r="AJ55" s="1155"/>
      <c r="AK55" s="1155"/>
      <c r="AL55" s="1155">
        <v>25</v>
      </c>
      <c r="AM55" s="1155">
        <f t="shared" si="37"/>
        <v>7298</v>
      </c>
      <c r="AN55" s="1155">
        <f>[11]Mar!$AM55</f>
        <v>8204</v>
      </c>
      <c r="AO55" s="1169">
        <f t="shared" si="45"/>
        <v>-906</v>
      </c>
      <c r="AP55" s="1158">
        <f t="shared" si="46"/>
        <v>94</v>
      </c>
    </row>
    <row r="56" spans="1:58">
      <c r="A56" s="123">
        <v>2023</v>
      </c>
      <c r="P56" s="132">
        <f>[8]FCST!$BE30</f>
        <v>1902750.4511578199</v>
      </c>
      <c r="Q56" s="371">
        <f t="shared" si="43"/>
        <v>9548.4717539802496</v>
      </c>
      <c r="R56" s="619">
        <f t="shared" si="42"/>
        <v>0.13469999999999999</v>
      </c>
      <c r="S56" s="371">
        <f>[8]FCST!$CO30</f>
        <v>70886.946948628436</v>
      </c>
      <c r="T56" s="620">
        <f>[8]FCST!$BW30</f>
        <v>1687784.4511578199</v>
      </c>
      <c r="U56" s="621">
        <f t="shared" si="33"/>
        <v>1899709.9794038397</v>
      </c>
      <c r="V56" s="374">
        <f t="shared" si="34"/>
        <v>15718</v>
      </c>
      <c r="W56" s="132">
        <f t="shared" si="20"/>
        <v>20991.688410495175</v>
      </c>
      <c r="AC56" s="1151">
        <f t="shared" si="3"/>
        <v>2023</v>
      </c>
      <c r="AD56" s="1156"/>
      <c r="AE56" s="1153">
        <f t="shared" si="5"/>
        <v>1899709.9794038397</v>
      </c>
      <c r="AF56" s="1171">
        <f t="shared" si="36"/>
        <v>42.8</v>
      </c>
      <c r="AG56" s="1155">
        <v>0</v>
      </c>
      <c r="AH56" s="1151">
        <f t="shared" si="44"/>
        <v>0</v>
      </c>
      <c r="AI56" s="1154"/>
      <c r="AJ56" s="1155"/>
      <c r="AK56" s="1155"/>
      <c r="AL56" s="1155">
        <v>25</v>
      </c>
      <c r="AM56" s="1155">
        <f t="shared" si="37"/>
        <v>7388</v>
      </c>
      <c r="AN56" s="1155">
        <f>[11]Mar!$AM56</f>
        <v>8338</v>
      </c>
      <c r="AO56" s="1169">
        <f t="shared" si="45"/>
        <v>-950</v>
      </c>
      <c r="AP56" s="1158">
        <f t="shared" si="46"/>
        <v>90</v>
      </c>
      <c r="AS56" s="474"/>
      <c r="AT56" s="474"/>
    </row>
    <row r="57" spans="1:58">
      <c r="A57" s="123">
        <v>2024</v>
      </c>
      <c r="P57" s="132">
        <f>[8]FCST!$BE31</f>
        <v>1923045.10474353</v>
      </c>
      <c r="Q57" s="371">
        <f t="shared" si="43"/>
        <v>9652.3113711760452</v>
      </c>
      <c r="R57" s="619">
        <f t="shared" si="42"/>
        <v>0.13469999999999999</v>
      </c>
      <c r="S57" s="371">
        <f>[8]FCST!$CO31</f>
        <v>71657.842399228262</v>
      </c>
      <c r="T57" s="620">
        <f>[8]FCST!$BW31</f>
        <v>1706139.10474353</v>
      </c>
      <c r="U57" s="621">
        <f t="shared" si="33"/>
        <v>1919900.793372354</v>
      </c>
      <c r="V57" s="374">
        <f t="shared" si="34"/>
        <v>15797</v>
      </c>
      <c r="W57" s="132">
        <f t="shared" si="20"/>
        <v>20190.813968514325</v>
      </c>
      <c r="AC57" s="1151">
        <f t="shared" si="3"/>
        <v>2024</v>
      </c>
      <c r="AD57" s="1156"/>
      <c r="AE57" s="1153">
        <f t="shared" si="5"/>
        <v>1919900.793372354</v>
      </c>
      <c r="AF57" s="1171">
        <f t="shared" si="36"/>
        <v>42.8</v>
      </c>
      <c r="AG57" s="1155">
        <v>0</v>
      </c>
      <c r="AH57" s="1151">
        <f t="shared" si="44"/>
        <v>0</v>
      </c>
      <c r="AI57" s="1154"/>
      <c r="AJ57" s="1155"/>
      <c r="AK57" s="1155"/>
      <c r="AL57" s="1155">
        <v>25</v>
      </c>
      <c r="AM57" s="1155">
        <f t="shared" si="37"/>
        <v>7474</v>
      </c>
      <c r="AN57" s="1155">
        <f>[11]Mar!$AM57</f>
        <v>8470</v>
      </c>
      <c r="AO57" s="1169">
        <f t="shared" si="45"/>
        <v>-996</v>
      </c>
      <c r="AP57" s="1158">
        <f t="shared" si="46"/>
        <v>86</v>
      </c>
    </row>
    <row r="58" spans="1:58">
      <c r="A58" s="123">
        <v>2025</v>
      </c>
      <c r="P58" s="132">
        <f>[8]FCST!$BE32</f>
        <v>1942559.63326554</v>
      </c>
      <c r="Q58" s="371">
        <f t="shared" si="43"/>
        <v>9752.2297026364668</v>
      </c>
      <c r="R58" s="619">
        <f t="shared" si="42"/>
        <v>0.13469999999999999</v>
      </c>
      <c r="S58" s="371">
        <f>[8]FCST!$CO32</f>
        <v>72399.626597152688</v>
      </c>
      <c r="T58" s="620">
        <f>[8]FCST!$BW32</f>
        <v>1723800.63326554</v>
      </c>
      <c r="U58" s="621">
        <f t="shared" si="33"/>
        <v>1939315.4035629036</v>
      </c>
      <c r="V58" s="374">
        <f t="shared" si="34"/>
        <v>15876</v>
      </c>
      <c r="W58" s="132">
        <f t="shared" si="20"/>
        <v>19414.610190549633</v>
      </c>
      <c r="AC58" s="1151">
        <f t="shared" si="3"/>
        <v>2025</v>
      </c>
      <c r="AD58" s="1156"/>
      <c r="AE58" s="1153">
        <f t="shared" si="5"/>
        <v>1939315.4035629036</v>
      </c>
      <c r="AF58" s="1171">
        <f t="shared" si="36"/>
        <v>42.8</v>
      </c>
      <c r="AG58" s="1155">
        <f t="shared" ref="AG58:AG63" si="47">AG57</f>
        <v>0</v>
      </c>
      <c r="AH58" s="1151">
        <f t="shared" si="44"/>
        <v>0</v>
      </c>
      <c r="AI58" s="1154"/>
      <c r="AJ58" s="1155"/>
      <c r="AK58" s="1155"/>
      <c r="AL58" s="1155">
        <f t="shared" ref="AL58:AL63" si="48">AL57</f>
        <v>25</v>
      </c>
      <c r="AM58" s="1155">
        <f t="shared" si="37"/>
        <v>7557</v>
      </c>
      <c r="AN58" s="1155">
        <f>[11]Mar!$AM58</f>
        <v>8602</v>
      </c>
      <c r="AO58" s="1169">
        <f t="shared" si="45"/>
        <v>-1045</v>
      </c>
      <c r="AP58" s="1158">
        <f t="shared" si="46"/>
        <v>83</v>
      </c>
      <c r="BF58" s="118"/>
    </row>
    <row r="59" spans="1:58">
      <c r="A59" s="123">
        <v>2026</v>
      </c>
      <c r="P59" s="132">
        <f>[8]FCST!$BE33</f>
        <v>1961087.90630126</v>
      </c>
      <c r="Q59" s="371">
        <f t="shared" si="43"/>
        <v>9847.2133359087475</v>
      </c>
      <c r="R59" s="619">
        <f t="shared" si="42"/>
        <v>0.13469999999999999</v>
      </c>
      <c r="S59" s="371">
        <f>[8]FCST!$CO33</f>
        <v>73104.77606465292</v>
      </c>
      <c r="T59" s="620">
        <f>[8]FCST!$BW33</f>
        <v>1740589.90630126</v>
      </c>
      <c r="U59" s="621">
        <f>P59-Q59+S$31</f>
        <v>1957748.6929653513</v>
      </c>
      <c r="V59" s="374">
        <f t="shared" si="34"/>
        <v>15955</v>
      </c>
      <c r="W59" s="132">
        <f>U59-U58</f>
        <v>18433.289402447641</v>
      </c>
      <c r="X59" s="675"/>
      <c r="Y59" s="675"/>
      <c r="Z59" s="675"/>
      <c r="AC59" s="1151">
        <f>A59</f>
        <v>2026</v>
      </c>
      <c r="AD59" s="1156"/>
      <c r="AE59" s="1153">
        <f>U59</f>
        <v>1957748.6929653513</v>
      </c>
      <c r="AF59" s="1171">
        <f t="shared" si="36"/>
        <v>42.8</v>
      </c>
      <c r="AG59" s="1155">
        <f t="shared" si="47"/>
        <v>0</v>
      </c>
      <c r="AH59" s="1151">
        <f t="shared" si="44"/>
        <v>0</v>
      </c>
      <c r="AI59" s="1154"/>
      <c r="AJ59" s="1155"/>
      <c r="AK59" s="1155"/>
      <c r="AL59" s="1155">
        <f t="shared" si="48"/>
        <v>25</v>
      </c>
      <c r="AM59" s="1155">
        <f t="shared" si="37"/>
        <v>7636</v>
      </c>
      <c r="AN59" s="1155">
        <f>[11]Mar!$AM59</f>
        <v>8732</v>
      </c>
      <c r="AO59" s="1169">
        <f t="shared" si="45"/>
        <v>-1096</v>
      </c>
      <c r="AP59" s="1158">
        <f t="shared" si="46"/>
        <v>79</v>
      </c>
      <c r="BF59" s="118"/>
    </row>
    <row r="60" spans="1:58">
      <c r="A60" s="123">
        <v>2027</v>
      </c>
      <c r="P60" s="132">
        <f>[8]FCST!$BE34</f>
        <v>1979039.3216959201</v>
      </c>
      <c r="Q60" s="371">
        <f t="shared" si="43"/>
        <v>9939.357759762499</v>
      </c>
      <c r="R60" s="619">
        <f t="shared" si="42"/>
        <v>0.13469999999999999</v>
      </c>
      <c r="S60" s="371">
        <f>[8]FCST!$CO34</f>
        <v>73788.847511228654</v>
      </c>
      <c r="T60" s="620">
        <f>[8]FCST!$BW34</f>
        <v>1756877.3216959201</v>
      </c>
      <c r="U60" s="621">
        <f>P60-Q60+S$31</f>
        <v>1975607.9639361575</v>
      </c>
      <c r="V60" s="374">
        <f t="shared" si="34"/>
        <v>16035</v>
      </c>
      <c r="W60" s="132">
        <f>U60-U59</f>
        <v>17859.270970806247</v>
      </c>
      <c r="X60" s="675"/>
      <c r="Y60" s="675"/>
      <c r="Z60" s="675"/>
      <c r="AC60" s="1151">
        <f>A60</f>
        <v>2027</v>
      </c>
      <c r="AD60" s="1156"/>
      <c r="AE60" s="1153">
        <f>U60</f>
        <v>1975607.9639361575</v>
      </c>
      <c r="AF60" s="1171">
        <f t="shared" si="36"/>
        <v>42.8</v>
      </c>
      <c r="AG60" s="1155">
        <f t="shared" si="47"/>
        <v>0</v>
      </c>
      <c r="AH60" s="1151">
        <f t="shared" si="44"/>
        <v>0</v>
      </c>
      <c r="AI60" s="1154"/>
      <c r="AJ60" s="1155"/>
      <c r="AK60" s="1155"/>
      <c r="AL60" s="1155">
        <f t="shared" si="48"/>
        <v>25</v>
      </c>
      <c r="AM60" s="1155">
        <f t="shared" si="37"/>
        <v>7712</v>
      </c>
      <c r="AN60" s="1155">
        <f>[11]Mar!$AM60</f>
        <v>8861</v>
      </c>
      <c r="AO60" s="1169">
        <f t="shared" si="45"/>
        <v>-1149</v>
      </c>
      <c r="AP60" s="1158">
        <f t="shared" si="46"/>
        <v>76</v>
      </c>
      <c r="BF60" s="118"/>
    </row>
    <row r="61" spans="1:58">
      <c r="A61" s="123">
        <v>2028</v>
      </c>
      <c r="P61" s="132">
        <f>[8]FCST!$BE35</f>
        <v>1996620.0334745101</v>
      </c>
      <c r="Q61" s="371">
        <f t="shared" si="43"/>
        <v>10029.682177578692</v>
      </c>
      <c r="R61" s="619">
        <f t="shared" si="42"/>
        <v>0.13469999999999999</v>
      </c>
      <c r="S61" s="371">
        <f>[8]FCST!$CO35</f>
        <v>74459.407405929422</v>
      </c>
      <c r="T61" s="620">
        <f>[8]FCST!$BW35</f>
        <v>1772843.0334745101</v>
      </c>
      <c r="U61" s="621">
        <f>P61-Q61+S$31</f>
        <v>1993098.3512969313</v>
      </c>
      <c r="V61" s="374">
        <f t="shared" si="34"/>
        <v>16115</v>
      </c>
      <c r="W61" s="132">
        <f>U61-U60</f>
        <v>17490.387360773748</v>
      </c>
      <c r="X61" s="675"/>
      <c r="Y61" s="675"/>
      <c r="Z61" s="675"/>
      <c r="AC61" s="1151">
        <f>A61</f>
        <v>2028</v>
      </c>
      <c r="AD61" s="1156"/>
      <c r="AE61" s="1153">
        <f>U61</f>
        <v>1993098.3512969313</v>
      </c>
      <c r="AF61" s="1171">
        <f t="shared" si="36"/>
        <v>42.8</v>
      </c>
      <c r="AG61" s="1155">
        <f t="shared" si="47"/>
        <v>0</v>
      </c>
      <c r="AH61" s="1151">
        <f t="shared" si="44"/>
        <v>0</v>
      </c>
      <c r="AI61" s="1154"/>
      <c r="AJ61" s="1155"/>
      <c r="AK61" s="1155"/>
      <c r="AL61" s="1155">
        <f t="shared" si="48"/>
        <v>25</v>
      </c>
      <c r="AM61" s="1155">
        <f t="shared" si="37"/>
        <v>7786</v>
      </c>
      <c r="AN61" s="1155">
        <f>[11]Mar!$AM61</f>
        <v>8989</v>
      </c>
      <c r="AO61" s="1169">
        <f t="shared" si="45"/>
        <v>-1203</v>
      </c>
      <c r="AP61" s="1158">
        <f t="shared" si="46"/>
        <v>74</v>
      </c>
      <c r="BF61" s="118"/>
    </row>
    <row r="62" spans="1:58">
      <c r="A62" s="123">
        <v>2029</v>
      </c>
      <c r="P62" s="132">
        <f>[8]FCST!$BE36</f>
        <v>2013821.99904664</v>
      </c>
      <c r="Q62" s="371">
        <f t="shared" si="43"/>
        <v>10118.14108920646</v>
      </c>
      <c r="R62" s="619">
        <f t="shared" si="42"/>
        <v>0.13469999999999999</v>
      </c>
      <c r="S62" s="371">
        <f>[8]FCST!$CO36</f>
        <v>75116.11795995888</v>
      </c>
      <c r="T62" s="620">
        <f>[8]FCST!$BW36</f>
        <v>1788478.99904664</v>
      </c>
      <c r="U62" s="621">
        <f>P62-Q62+S$31</f>
        <v>2010211.8579574334</v>
      </c>
      <c r="V62" s="374">
        <f t="shared" si="34"/>
        <v>16196</v>
      </c>
      <c r="W62" s="132">
        <f>U62-U61</f>
        <v>17113.506660502171</v>
      </c>
      <c r="X62" s="675"/>
      <c r="Y62" s="675"/>
      <c r="Z62" s="675"/>
      <c r="AC62" s="1151">
        <f>A62</f>
        <v>2029</v>
      </c>
      <c r="AD62" s="1156"/>
      <c r="AE62" s="1153">
        <f>U62</f>
        <v>2010211.8579574334</v>
      </c>
      <c r="AF62" s="1171">
        <f t="shared" si="36"/>
        <v>42.8</v>
      </c>
      <c r="AG62" s="1155">
        <f t="shared" si="47"/>
        <v>0</v>
      </c>
      <c r="AH62" s="1151">
        <f t="shared" si="44"/>
        <v>0</v>
      </c>
      <c r="AI62" s="1154"/>
      <c r="AJ62" s="1155"/>
      <c r="AK62" s="1155"/>
      <c r="AL62" s="1155">
        <f t="shared" si="48"/>
        <v>25</v>
      </c>
      <c r="AM62" s="1155">
        <f t="shared" si="37"/>
        <v>7859</v>
      </c>
      <c r="AN62" s="1155">
        <f>[11]Mar!$AM62</f>
        <v>9116</v>
      </c>
      <c r="AO62" s="1169">
        <f t="shared" si="45"/>
        <v>-1257</v>
      </c>
      <c r="AP62" s="1158">
        <f t="shared" si="46"/>
        <v>73</v>
      </c>
      <c r="BF62" s="118"/>
    </row>
    <row r="63" spans="1:58">
      <c r="A63" s="123">
        <v>2030</v>
      </c>
      <c r="P63" s="132">
        <f>[8]FCST!$BE37</f>
        <v>2030197.8482536401</v>
      </c>
      <c r="Q63" s="371">
        <f t="shared" si="43"/>
        <v>10202.435496110144</v>
      </c>
      <c r="R63" s="619">
        <f t="shared" si="42"/>
        <v>0.13469999999999999</v>
      </c>
      <c r="S63" s="371">
        <f>[8]FCST!$CO37</f>
        <v>75741.911626652887</v>
      </c>
      <c r="T63" s="620">
        <f>[8]FCST!$BW37</f>
        <v>1803378.8482536401</v>
      </c>
      <c r="U63" s="621">
        <f>P63-Q63+S$31</f>
        <v>2026503.4127575299</v>
      </c>
      <c r="V63" s="374">
        <f t="shared" si="34"/>
        <v>16277</v>
      </c>
      <c r="W63" s="132">
        <f>U63-U62</f>
        <v>16291.554800096434</v>
      </c>
      <c r="AC63" s="1151">
        <f>A63</f>
        <v>2030</v>
      </c>
      <c r="AD63" s="1156"/>
      <c r="AE63" s="1153">
        <f>U63</f>
        <v>2026503.4127575299</v>
      </c>
      <c r="AF63" s="1171">
        <f t="shared" si="36"/>
        <v>42.8</v>
      </c>
      <c r="AG63" s="1155">
        <f t="shared" si="47"/>
        <v>0</v>
      </c>
      <c r="AH63" s="1151">
        <f t="shared" si="44"/>
        <v>0</v>
      </c>
      <c r="AI63" s="1154"/>
      <c r="AJ63" s="1155"/>
      <c r="AK63" s="1155"/>
      <c r="AL63" s="1155">
        <f t="shared" si="48"/>
        <v>25</v>
      </c>
      <c r="AM63" s="1155">
        <f t="shared" si="37"/>
        <v>7929</v>
      </c>
      <c r="AN63" s="1155">
        <f>[11]Mar!$AM63</f>
        <v>9242</v>
      </c>
      <c r="AO63" s="1169">
        <f t="shared" si="45"/>
        <v>-1313</v>
      </c>
      <c r="AP63" s="1158">
        <f t="shared" si="46"/>
        <v>70</v>
      </c>
      <c r="BF63" s="118"/>
    </row>
    <row r="64" spans="1:58">
      <c r="A64" s="123">
        <v>2031</v>
      </c>
      <c r="E64" s="134"/>
      <c r="F64" s="134"/>
      <c r="G64" s="164"/>
      <c r="H64" s="164"/>
      <c r="I64" s="164"/>
      <c r="P64" s="132">
        <f>[8]FCST!$BE38</f>
        <v>2045942.9993614999</v>
      </c>
      <c r="Q64" s="371">
        <f t="shared" ref="Q64:Q73" si="49">R64*S64</f>
        <v>10283.61438358775</v>
      </c>
      <c r="R64" s="619">
        <f t="shared" si="42"/>
        <v>0.13469999999999999</v>
      </c>
      <c r="S64" s="371">
        <f>[8]FCST!$CO38</f>
        <v>76344.575973183004</v>
      </c>
      <c r="T64" s="620">
        <f>[8]FCST!$BW38</f>
        <v>1817727.9993614999</v>
      </c>
      <c r="U64" s="621">
        <f t="shared" ref="U64:U73" si="50">P64-Q64+S$31</f>
        <v>2042167.3849779121</v>
      </c>
      <c r="V64" s="374">
        <f t="shared" si="34"/>
        <v>16358</v>
      </c>
      <c r="W64" s="132">
        <f t="shared" ref="W64:W73" si="51">U64-U63</f>
        <v>15663.972220382188</v>
      </c>
    </row>
    <row r="65" spans="1:60">
      <c r="A65" s="123">
        <v>2032</v>
      </c>
      <c r="P65" s="132">
        <f>[8]FCST!$BE39</f>
        <v>2061283.5689495299</v>
      </c>
      <c r="Q65" s="371">
        <f t="shared" si="49"/>
        <v>10362.79291897507</v>
      </c>
      <c r="R65" s="619">
        <f t="shared" si="42"/>
        <v>0.13469999999999999</v>
      </c>
      <c r="S65" s="371">
        <f>[8]FCST!$CO39</f>
        <v>76932.38989588026</v>
      </c>
      <c r="T65" s="620">
        <f>[8]FCST!$BW39</f>
        <v>1831723.5689495299</v>
      </c>
      <c r="U65" s="621">
        <f t="shared" si="50"/>
        <v>2057428.7760305549</v>
      </c>
      <c r="V65" s="374">
        <f t="shared" si="34"/>
        <v>16440</v>
      </c>
      <c r="W65" s="132">
        <f t="shared" si="51"/>
        <v>15261.391052642837</v>
      </c>
      <c r="BF65" s="102"/>
    </row>
    <row r="66" spans="1:60">
      <c r="A66" s="123">
        <v>2033</v>
      </c>
      <c r="P66" s="132">
        <f>[8]FCST!$BE40</f>
        <v>2076228.1609213599</v>
      </c>
      <c r="Q66" s="371">
        <f t="shared" si="49"/>
        <v>10440.014120596501</v>
      </c>
      <c r="R66" s="619">
        <f t="shared" si="42"/>
        <v>0.13469999999999999</v>
      </c>
      <c r="S66" s="371">
        <f>[8]FCST!$CO40</f>
        <v>77505.672758697125</v>
      </c>
      <c r="T66" s="620">
        <f>[8]FCST!$BW40</f>
        <v>1845373.1609213599</v>
      </c>
      <c r="U66" s="621">
        <f t="shared" si="50"/>
        <v>2072296.1468007634</v>
      </c>
      <c r="V66" s="374">
        <f t="shared" si="34"/>
        <v>16522</v>
      </c>
      <c r="W66" s="132">
        <f t="shared" si="51"/>
        <v>14867.370770208538</v>
      </c>
      <c r="AC66" s="833" t="s">
        <v>569</v>
      </c>
      <c r="AH66" s="123"/>
      <c r="BF66" s="102"/>
    </row>
    <row r="67" spans="1:60">
      <c r="A67" s="123">
        <v>2034</v>
      </c>
      <c r="P67" s="132">
        <f>[8]FCST!$BE41</f>
        <v>2090784.25655416</v>
      </c>
      <c r="Q67" s="371">
        <f t="shared" si="49"/>
        <v>10515.325970429505</v>
      </c>
      <c r="R67" s="619">
        <f t="shared" si="42"/>
        <v>0.13469999999999999</v>
      </c>
      <c r="S67" s="371">
        <f>[8]FCST!$CO41</f>
        <v>78064.780775274732</v>
      </c>
      <c r="T67" s="620">
        <f>[8]FCST!$BW41</f>
        <v>1858685.25655416</v>
      </c>
      <c r="U67" s="621">
        <f t="shared" si="50"/>
        <v>2086776.9305837306</v>
      </c>
      <c r="V67" s="374">
        <f t="shared" si="34"/>
        <v>16605</v>
      </c>
      <c r="W67" s="132">
        <f t="shared" si="51"/>
        <v>14480.783782967133</v>
      </c>
      <c r="AD67" s="265" t="s">
        <v>18</v>
      </c>
      <c r="AR67" s="903" t="s">
        <v>571</v>
      </c>
      <c r="AS67" s="908"/>
      <c r="AT67" s="908"/>
      <c r="AU67" s="908"/>
      <c r="BF67" s="102"/>
    </row>
    <row r="68" spans="1:60" ht="13.5" thickBot="1">
      <c r="A68" s="123">
        <v>2035</v>
      </c>
      <c r="P68" s="132">
        <f>[8]FCST!$BE42</f>
        <v>2104964.19089616</v>
      </c>
      <c r="Q68" s="371">
        <f t="shared" si="49"/>
        <v>10588.775623175936</v>
      </c>
      <c r="R68" s="619">
        <f t="shared" si="42"/>
        <v>0.13469999999999999</v>
      </c>
      <c r="S68" s="371">
        <f>[8]FCST!$CO42</f>
        <v>78610.064017638724</v>
      </c>
      <c r="T68" s="620">
        <f>[8]FCST!$BW42</f>
        <v>1871668.19089616</v>
      </c>
      <c r="U68" s="621">
        <f t="shared" si="50"/>
        <v>2100883.4152729837</v>
      </c>
      <c r="V68" s="374">
        <f t="shared" si="34"/>
        <v>16688</v>
      </c>
      <c r="W68" s="132">
        <f t="shared" si="51"/>
        <v>14106.48468925315</v>
      </c>
      <c r="AC68" s="121" t="s">
        <v>9</v>
      </c>
      <c r="AD68" s="128" t="s">
        <v>179</v>
      </c>
      <c r="AE68" s="121" t="s">
        <v>97</v>
      </c>
      <c r="AF68" s="128" t="s">
        <v>236</v>
      </c>
      <c r="AG68" s="178" t="s">
        <v>245</v>
      </c>
      <c r="AH68" s="1012" t="s">
        <v>244</v>
      </c>
      <c r="AI68" s="128"/>
      <c r="AJ68" s="121" t="s">
        <v>98</v>
      </c>
      <c r="AK68" s="121" t="s">
        <v>99</v>
      </c>
      <c r="AL68" s="121" t="s">
        <v>100</v>
      </c>
      <c r="AM68" s="178" t="str">
        <f>AM6</f>
        <v>Fall'13</v>
      </c>
      <c r="AN68" s="178" t="str">
        <f>AN6</f>
        <v>TYSP'13</v>
      </c>
      <c r="AO68" s="178" t="str">
        <f>AO6</f>
        <v>Diff</v>
      </c>
      <c r="AP68" s="178" t="str">
        <f>AP6</f>
        <v>Yr-Yr Growth</v>
      </c>
      <c r="AR68" s="974" t="s">
        <v>572</v>
      </c>
      <c r="BD68" s="461" t="s">
        <v>232</v>
      </c>
      <c r="BE68" s="460" t="s">
        <v>231</v>
      </c>
      <c r="BF68" s="460" t="s">
        <v>230</v>
      </c>
      <c r="BG68" s="440" t="s">
        <v>233</v>
      </c>
      <c r="BH68" s="467" t="s">
        <v>229</v>
      </c>
    </row>
    <row r="69" spans="1:60">
      <c r="A69" s="123">
        <v>2036</v>
      </c>
      <c r="P69" s="132">
        <f>[8]FCST!$BE43</f>
        <v>2118780.44061008</v>
      </c>
      <c r="Q69" s="371">
        <f t="shared" si="49"/>
        <v>10660.444979107468</v>
      </c>
      <c r="R69" s="619">
        <f t="shared" si="42"/>
        <v>0.13469999999999999</v>
      </c>
      <c r="S69" s="371">
        <f>[8]FCST!$CO43</f>
        <v>79142.130505623369</v>
      </c>
      <c r="T69" s="620">
        <f>[8]FCST!$BW43</f>
        <v>1884336.44061008</v>
      </c>
      <c r="U69" s="621">
        <f t="shared" si="50"/>
        <v>2114627.9956309726</v>
      </c>
      <c r="V69" s="374">
        <f t="shared" si="34"/>
        <v>16771</v>
      </c>
      <c r="W69" s="132">
        <f t="shared" si="51"/>
        <v>13744.580357988831</v>
      </c>
      <c r="AC69" s="849">
        <v>1980</v>
      </c>
      <c r="AD69" s="133">
        <f t="shared" ref="AD69:AD75" si="52">O13</f>
        <v>3912</v>
      </c>
      <c r="AE69" s="132">
        <f t="shared" ref="AE69:AE75" si="53">P13</f>
        <v>773629</v>
      </c>
      <c r="AF69" s="140">
        <f t="shared" ref="AF69:AF75" si="54">Y13</f>
        <v>31.7</v>
      </c>
      <c r="AG69" s="134">
        <v>0</v>
      </c>
      <c r="AH69" s="134">
        <v>0</v>
      </c>
      <c r="AI69" s="140"/>
      <c r="AJ69" s="134">
        <f t="shared" ref="AJ69:AJ89" si="55">ROUND($AW$71+$AV$71*$AE69+$AU$71*$AF69+$AT$71*$AG69+$AS$71*$AH69,0)</f>
        <v>4075</v>
      </c>
      <c r="AK69" s="164">
        <f t="shared" ref="AK69:AK75" si="56">AD69-AJ69</f>
        <v>-163</v>
      </c>
      <c r="BC69" s="124">
        <f t="shared" ref="BC69:BC75" si="57">AC69</f>
        <v>1980</v>
      </c>
      <c r="BD69" s="973">
        <f t="shared" ref="BD69:BD89" si="58">ROUND($AW$71+$AV$71*$AE69+$AU$71*$AF$53+$AT$71*AG69+$AS$71*$AH69,0)</f>
        <v>2759</v>
      </c>
      <c r="BE69" s="102">
        <f t="shared" ref="BE69:BE75" si="59">AD69</f>
        <v>3912</v>
      </c>
      <c r="BF69" s="102">
        <f>BE69-BD69</f>
        <v>1153</v>
      </c>
      <c r="BG69" s="471">
        <f t="shared" ref="BG69:BG75" si="60">AJ69</f>
        <v>4075</v>
      </c>
      <c r="BH69" s="464">
        <f>BD69-BG69</f>
        <v>-1316</v>
      </c>
    </row>
    <row r="70" spans="1:60">
      <c r="A70" s="123">
        <v>2037</v>
      </c>
      <c r="P70" s="132">
        <f>[8]FCST!$BE44</f>
        <v>2133211.4453870999</v>
      </c>
      <c r="Q70" s="371">
        <f t="shared" si="49"/>
        <v>10735.348982132979</v>
      </c>
      <c r="R70" s="619">
        <f t="shared" si="42"/>
        <v>0.13469999999999999</v>
      </c>
      <c r="S70" s="371">
        <f>[8]FCST!$CO44</f>
        <v>79698.210706258207</v>
      </c>
      <c r="T70" s="620">
        <f>[8]FCST!$BW44</f>
        <v>1897576.4453871001</v>
      </c>
      <c r="U70" s="621">
        <f t="shared" si="50"/>
        <v>2128984.0964049669</v>
      </c>
      <c r="V70" s="374">
        <f t="shared" si="34"/>
        <v>16855</v>
      </c>
      <c r="W70" s="132">
        <f t="shared" si="51"/>
        <v>14356.100773994345</v>
      </c>
      <c r="AC70" s="849">
        <v>1981</v>
      </c>
      <c r="AD70" s="133">
        <f t="shared" si="52"/>
        <v>2399</v>
      </c>
      <c r="AE70" s="132">
        <f t="shared" si="53"/>
        <v>806253</v>
      </c>
      <c r="AF70" s="975">
        <f t="shared" si="54"/>
        <v>48.6</v>
      </c>
      <c r="AG70" s="134">
        <v>0</v>
      </c>
      <c r="AH70" s="134">
        <v>0</v>
      </c>
      <c r="AI70" s="140"/>
      <c r="AJ70" s="134">
        <f t="shared" si="55"/>
        <v>2217</v>
      </c>
      <c r="AK70" s="164">
        <f t="shared" si="56"/>
        <v>182</v>
      </c>
      <c r="AR70" s="245" t="s">
        <v>171</v>
      </c>
      <c r="AS70" s="1019" t="s">
        <v>244</v>
      </c>
      <c r="AT70" s="839" t="s">
        <v>183</v>
      </c>
      <c r="AU70" s="840" t="s">
        <v>243</v>
      </c>
      <c r="AV70" s="841" t="s">
        <v>169</v>
      </c>
      <c r="AW70" s="247" t="s">
        <v>22</v>
      </c>
      <c r="BC70" s="124">
        <f t="shared" si="57"/>
        <v>1981</v>
      </c>
      <c r="BD70" s="995">
        <f t="shared" si="58"/>
        <v>2905</v>
      </c>
      <c r="BE70" s="102">
        <f t="shared" si="59"/>
        <v>2399</v>
      </c>
      <c r="BF70" s="102">
        <f t="shared" ref="BF70:BF75" si="61">BE70-BD70</f>
        <v>-506</v>
      </c>
      <c r="BG70" s="471">
        <f t="shared" si="60"/>
        <v>2217</v>
      </c>
      <c r="BH70" s="464">
        <f t="shared" ref="BH70:BH75" si="62">BD70-BG70</f>
        <v>688</v>
      </c>
    </row>
    <row r="71" spans="1:60">
      <c r="A71" s="123">
        <v>2038</v>
      </c>
      <c r="P71" s="132">
        <f>[8]FCST!$BE45</f>
        <v>2148357.9754083203</v>
      </c>
      <c r="Q71" s="371">
        <f t="shared" si="49"/>
        <v>10813.921951875031</v>
      </c>
      <c r="R71" s="619">
        <f t="shared" si="42"/>
        <v>0.13469999999999999</v>
      </c>
      <c r="S71" s="371">
        <f>[8]FCST!$CO45</f>
        <v>80281.528967149454</v>
      </c>
      <c r="T71" s="620">
        <f>[8]FCST!$BW45</f>
        <v>1911464.9754083201</v>
      </c>
      <c r="U71" s="621">
        <f t="shared" si="50"/>
        <v>2144052.0534564452</v>
      </c>
      <c r="V71" s="374">
        <f t="shared" si="34"/>
        <v>16939</v>
      </c>
      <c r="W71" s="132">
        <f t="shared" si="51"/>
        <v>15067.957051478326</v>
      </c>
      <c r="AC71" s="849">
        <v>1982</v>
      </c>
      <c r="AD71" s="133">
        <f t="shared" si="52"/>
        <v>2696</v>
      </c>
      <c r="AE71" s="132">
        <f t="shared" si="53"/>
        <v>834476</v>
      </c>
      <c r="AF71" s="975">
        <f t="shared" si="54"/>
        <v>41</v>
      </c>
      <c r="AG71" s="134">
        <v>0</v>
      </c>
      <c r="AH71" s="134">
        <v>1</v>
      </c>
      <c r="AI71" s="140"/>
      <c r="AJ71" s="134">
        <f t="shared" si="55"/>
        <v>2509</v>
      </c>
      <c r="AK71" s="164">
        <f t="shared" si="56"/>
        <v>187</v>
      </c>
      <c r="AP71" s="133">
        <f>AD71-AD70</f>
        <v>297</v>
      </c>
      <c r="AR71" s="835" t="s">
        <v>172</v>
      </c>
      <c r="AS71" s="1023">
        <f t="array" ref="AS71:AW76">LINEST(AD69:AD90,AE69:AH90,TRUE,TRUE)</f>
        <v>-735.44172212347371</v>
      </c>
      <c r="AT71" s="1024">
        <v>18.389755577064676</v>
      </c>
      <c r="AU71" s="1024">
        <v>-118.59234945093365</v>
      </c>
      <c r="AV71" s="1139">
        <v>4.4751071390504941E-3</v>
      </c>
      <c r="AW71" s="1023">
        <v>4372.2145672289744</v>
      </c>
      <c r="AX71" s="842"/>
      <c r="BC71" s="124">
        <f t="shared" si="57"/>
        <v>1982</v>
      </c>
      <c r="BD71" s="995">
        <f t="shared" si="58"/>
        <v>2295</v>
      </c>
      <c r="BE71" s="102">
        <f t="shared" si="59"/>
        <v>2696</v>
      </c>
      <c r="BF71" s="102">
        <f t="shared" si="61"/>
        <v>401</v>
      </c>
      <c r="BG71" s="471">
        <f t="shared" si="60"/>
        <v>2509</v>
      </c>
      <c r="BH71" s="464">
        <f t="shared" si="62"/>
        <v>-214</v>
      </c>
    </row>
    <row r="72" spans="1:60">
      <c r="A72" s="123">
        <v>2039</v>
      </c>
      <c r="P72" s="132">
        <f>[8]FCST!$BE46</f>
        <v>2163125.3297651801</v>
      </c>
      <c r="Q72" s="371">
        <f t="shared" si="49"/>
        <v>10890.559097013529</v>
      </c>
      <c r="R72" s="619">
        <f t="shared" si="42"/>
        <v>0.13469999999999999</v>
      </c>
      <c r="S72" s="371">
        <f>[8]FCST!$CO46</f>
        <v>80850.475850137562</v>
      </c>
      <c r="T72" s="620">
        <f>[8]FCST!$BW46</f>
        <v>1925011.3297651799</v>
      </c>
      <c r="U72" s="621">
        <f t="shared" si="50"/>
        <v>2158742.7706681667</v>
      </c>
      <c r="V72" s="374">
        <f t="shared" si="34"/>
        <v>17024</v>
      </c>
      <c r="W72" s="132">
        <f t="shared" si="51"/>
        <v>14690.717211721465</v>
      </c>
      <c r="AC72" s="849">
        <v>1983</v>
      </c>
      <c r="AD72" s="133">
        <f t="shared" si="52"/>
        <v>3113</v>
      </c>
      <c r="AE72" s="132">
        <f t="shared" si="53"/>
        <v>865481</v>
      </c>
      <c r="AF72" s="975">
        <f t="shared" si="54"/>
        <v>45.2</v>
      </c>
      <c r="AG72" s="134">
        <v>0</v>
      </c>
      <c r="AH72" s="134">
        <v>0</v>
      </c>
      <c r="AI72" s="140"/>
      <c r="AJ72" s="134">
        <f t="shared" si="55"/>
        <v>2885</v>
      </c>
      <c r="AK72" s="164">
        <f t="shared" si="56"/>
        <v>228</v>
      </c>
      <c r="AP72" s="133">
        <f t="shared" ref="AP72:AP79" si="63">AD72-AD71</f>
        <v>417</v>
      </c>
      <c r="AR72" s="836" t="s">
        <v>173</v>
      </c>
      <c r="AS72" s="1210">
        <v>128.77645368526788</v>
      </c>
      <c r="AT72" s="1017">
        <v>238.04585850857399</v>
      </c>
      <c r="AU72" s="1018">
        <v>10.17493545221271</v>
      </c>
      <c r="AV72" s="1017">
        <v>1.8595802137155951E-4</v>
      </c>
      <c r="AW72" s="1020">
        <v>477.63532053729597</v>
      </c>
      <c r="AX72" s="28"/>
      <c r="BC72" s="124">
        <f t="shared" si="57"/>
        <v>1983</v>
      </c>
      <c r="BD72" s="995">
        <f t="shared" si="58"/>
        <v>3170</v>
      </c>
      <c r="BE72" s="102">
        <f t="shared" si="59"/>
        <v>3113</v>
      </c>
      <c r="BF72" s="102">
        <f t="shared" si="61"/>
        <v>-57</v>
      </c>
      <c r="BG72" s="471">
        <f t="shared" si="60"/>
        <v>2885</v>
      </c>
      <c r="BH72" s="464">
        <f t="shared" si="62"/>
        <v>285</v>
      </c>
    </row>
    <row r="73" spans="1:60" ht="13.5" thickBot="1">
      <c r="A73" s="123">
        <v>2040</v>
      </c>
      <c r="P73" s="132">
        <f>[8]FCST!$BE47</f>
        <v>2178037.0546529302</v>
      </c>
      <c r="Q73" s="371">
        <f t="shared" si="49"/>
        <v>10968.058263193485</v>
      </c>
      <c r="R73" s="619">
        <f t="shared" si="42"/>
        <v>0.13469999999999999</v>
      </c>
      <c r="S73" s="371">
        <f>[8]FCST!$CO47</f>
        <v>81425.822295423059</v>
      </c>
      <c r="T73" s="620">
        <f>[8]FCST!$BW47</f>
        <v>1938710.05465293</v>
      </c>
      <c r="U73" s="621">
        <f t="shared" si="50"/>
        <v>2173576.9963897369</v>
      </c>
      <c r="V73" s="374">
        <f t="shared" si="34"/>
        <v>17109</v>
      </c>
      <c r="W73" s="132">
        <f t="shared" si="51"/>
        <v>14834.225721570197</v>
      </c>
      <c r="AC73" s="849">
        <v>1984</v>
      </c>
      <c r="AD73" s="133">
        <f t="shared" si="52"/>
        <v>3768</v>
      </c>
      <c r="AE73" s="132">
        <f t="shared" si="53"/>
        <v>901289</v>
      </c>
      <c r="AF73" s="975">
        <f t="shared" si="54"/>
        <v>36.799999999999997</v>
      </c>
      <c r="AG73" s="134">
        <v>0</v>
      </c>
      <c r="AH73" s="134">
        <v>0</v>
      </c>
      <c r="AI73" s="140"/>
      <c r="AJ73" s="134">
        <f t="shared" si="55"/>
        <v>4041</v>
      </c>
      <c r="AK73" s="164">
        <f t="shared" si="56"/>
        <v>-273</v>
      </c>
      <c r="AP73" s="133">
        <f t="shared" si="63"/>
        <v>655</v>
      </c>
      <c r="AR73" s="836" t="s">
        <v>174</v>
      </c>
      <c r="AS73" s="1015">
        <v>0.97783610703309354</v>
      </c>
      <c r="AT73" s="1016">
        <v>227.86171048981618</v>
      </c>
      <c r="AU73" s="1014" t="e">
        <v>#N/A</v>
      </c>
      <c r="AV73" s="1014" t="e">
        <v>#N/A</v>
      </c>
      <c r="AW73" s="1021" t="e">
        <v>#N/A</v>
      </c>
      <c r="AX73" s="28"/>
      <c r="AY73" s="28"/>
      <c r="AZ73" s="129"/>
      <c r="BC73" s="124">
        <f t="shared" si="57"/>
        <v>1984</v>
      </c>
      <c r="BD73" s="995">
        <f t="shared" si="58"/>
        <v>3330</v>
      </c>
      <c r="BE73" s="102">
        <f t="shared" si="59"/>
        <v>3768</v>
      </c>
      <c r="BF73" s="102">
        <f t="shared" si="61"/>
        <v>438</v>
      </c>
      <c r="BG73" s="471">
        <f t="shared" si="60"/>
        <v>4041</v>
      </c>
      <c r="BH73" s="464">
        <f t="shared" si="62"/>
        <v>-711</v>
      </c>
    </row>
    <row r="74" spans="1:60" ht="13.5" thickBot="1">
      <c r="X74" s="675">
        <f>ROUND(AVERAGE(X9:X19,X21,X24:X26,X28:X29,X31:X32,X34:X35,X37,X40,X42:X43),1)</f>
        <v>45</v>
      </c>
      <c r="Y74" s="1009">
        <f>ROUND(AVERAGE(Y9:Y19,Y21,Y24:Y26,Y28:Y29,Y31:Y32,Y34:Y35,Y37,Y40,Y42:Y43),1)</f>
        <v>42.8</v>
      </c>
      <c r="Z74" s="675">
        <f>ROUND(AVERAGE(Z9:Z19,Z21,Z24:Z26,Z28:Z29,Z31:Z32,Z34:Z35,Z37,Z40,Z42:Z43),1)</f>
        <v>49.5</v>
      </c>
      <c r="AC74" s="849">
        <v>1985</v>
      </c>
      <c r="AD74" s="133">
        <f t="shared" si="52"/>
        <v>2902</v>
      </c>
      <c r="AE74" s="132">
        <f t="shared" si="53"/>
        <v>943642</v>
      </c>
      <c r="AF74" s="975">
        <f t="shared" si="54"/>
        <v>44.3</v>
      </c>
      <c r="AG74" s="134">
        <v>0</v>
      </c>
      <c r="AH74" s="134">
        <v>0</v>
      </c>
      <c r="AI74" s="140"/>
      <c r="AJ74" s="134">
        <f t="shared" si="55"/>
        <v>3341</v>
      </c>
      <c r="AK74" s="164">
        <f t="shared" si="56"/>
        <v>-439</v>
      </c>
      <c r="AP74" s="133">
        <f t="shared" si="63"/>
        <v>-866</v>
      </c>
      <c r="AR74" s="837" t="s">
        <v>175</v>
      </c>
      <c r="AS74" s="1017">
        <v>187.50331726902763</v>
      </c>
      <c r="AT74" s="1014">
        <v>17</v>
      </c>
      <c r="AU74" s="1014" t="e">
        <v>#N/A</v>
      </c>
      <c r="AV74" s="1014" t="e">
        <v>#N/A</v>
      </c>
      <c r="AW74" s="1021" t="e">
        <v>#N/A</v>
      </c>
      <c r="AX74" s="28"/>
      <c r="AY74" s="28"/>
      <c r="AZ74" s="129"/>
      <c r="BC74" s="124">
        <f t="shared" si="57"/>
        <v>1985</v>
      </c>
      <c r="BD74" s="995">
        <f t="shared" si="58"/>
        <v>3519</v>
      </c>
      <c r="BE74" s="102">
        <f t="shared" si="59"/>
        <v>2902</v>
      </c>
      <c r="BF74" s="102">
        <f t="shared" si="61"/>
        <v>-617</v>
      </c>
      <c r="BG74" s="471">
        <f t="shared" si="60"/>
        <v>3341</v>
      </c>
      <c r="BH74" s="464">
        <f t="shared" si="62"/>
        <v>178</v>
      </c>
    </row>
    <row r="75" spans="1:60">
      <c r="X75" s="907" t="s">
        <v>442</v>
      </c>
      <c r="Y75" s="976"/>
      <c r="Z75" s="908"/>
      <c r="AA75" s="908"/>
      <c r="AC75" s="849">
        <v>1986</v>
      </c>
      <c r="AD75" s="133">
        <f t="shared" si="52"/>
        <v>3623</v>
      </c>
      <c r="AE75" s="132">
        <f t="shared" si="53"/>
        <v>983892</v>
      </c>
      <c r="AF75" s="975">
        <f t="shared" si="54"/>
        <v>43.6</v>
      </c>
      <c r="AG75" s="134">
        <v>1</v>
      </c>
      <c r="AH75" s="134">
        <v>0</v>
      </c>
      <c r="AI75" s="140"/>
      <c r="AJ75" s="134">
        <f t="shared" si="55"/>
        <v>3623</v>
      </c>
      <c r="AK75" s="164">
        <f t="shared" si="56"/>
        <v>0</v>
      </c>
      <c r="AP75" s="133">
        <f t="shared" si="63"/>
        <v>721</v>
      </c>
      <c r="AR75" s="837" t="s">
        <v>176</v>
      </c>
      <c r="AS75" s="1014">
        <v>38941408.273666732</v>
      </c>
      <c r="AT75" s="1014">
        <v>882656.3048248617</v>
      </c>
      <c r="AU75" s="1014" t="e">
        <v>#N/A</v>
      </c>
      <c r="AV75" s="1014" t="e">
        <v>#N/A</v>
      </c>
      <c r="AW75" s="1021" t="e">
        <v>#N/A</v>
      </c>
      <c r="AX75" s="28"/>
      <c r="AY75" s="28"/>
      <c r="AZ75" s="129"/>
      <c r="BC75" s="124">
        <f t="shared" si="57"/>
        <v>1986</v>
      </c>
      <c r="BD75" s="995">
        <f t="shared" si="58"/>
        <v>3718</v>
      </c>
      <c r="BE75" s="102">
        <f t="shared" si="59"/>
        <v>3623</v>
      </c>
      <c r="BF75" s="102">
        <f t="shared" si="61"/>
        <v>-95</v>
      </c>
      <c r="BG75" s="471">
        <f t="shared" si="60"/>
        <v>3623</v>
      </c>
      <c r="BH75" s="464">
        <f t="shared" si="62"/>
        <v>95</v>
      </c>
    </row>
    <row r="76" spans="1:60">
      <c r="X76" s="930" t="s">
        <v>441</v>
      </c>
      <c r="Y76" s="908"/>
      <c r="Z76" s="908"/>
      <c r="AA76" s="908"/>
      <c r="AC76" s="849">
        <v>1988</v>
      </c>
      <c r="AD76" s="133">
        <f>O21</f>
        <v>4059</v>
      </c>
      <c r="AE76" s="132">
        <f>P21</f>
        <v>1065403</v>
      </c>
      <c r="AF76" s="975">
        <f>Y21</f>
        <v>42.3</v>
      </c>
      <c r="AG76" s="123">
        <v>0</v>
      </c>
      <c r="AH76" s="134">
        <v>0</v>
      </c>
      <c r="AI76" s="140"/>
      <c r="AJ76" s="134">
        <f t="shared" si="55"/>
        <v>4124</v>
      </c>
      <c r="AK76" s="164">
        <f t="shared" ref="AK76:AK87" si="64">AD76-AJ76</f>
        <v>-65</v>
      </c>
      <c r="AP76" s="133">
        <f t="shared" si="63"/>
        <v>436</v>
      </c>
      <c r="AR76" s="838" t="s">
        <v>177</v>
      </c>
      <c r="AS76" s="843" t="e">
        <v>#N/A</v>
      </c>
      <c r="AT76" s="843" t="e">
        <v>#N/A</v>
      </c>
      <c r="AU76" s="843" t="e">
        <v>#N/A</v>
      </c>
      <c r="AV76" s="843" t="e">
        <v>#N/A</v>
      </c>
      <c r="AW76" s="1022" t="e">
        <v>#N/A</v>
      </c>
      <c r="AX76" s="270"/>
      <c r="AY76" s="28"/>
      <c r="AZ76" s="129"/>
      <c r="BC76" s="124">
        <f t="shared" ref="BC76:BC89" si="65">AC76</f>
        <v>1988</v>
      </c>
      <c r="BD76" s="995">
        <f t="shared" si="58"/>
        <v>4064</v>
      </c>
      <c r="BE76" s="102">
        <f t="shared" ref="BE76:BE89" si="66">AD76</f>
        <v>4059</v>
      </c>
      <c r="BF76" s="102">
        <f t="shared" ref="BF76:BF89" si="67">BE76-BD76</f>
        <v>-5</v>
      </c>
      <c r="BG76" s="471">
        <f t="shared" ref="BG76:BG89" si="68">AJ76</f>
        <v>4124</v>
      </c>
      <c r="BH76" s="464">
        <f t="shared" ref="BH76:BH89" si="69">BD76-BG76</f>
        <v>-60</v>
      </c>
    </row>
    <row r="77" spans="1:60">
      <c r="AC77" s="851">
        <v>1991</v>
      </c>
      <c r="AD77" s="133">
        <f t="shared" ref="AD77:AE79" si="70">O24</f>
        <v>4272.7410301127775</v>
      </c>
      <c r="AE77" s="132">
        <f t="shared" si="70"/>
        <v>1169437</v>
      </c>
      <c r="AF77" s="975">
        <f>Y24</f>
        <v>45.3</v>
      </c>
      <c r="AG77" s="123">
        <v>0</v>
      </c>
      <c r="AH77" s="134">
        <v>0</v>
      </c>
      <c r="AI77" s="140"/>
      <c r="AJ77" s="134">
        <f t="shared" si="55"/>
        <v>4233</v>
      </c>
      <c r="AK77" s="164">
        <f t="shared" si="64"/>
        <v>39.74103011277748</v>
      </c>
      <c r="AP77" s="133">
        <f t="shared" si="63"/>
        <v>213.74103011277748</v>
      </c>
      <c r="AS77" s="1337">
        <f>AS71/AS72</f>
        <v>-5.7109953029216607</v>
      </c>
      <c r="AT77" s="1337">
        <f t="shared" ref="AT77:AW77" si="71">AT71/AT72</f>
        <v>7.7252995251762852E-2</v>
      </c>
      <c r="AU77" s="1337">
        <f t="shared" si="71"/>
        <v>-11.65534169802952</v>
      </c>
      <c r="AV77" s="1337">
        <f t="shared" si="71"/>
        <v>24.065147101715283</v>
      </c>
      <c r="AW77" s="1337">
        <f t="shared" si="71"/>
        <v>9.1538761461581899</v>
      </c>
      <c r="AY77" s="28"/>
      <c r="AZ77" s="129"/>
      <c r="BC77" s="124">
        <f t="shared" si="65"/>
        <v>1991</v>
      </c>
      <c r="BD77" s="995">
        <f t="shared" si="58"/>
        <v>4530</v>
      </c>
      <c r="BE77" s="102">
        <f t="shared" si="66"/>
        <v>4272.7410301127775</v>
      </c>
      <c r="BF77" s="102">
        <f t="shared" si="67"/>
        <v>-257.25896988722252</v>
      </c>
      <c r="BG77" s="471">
        <f t="shared" si="68"/>
        <v>4233</v>
      </c>
      <c r="BH77" s="464">
        <f t="shared" si="69"/>
        <v>297</v>
      </c>
    </row>
    <row r="78" spans="1:60">
      <c r="AC78" s="849">
        <v>1992</v>
      </c>
      <c r="AD78" s="133">
        <f t="shared" si="70"/>
        <v>4128.9159493522666</v>
      </c>
      <c r="AE78" s="132">
        <f t="shared" si="70"/>
        <v>1190780</v>
      </c>
      <c r="AF78" s="975">
        <f>Y25</f>
        <v>47.8</v>
      </c>
      <c r="AG78" s="123">
        <v>0</v>
      </c>
      <c r="AH78" s="134">
        <v>0</v>
      </c>
      <c r="AI78" s="140"/>
      <c r="AJ78" s="134">
        <f t="shared" si="55"/>
        <v>4032</v>
      </c>
      <c r="AK78" s="164">
        <f t="shared" si="64"/>
        <v>96.91594935226658</v>
      </c>
      <c r="AP78" s="133">
        <f t="shared" si="63"/>
        <v>-143.8250807605109</v>
      </c>
      <c r="AR78" s="1"/>
      <c r="AS78" s="797"/>
      <c r="AT78" s="28"/>
      <c r="AU78" s="28"/>
      <c r="AV78" s="28"/>
      <c r="AW78" s="28"/>
      <c r="AX78" s="28"/>
      <c r="AY78" s="28"/>
      <c r="AZ78" s="129"/>
      <c r="BC78" s="124">
        <f t="shared" si="65"/>
        <v>1992</v>
      </c>
      <c r="BD78" s="995">
        <f t="shared" si="58"/>
        <v>4625</v>
      </c>
      <c r="BE78" s="102">
        <f t="shared" si="66"/>
        <v>4128.9159493522666</v>
      </c>
      <c r="BF78" s="102">
        <f t="shared" si="67"/>
        <v>-496.08405064773342</v>
      </c>
      <c r="BG78" s="471">
        <f t="shared" si="68"/>
        <v>4032</v>
      </c>
      <c r="BH78" s="464">
        <f t="shared" si="69"/>
        <v>593</v>
      </c>
    </row>
    <row r="79" spans="1:60">
      <c r="AC79" s="850">
        <v>1993</v>
      </c>
      <c r="AD79" s="133">
        <f t="shared" si="70"/>
        <v>5929.4674395613647</v>
      </c>
      <c r="AE79" s="132">
        <f t="shared" si="70"/>
        <v>1216145</v>
      </c>
      <c r="AF79" s="975">
        <f>Y26</f>
        <v>34.9</v>
      </c>
      <c r="AG79" s="123">
        <v>0</v>
      </c>
      <c r="AH79" s="134">
        <v>0</v>
      </c>
      <c r="AI79" s="140"/>
      <c r="AJ79" s="134">
        <f t="shared" si="55"/>
        <v>5676</v>
      </c>
      <c r="AK79" s="164">
        <f t="shared" si="64"/>
        <v>253.4674395613647</v>
      </c>
      <c r="AP79" s="133">
        <f t="shared" si="63"/>
        <v>1800.5514902090981</v>
      </c>
      <c r="AR79" s="1"/>
      <c r="AS79" s="797"/>
      <c r="AT79" s="28"/>
      <c r="AU79" s="28"/>
      <c r="AV79" s="28"/>
      <c r="AW79" s="28"/>
      <c r="AX79" s="28"/>
      <c r="AY79" s="28"/>
      <c r="AZ79" s="129"/>
      <c r="BC79" s="124">
        <f t="shared" si="65"/>
        <v>1993</v>
      </c>
      <c r="BD79" s="995">
        <f t="shared" si="58"/>
        <v>4739</v>
      </c>
      <c r="BE79" s="102">
        <f t="shared" si="66"/>
        <v>5929.4674395613647</v>
      </c>
      <c r="BF79" s="102">
        <f t="shared" si="67"/>
        <v>1190.4674395613647</v>
      </c>
      <c r="BG79" s="471">
        <f t="shared" si="68"/>
        <v>5676</v>
      </c>
      <c r="BH79" s="464">
        <f t="shared" si="69"/>
        <v>-937</v>
      </c>
    </row>
    <row r="80" spans="1:60">
      <c r="AC80" s="851">
        <v>1995</v>
      </c>
      <c r="AD80" s="133">
        <f>O28</f>
        <v>4172.423034443199</v>
      </c>
      <c r="AE80" s="132">
        <f>P28</f>
        <v>1272893</v>
      </c>
      <c r="AF80" s="975">
        <f>Y28</f>
        <v>47.7</v>
      </c>
      <c r="AG80" s="123">
        <v>0</v>
      </c>
      <c r="AH80" s="134">
        <v>0</v>
      </c>
      <c r="AI80" s="140"/>
      <c r="AJ80" s="134">
        <f t="shared" si="55"/>
        <v>4412</v>
      </c>
      <c r="AK80" s="164">
        <f t="shared" si="64"/>
        <v>-239.57696555680104</v>
      </c>
      <c r="AP80" s="133">
        <f t="shared" ref="AP80:AP90" si="72">AD80-AD79</f>
        <v>-1757.0444051181657</v>
      </c>
      <c r="AR80" s="1"/>
      <c r="AS80" s="1"/>
      <c r="AT80" s="28"/>
      <c r="AU80" s="28"/>
      <c r="AV80" s="28"/>
      <c r="AW80" s="28"/>
      <c r="AX80" s="28"/>
      <c r="AY80" s="28"/>
      <c r="AZ80" s="129"/>
      <c r="BC80" s="124">
        <f t="shared" si="65"/>
        <v>1995</v>
      </c>
      <c r="BD80" s="995">
        <f t="shared" si="58"/>
        <v>4993</v>
      </c>
      <c r="BE80" s="102">
        <f t="shared" si="66"/>
        <v>4172.423034443199</v>
      </c>
      <c r="BF80" s="102">
        <f t="shared" si="67"/>
        <v>-820.57696555680104</v>
      </c>
      <c r="BG80" s="471">
        <f t="shared" si="68"/>
        <v>4412</v>
      </c>
      <c r="BH80" s="464">
        <f t="shared" si="69"/>
        <v>581</v>
      </c>
    </row>
    <row r="81" spans="26:60">
      <c r="AC81" s="849">
        <v>1996</v>
      </c>
      <c r="AD81" s="133">
        <f>O29</f>
        <v>5942.8845562641163</v>
      </c>
      <c r="AE81" s="132">
        <f>P29</f>
        <v>1301306</v>
      </c>
      <c r="AF81" s="975">
        <f>Y29</f>
        <v>36</v>
      </c>
      <c r="AG81" s="123">
        <v>0</v>
      </c>
      <c r="AH81" s="134">
        <v>0</v>
      </c>
      <c r="AI81" s="140"/>
      <c r="AJ81" s="134">
        <f t="shared" si="55"/>
        <v>5926</v>
      </c>
      <c r="AK81" s="164">
        <f t="shared" si="64"/>
        <v>16.884556264116327</v>
      </c>
      <c r="AP81" s="133">
        <f t="shared" si="72"/>
        <v>1770.4615218209174</v>
      </c>
      <c r="AR81" s="28"/>
      <c r="AS81" s="28"/>
      <c r="AT81" s="28"/>
      <c r="AU81" s="28"/>
      <c r="AV81" s="28"/>
      <c r="AW81" s="28"/>
      <c r="AX81" s="28"/>
      <c r="AY81" s="28"/>
      <c r="AZ81" s="129"/>
      <c r="BC81" s="124">
        <f t="shared" si="65"/>
        <v>1996</v>
      </c>
      <c r="BD81" s="995">
        <f t="shared" si="58"/>
        <v>5120</v>
      </c>
      <c r="BE81" s="102">
        <f t="shared" si="66"/>
        <v>5942.8845562641163</v>
      </c>
      <c r="BF81" s="102">
        <f t="shared" si="67"/>
        <v>822.88455626411633</v>
      </c>
      <c r="BG81" s="471">
        <f t="shared" si="68"/>
        <v>5926</v>
      </c>
      <c r="BH81" s="464">
        <f t="shared" si="69"/>
        <v>-806</v>
      </c>
    </row>
    <row r="82" spans="26:60">
      <c r="AC82" s="851">
        <v>1998</v>
      </c>
      <c r="AD82" s="133">
        <f>O31</f>
        <v>5740.1856784802858</v>
      </c>
      <c r="AE82" s="132">
        <f>P31</f>
        <v>1346867</v>
      </c>
      <c r="AF82" s="975">
        <f>Y31</f>
        <v>42</v>
      </c>
      <c r="AG82" s="123">
        <v>0</v>
      </c>
      <c r="AH82" s="134">
        <v>0</v>
      </c>
      <c r="AI82" s="140"/>
      <c r="AJ82" s="134">
        <f t="shared" si="55"/>
        <v>5419</v>
      </c>
      <c r="AK82" s="164">
        <f t="shared" si="64"/>
        <v>321.18567848028579</v>
      </c>
      <c r="AP82" s="133">
        <f t="shared" si="72"/>
        <v>-202.69887778383054</v>
      </c>
      <c r="AR82" s="28"/>
      <c r="AS82" s="28"/>
      <c r="AT82" s="28"/>
      <c r="AU82" s="28"/>
      <c r="AV82" s="28"/>
      <c r="AW82" s="28"/>
      <c r="AX82" s="28"/>
      <c r="AY82" s="28"/>
      <c r="AZ82" s="129"/>
      <c r="BC82" s="124">
        <f t="shared" si="65"/>
        <v>1998</v>
      </c>
      <c r="BD82" s="995">
        <f t="shared" si="58"/>
        <v>5324</v>
      </c>
      <c r="BE82" s="102">
        <f t="shared" si="66"/>
        <v>5740.1856784802858</v>
      </c>
      <c r="BF82" s="102">
        <f t="shared" si="67"/>
        <v>416.18567848028579</v>
      </c>
      <c r="BG82" s="471">
        <f t="shared" si="68"/>
        <v>5419</v>
      </c>
      <c r="BH82" s="464">
        <f t="shared" si="69"/>
        <v>-95</v>
      </c>
    </row>
    <row r="83" spans="26:60">
      <c r="AC83" s="849">
        <v>1999</v>
      </c>
      <c r="AD83" s="133">
        <f>O32</f>
        <v>5026.4789228649934</v>
      </c>
      <c r="AE83" s="132">
        <f>P32</f>
        <v>1374112</v>
      </c>
      <c r="AF83" s="975">
        <f>Y32</f>
        <v>46.8</v>
      </c>
      <c r="AG83" s="123">
        <v>0</v>
      </c>
      <c r="AH83" s="134">
        <v>0</v>
      </c>
      <c r="AI83" s="140"/>
      <c r="AJ83" s="134">
        <f t="shared" si="55"/>
        <v>4971</v>
      </c>
      <c r="AK83" s="164">
        <f t="shared" si="64"/>
        <v>55.478922864993365</v>
      </c>
      <c r="AP83" s="133">
        <f t="shared" si="72"/>
        <v>-713.70675561529242</v>
      </c>
      <c r="AR83" s="799"/>
      <c r="AS83" s="799"/>
      <c r="AT83" s="799"/>
      <c r="AU83" s="799"/>
      <c r="AV83" s="799"/>
      <c r="AW83" s="799"/>
      <c r="AX83" s="28"/>
      <c r="AY83" s="28"/>
      <c r="AZ83" s="129"/>
      <c r="BC83" s="124">
        <f t="shared" si="65"/>
        <v>1999</v>
      </c>
      <c r="BD83" s="995">
        <f t="shared" si="58"/>
        <v>5446</v>
      </c>
      <c r="BE83" s="102">
        <f t="shared" si="66"/>
        <v>5026.4789228649934</v>
      </c>
      <c r="BF83" s="102">
        <f t="shared" si="67"/>
        <v>-419.52107713500664</v>
      </c>
      <c r="BG83" s="471">
        <f t="shared" si="68"/>
        <v>4971</v>
      </c>
      <c r="BH83" s="464">
        <f t="shared" si="69"/>
        <v>475</v>
      </c>
    </row>
    <row r="84" spans="26:60">
      <c r="AC84" s="851">
        <v>2001</v>
      </c>
      <c r="AD84" s="133">
        <f>O34</f>
        <v>4935.18</v>
      </c>
      <c r="AE84" s="132">
        <f>P34</f>
        <v>1443952</v>
      </c>
      <c r="AF84" s="975">
        <f>Y34</f>
        <v>47.5</v>
      </c>
      <c r="AG84" s="123">
        <v>0</v>
      </c>
      <c r="AH84" s="134">
        <v>0</v>
      </c>
      <c r="AI84" s="140"/>
      <c r="AJ84" s="134">
        <f t="shared" si="55"/>
        <v>5201</v>
      </c>
      <c r="AK84" s="164">
        <f t="shared" si="64"/>
        <v>-265.81999999999971</v>
      </c>
      <c r="AP84" s="133">
        <f t="shared" si="72"/>
        <v>-91.298922864993074</v>
      </c>
      <c r="AR84" s="1"/>
      <c r="AS84" s="1"/>
      <c r="AT84" s="1"/>
      <c r="AU84" s="1"/>
      <c r="AV84" s="1"/>
      <c r="AW84" s="1"/>
      <c r="AX84" s="28"/>
      <c r="AY84" s="28"/>
      <c r="AZ84" s="129"/>
      <c r="BC84" s="124">
        <f t="shared" si="65"/>
        <v>2001</v>
      </c>
      <c r="BD84" s="995">
        <f t="shared" si="58"/>
        <v>5758</v>
      </c>
      <c r="BE84" s="102">
        <f t="shared" si="66"/>
        <v>4935.18</v>
      </c>
      <c r="BF84" s="102">
        <f t="shared" si="67"/>
        <v>-822.81999999999971</v>
      </c>
      <c r="BG84" s="471">
        <f t="shared" si="68"/>
        <v>5201</v>
      </c>
      <c r="BH84" s="464">
        <f t="shared" si="69"/>
        <v>557</v>
      </c>
    </row>
    <row r="85" spans="26:60">
      <c r="AC85" s="849">
        <v>2002</v>
      </c>
      <c r="AD85" s="133">
        <f>O35</f>
        <v>6806</v>
      </c>
      <c r="AE85" s="132">
        <f>P35</f>
        <v>1473875</v>
      </c>
      <c r="AF85" s="975">
        <f>Y35</f>
        <v>37.5</v>
      </c>
      <c r="AG85" s="123">
        <v>0</v>
      </c>
      <c r="AH85" s="134">
        <v>0</v>
      </c>
      <c r="AI85" s="140"/>
      <c r="AJ85" s="134">
        <f t="shared" si="55"/>
        <v>6521</v>
      </c>
      <c r="AK85" s="164">
        <f t="shared" si="64"/>
        <v>285</v>
      </c>
      <c r="AP85" s="133">
        <f t="shared" si="72"/>
        <v>1870.8199999999997</v>
      </c>
      <c r="AR85" s="1"/>
      <c r="AS85" s="1"/>
      <c r="AT85" s="1"/>
      <c r="AU85" s="1"/>
      <c r="AV85" s="1"/>
      <c r="AW85" s="1"/>
      <c r="AX85" s="28"/>
      <c r="AY85" s="28"/>
      <c r="AZ85" s="129"/>
      <c r="BC85" s="124">
        <f t="shared" si="65"/>
        <v>2002</v>
      </c>
      <c r="BD85" s="995">
        <f t="shared" si="58"/>
        <v>5892</v>
      </c>
      <c r="BE85" s="102">
        <f t="shared" si="66"/>
        <v>6806</v>
      </c>
      <c r="BF85" s="102">
        <f t="shared" si="67"/>
        <v>914</v>
      </c>
      <c r="BG85" s="471">
        <f t="shared" si="68"/>
        <v>6521</v>
      </c>
      <c r="BH85" s="464">
        <f t="shared" si="69"/>
        <v>-629</v>
      </c>
    </row>
    <row r="86" spans="26:60">
      <c r="AC86" s="851">
        <v>2004</v>
      </c>
      <c r="AD86" s="622">
        <f>O37</f>
        <v>5024.7</v>
      </c>
      <c r="AE86" s="506">
        <f>P37</f>
        <v>1540021</v>
      </c>
      <c r="AF86" s="975">
        <f>Y37</f>
        <v>47.5</v>
      </c>
      <c r="AG86" s="123">
        <v>0</v>
      </c>
      <c r="AH86" s="136">
        <v>1</v>
      </c>
      <c r="AI86" s="140"/>
      <c r="AJ86" s="134">
        <f t="shared" si="55"/>
        <v>4895</v>
      </c>
      <c r="AK86" s="164">
        <f t="shared" si="64"/>
        <v>129.69999999999982</v>
      </c>
      <c r="AL86" s="570"/>
      <c r="AM86" s="134"/>
      <c r="AN86" s="134"/>
      <c r="AO86" s="138"/>
      <c r="AP86" s="133">
        <f t="shared" si="72"/>
        <v>-1781.3000000000002</v>
      </c>
      <c r="AR86" s="1"/>
      <c r="AS86" s="1"/>
      <c r="AT86" s="1"/>
      <c r="AU86" s="1"/>
      <c r="AV86" s="1"/>
      <c r="AW86" s="1"/>
      <c r="AX86" s="28"/>
      <c r="AY86" s="28"/>
      <c r="AZ86" s="129"/>
      <c r="BC86" s="908">
        <f t="shared" si="65"/>
        <v>2004</v>
      </c>
      <c r="BD86" s="995">
        <f t="shared" si="58"/>
        <v>5453</v>
      </c>
      <c r="BE86" s="102">
        <f t="shared" si="66"/>
        <v>5024.7</v>
      </c>
      <c r="BF86" s="102">
        <f t="shared" si="67"/>
        <v>-428.30000000000018</v>
      </c>
      <c r="BG86" s="471">
        <f t="shared" si="68"/>
        <v>4895</v>
      </c>
      <c r="BH86" s="464">
        <f t="shared" si="69"/>
        <v>558</v>
      </c>
    </row>
    <row r="87" spans="26:60">
      <c r="AC87" s="852">
        <v>2007</v>
      </c>
      <c r="AD87" s="374">
        <f>O40</f>
        <v>5650</v>
      </c>
      <c r="AE87" s="132">
        <f>P40</f>
        <v>1636345</v>
      </c>
      <c r="AF87" s="975">
        <f>Y40</f>
        <v>43.1</v>
      </c>
      <c r="AG87" s="123">
        <v>0</v>
      </c>
      <c r="AH87" s="136">
        <v>1</v>
      </c>
      <c r="AI87" s="140"/>
      <c r="AJ87" s="134">
        <f t="shared" si="55"/>
        <v>5848</v>
      </c>
      <c r="AK87" s="164">
        <f t="shared" si="64"/>
        <v>-198</v>
      </c>
      <c r="AL87" s="570"/>
      <c r="AM87" s="134"/>
      <c r="AN87" s="134"/>
      <c r="AO87" s="138"/>
      <c r="AP87" s="133">
        <f t="shared" si="72"/>
        <v>625.30000000000018</v>
      </c>
      <c r="AR87" s="28"/>
      <c r="AS87" s="28"/>
      <c r="AT87" s="28"/>
      <c r="AU87" s="28"/>
      <c r="AV87" s="28"/>
      <c r="AW87" s="28"/>
      <c r="AX87" s="28"/>
      <c r="AY87" s="28"/>
      <c r="AZ87" s="28"/>
      <c r="BC87" s="908">
        <f t="shared" si="65"/>
        <v>2007</v>
      </c>
      <c r="BD87" s="995">
        <f t="shared" si="58"/>
        <v>5884</v>
      </c>
      <c r="BE87" s="102">
        <f t="shared" si="66"/>
        <v>5650</v>
      </c>
      <c r="BF87" s="102">
        <f t="shared" si="67"/>
        <v>-234</v>
      </c>
      <c r="BG87" s="471">
        <f t="shared" si="68"/>
        <v>5848</v>
      </c>
      <c r="BH87" s="464">
        <f t="shared" si="69"/>
        <v>36</v>
      </c>
    </row>
    <row r="88" spans="26:60">
      <c r="AB88" s="579"/>
      <c r="AC88" s="852">
        <v>2009</v>
      </c>
      <c r="AD88" s="374">
        <f>O42</f>
        <v>6279</v>
      </c>
      <c r="AE88" s="132">
        <f>P42</f>
        <v>1633128</v>
      </c>
      <c r="AF88" s="975">
        <f>Y42</f>
        <v>39.4</v>
      </c>
      <c r="AG88" s="123">
        <v>0</v>
      </c>
      <c r="AH88" s="136">
        <v>1</v>
      </c>
      <c r="AI88" s="140"/>
      <c r="AJ88" s="134">
        <f t="shared" si="55"/>
        <v>6273</v>
      </c>
      <c r="AK88" s="164">
        <f>AD88-AJ88</f>
        <v>6</v>
      </c>
      <c r="AL88" s="570"/>
      <c r="AM88" s="134"/>
      <c r="AN88" s="134"/>
      <c r="AO88" s="138"/>
      <c r="AP88" s="133">
        <f t="shared" si="72"/>
        <v>629</v>
      </c>
      <c r="AR88" s="848"/>
      <c r="AS88" s="799"/>
      <c r="AT88" s="799"/>
      <c r="AU88" s="799"/>
      <c r="AV88" s="799"/>
      <c r="AW88" s="799"/>
      <c r="AX88" s="799"/>
      <c r="AY88" s="799"/>
      <c r="AZ88" s="799"/>
      <c r="BC88" s="124">
        <f t="shared" si="65"/>
        <v>2009</v>
      </c>
      <c r="BD88" s="995">
        <f t="shared" si="58"/>
        <v>5869</v>
      </c>
      <c r="BE88" s="102">
        <f t="shared" si="66"/>
        <v>6279</v>
      </c>
      <c r="BF88" s="102">
        <f t="shared" si="67"/>
        <v>410</v>
      </c>
      <c r="BG88" s="471">
        <f t="shared" si="68"/>
        <v>6273</v>
      </c>
      <c r="BH88" s="464">
        <f t="shared" si="69"/>
        <v>-404</v>
      </c>
    </row>
    <row r="89" spans="26:60">
      <c r="AA89" s="295" t="s">
        <v>314</v>
      </c>
      <c r="AC89" s="852">
        <f t="shared" ref="AC89" si="73">AC88+1</f>
        <v>2010</v>
      </c>
      <c r="AD89" s="374">
        <f>O43</f>
        <v>6904</v>
      </c>
      <c r="AE89" s="132">
        <f>P43</f>
        <v>1633151</v>
      </c>
      <c r="AF89" s="975">
        <f>Y43</f>
        <v>40</v>
      </c>
      <c r="AG89" s="123">
        <v>0</v>
      </c>
      <c r="AH89" s="136">
        <v>0</v>
      </c>
      <c r="AI89" s="140"/>
      <c r="AJ89" s="134">
        <f t="shared" si="55"/>
        <v>6937</v>
      </c>
      <c r="AK89" s="164">
        <f>AD89-AJ89</f>
        <v>-33</v>
      </c>
      <c r="AL89" s="570"/>
      <c r="AM89" s="134"/>
      <c r="AN89" s="134"/>
      <c r="AO89" s="138"/>
      <c r="AP89" s="133">
        <f t="shared" si="72"/>
        <v>625</v>
      </c>
      <c r="AR89" s="1"/>
      <c r="AS89" s="797"/>
      <c r="AT89" s="797"/>
      <c r="AU89" s="797"/>
      <c r="AV89" s="797"/>
      <c r="AW89" s="797"/>
      <c r="AX89" s="797"/>
      <c r="AY89" s="797"/>
      <c r="AZ89" s="797"/>
      <c r="BC89" s="124">
        <f t="shared" si="65"/>
        <v>2010</v>
      </c>
      <c r="BD89" s="995">
        <f t="shared" si="58"/>
        <v>6605</v>
      </c>
      <c r="BE89" s="102">
        <f t="shared" si="66"/>
        <v>6904</v>
      </c>
      <c r="BF89" s="102">
        <f t="shared" si="67"/>
        <v>299</v>
      </c>
      <c r="BG89" s="471">
        <f t="shared" si="68"/>
        <v>6937</v>
      </c>
      <c r="BH89" s="464">
        <f t="shared" si="69"/>
        <v>-332</v>
      </c>
    </row>
    <row r="90" spans="26:60">
      <c r="Z90" s="295" t="s">
        <v>322</v>
      </c>
      <c r="AC90" s="852">
        <v>2013</v>
      </c>
      <c r="AD90" s="374">
        <f>O46</f>
        <v>6658</v>
      </c>
      <c r="AE90" s="132">
        <f>P46</f>
        <v>1667562</v>
      </c>
      <c r="AF90" s="975">
        <f>Y46</f>
        <v>36.4</v>
      </c>
      <c r="AG90" s="123">
        <v>0</v>
      </c>
      <c r="AH90" s="144">
        <v>1</v>
      </c>
      <c r="AI90" s="140"/>
      <c r="AJ90" s="134">
        <f>ROUND($AW$71+$AV$71*$AE90+$AU$71*$AF90+$AT$71*$AG90+$AS$71*$AH90,0)</f>
        <v>6783</v>
      </c>
      <c r="AK90" s="164">
        <f>AD90-AJ90</f>
        <v>-125</v>
      </c>
      <c r="AL90" s="570"/>
      <c r="AM90" s="134"/>
      <c r="AN90" s="134"/>
      <c r="AO90" s="138"/>
      <c r="AP90" s="133">
        <f t="shared" si="72"/>
        <v>-246</v>
      </c>
      <c r="AR90" s="827"/>
      <c r="AS90" s="797"/>
      <c r="AT90" s="797"/>
      <c r="AU90" s="797"/>
      <c r="AV90" s="797"/>
      <c r="AW90" s="797"/>
      <c r="AX90" s="797"/>
      <c r="AY90" s="797"/>
      <c r="AZ90" s="797"/>
      <c r="BC90" s="124">
        <f>AC90</f>
        <v>2013</v>
      </c>
      <c r="BD90" s="1131">
        <f>ROUND($AW$71+$AV$71*$AE90+$AU$71*$AF$53+$AT$71*AG90+$AS$71*$AH90,0)</f>
        <v>6024</v>
      </c>
      <c r="BE90" s="102">
        <f>AD90</f>
        <v>6658</v>
      </c>
      <c r="BF90" s="102">
        <f>BE90-BD90</f>
        <v>634</v>
      </c>
      <c r="BG90" s="471">
        <f>AJ90</f>
        <v>6783</v>
      </c>
      <c r="BH90" s="464">
        <f>BD90-BG90</f>
        <v>-759</v>
      </c>
    </row>
    <row r="91" spans="26:60">
      <c r="Z91" s="295" t="s">
        <v>323</v>
      </c>
      <c r="AC91" s="124">
        <f t="shared" ref="AC91:AC117" si="74">AC90+1</f>
        <v>2014</v>
      </c>
      <c r="AD91" s="456"/>
      <c r="AE91" s="132">
        <f t="shared" ref="AE91:AE117" si="75">P46</f>
        <v>1667562</v>
      </c>
      <c r="AF91" s="140">
        <f t="shared" ref="AF91:AF117" si="76">$Y$74</f>
        <v>42.8</v>
      </c>
      <c r="AG91" s="123">
        <v>0</v>
      </c>
      <c r="AH91" s="123">
        <v>0.5</v>
      </c>
      <c r="AI91" s="140"/>
      <c r="AJ91" s="134"/>
      <c r="AK91" s="164"/>
      <c r="AL91" s="493">
        <v>25</v>
      </c>
      <c r="AM91" s="577">
        <f t="shared" ref="AM91:AM117" si="77">ROUND($AW$71+$AV$71*$AE91+$AU$71*$AF91+$AT$71*$AG91+$AS$71*$AH91,0)-AL91</f>
        <v>6366</v>
      </c>
      <c r="AN91" s="134">
        <f t="shared" ref="AN91:AN108" si="78">AN46</f>
        <v>7002</v>
      </c>
      <c r="AO91" s="138">
        <f t="shared" ref="AO91:AO108" si="79">AM91-AN91</f>
        <v>-636</v>
      </c>
      <c r="AP91" s="133"/>
      <c r="AR91" s="827"/>
      <c r="AS91" s="797"/>
      <c r="AT91" s="797"/>
      <c r="AU91" s="797"/>
      <c r="AV91" s="797"/>
      <c r="AW91" s="797"/>
      <c r="AX91" s="797"/>
      <c r="AY91" s="797"/>
      <c r="AZ91" s="797"/>
    </row>
    <row r="92" spans="26:60">
      <c r="AC92" s="124">
        <f t="shared" si="74"/>
        <v>2015</v>
      </c>
      <c r="AD92" s="456"/>
      <c r="AE92" s="132">
        <f t="shared" si="75"/>
        <v>1684187.71659772</v>
      </c>
      <c r="AF92" s="140">
        <f t="shared" si="76"/>
        <v>42.8</v>
      </c>
      <c r="AG92" s="123">
        <v>0</v>
      </c>
      <c r="AH92" s="123">
        <v>0.25</v>
      </c>
      <c r="AI92" s="140"/>
      <c r="AL92" s="493">
        <v>25</v>
      </c>
      <c r="AM92" s="577">
        <f t="shared" si="77"/>
        <v>6625</v>
      </c>
      <c r="AN92" s="134">
        <f t="shared" si="78"/>
        <v>7110</v>
      </c>
      <c r="AO92" s="138">
        <f t="shared" si="79"/>
        <v>-485</v>
      </c>
      <c r="AP92" s="138">
        <f t="shared" ref="AP92:AP117" si="80">AM92-AM91</f>
        <v>259</v>
      </c>
      <c r="AR92" s="834"/>
      <c r="AS92" s="797"/>
      <c r="AT92" s="797"/>
      <c r="AU92" s="797"/>
      <c r="AV92" s="797"/>
      <c r="AW92" s="797"/>
      <c r="AX92" s="797"/>
      <c r="AY92" s="797"/>
      <c r="AZ92" s="797"/>
      <c r="BF92" s="102"/>
    </row>
    <row r="93" spans="26:60">
      <c r="AC93" s="124">
        <f t="shared" si="74"/>
        <v>2016</v>
      </c>
      <c r="AD93" s="456"/>
      <c r="AE93" s="132">
        <f t="shared" si="75"/>
        <v>1709552.01265442</v>
      </c>
      <c r="AF93" s="140">
        <f t="shared" si="76"/>
        <v>42.8</v>
      </c>
      <c r="AG93" s="123">
        <v>0</v>
      </c>
      <c r="AH93" s="123">
        <v>0</v>
      </c>
      <c r="AI93" s="140"/>
      <c r="AL93" s="493">
        <v>25</v>
      </c>
      <c r="AM93" s="577">
        <f t="shared" si="77"/>
        <v>6922</v>
      </c>
      <c r="AN93" s="134">
        <f t="shared" si="78"/>
        <v>7244</v>
      </c>
      <c r="AO93" s="138">
        <f t="shared" si="79"/>
        <v>-322</v>
      </c>
      <c r="AP93" s="138">
        <f t="shared" si="80"/>
        <v>297</v>
      </c>
      <c r="AR93" s="827"/>
      <c r="AS93" s="797"/>
      <c r="AT93" s="797"/>
      <c r="AU93" s="797"/>
      <c r="AV93" s="797"/>
      <c r="AW93" s="797"/>
      <c r="AX93" s="797"/>
      <c r="AY93" s="797"/>
      <c r="AZ93" s="797"/>
    </row>
    <row r="94" spans="26:60">
      <c r="AC94" s="124">
        <f t="shared" si="74"/>
        <v>2017</v>
      </c>
      <c r="AD94" s="456"/>
      <c r="AE94" s="132">
        <f t="shared" si="75"/>
        <v>1736110.88684675</v>
      </c>
      <c r="AF94" s="140">
        <f t="shared" si="76"/>
        <v>42.8</v>
      </c>
      <c r="AG94" s="123">
        <v>0</v>
      </c>
      <c r="AH94" s="123">
        <v>0</v>
      </c>
      <c r="AI94" s="140"/>
      <c r="AL94" s="493">
        <v>25</v>
      </c>
      <c r="AM94" s="577">
        <f t="shared" si="77"/>
        <v>7041</v>
      </c>
      <c r="AN94" s="134">
        <f t="shared" si="78"/>
        <v>7377</v>
      </c>
      <c r="AO94" s="138">
        <f t="shared" si="79"/>
        <v>-336</v>
      </c>
      <c r="AP94" s="138">
        <f t="shared" si="80"/>
        <v>119</v>
      </c>
    </row>
    <row r="95" spans="26:60">
      <c r="AC95" s="124">
        <f t="shared" si="74"/>
        <v>2018</v>
      </c>
      <c r="AD95" s="456"/>
      <c r="AE95" s="132">
        <f t="shared" si="75"/>
        <v>1762664.0585743999</v>
      </c>
      <c r="AF95" s="140">
        <f t="shared" si="76"/>
        <v>42.8</v>
      </c>
      <c r="AG95" s="123">
        <v>0</v>
      </c>
      <c r="AH95" s="123">
        <v>0</v>
      </c>
      <c r="AI95" s="140"/>
      <c r="AL95" s="493">
        <v>25</v>
      </c>
      <c r="AM95" s="577">
        <f t="shared" si="77"/>
        <v>7160</v>
      </c>
      <c r="AN95" s="134">
        <f t="shared" si="78"/>
        <v>7511</v>
      </c>
      <c r="AO95" s="138">
        <f t="shared" si="79"/>
        <v>-351</v>
      </c>
      <c r="AP95" s="138">
        <f t="shared" si="80"/>
        <v>119</v>
      </c>
    </row>
    <row r="96" spans="26:60">
      <c r="AC96" s="124">
        <f t="shared" si="74"/>
        <v>2019</v>
      </c>
      <c r="AD96" s="456"/>
      <c r="AE96" s="132">
        <f t="shared" si="75"/>
        <v>1788524.0726233099</v>
      </c>
      <c r="AF96" s="140">
        <f t="shared" si="76"/>
        <v>42.8</v>
      </c>
      <c r="AG96" s="123">
        <v>0</v>
      </c>
      <c r="AH96" s="123">
        <v>0</v>
      </c>
      <c r="AI96" s="140"/>
      <c r="AL96" s="493">
        <v>25</v>
      </c>
      <c r="AM96" s="577">
        <f t="shared" si="77"/>
        <v>7275</v>
      </c>
      <c r="AN96" s="134">
        <f t="shared" si="78"/>
        <v>7650</v>
      </c>
      <c r="AO96" s="138">
        <f t="shared" si="79"/>
        <v>-375</v>
      </c>
      <c r="AP96" s="138">
        <f t="shared" si="80"/>
        <v>115</v>
      </c>
    </row>
    <row r="97" spans="29:42">
      <c r="AC97" s="124">
        <f t="shared" si="74"/>
        <v>2020</v>
      </c>
      <c r="AD97" s="456"/>
      <c r="AE97" s="132">
        <f t="shared" si="75"/>
        <v>1812839.5026463601</v>
      </c>
      <c r="AF97" s="140">
        <f t="shared" si="76"/>
        <v>42.8</v>
      </c>
      <c r="AG97" s="123">
        <v>0</v>
      </c>
      <c r="AH97" s="123">
        <v>0</v>
      </c>
      <c r="AI97" s="140"/>
      <c r="AL97" s="493">
        <v>25</v>
      </c>
      <c r="AM97" s="577">
        <f t="shared" si="77"/>
        <v>7384</v>
      </c>
      <c r="AN97" s="134">
        <f t="shared" si="78"/>
        <v>7790</v>
      </c>
      <c r="AO97" s="138">
        <f t="shared" si="79"/>
        <v>-406</v>
      </c>
      <c r="AP97" s="138">
        <f t="shared" si="80"/>
        <v>109</v>
      </c>
    </row>
    <row r="98" spans="29:42">
      <c r="AC98" s="124">
        <f t="shared" si="74"/>
        <v>2021</v>
      </c>
      <c r="AD98" s="456"/>
      <c r="AE98" s="132">
        <f t="shared" si="75"/>
        <v>1836453.05523018</v>
      </c>
      <c r="AF98" s="140">
        <f t="shared" si="76"/>
        <v>42.8</v>
      </c>
      <c r="AG98" s="123">
        <v>0</v>
      </c>
      <c r="AH98" s="123">
        <v>0</v>
      </c>
      <c r="AI98" s="140"/>
      <c r="AL98" s="493">
        <v>25</v>
      </c>
      <c r="AM98" s="577">
        <f t="shared" si="77"/>
        <v>7490</v>
      </c>
      <c r="AN98" s="134">
        <f t="shared" si="78"/>
        <v>7930</v>
      </c>
      <c r="AO98" s="138">
        <f t="shared" si="79"/>
        <v>-440</v>
      </c>
      <c r="AP98" s="138">
        <f t="shared" si="80"/>
        <v>106</v>
      </c>
    </row>
    <row r="99" spans="29:42">
      <c r="AC99" s="124">
        <f t="shared" si="74"/>
        <v>2022</v>
      </c>
      <c r="AD99" s="456"/>
      <c r="AE99" s="132">
        <f t="shared" si="75"/>
        <v>1859353.5310224099</v>
      </c>
      <c r="AF99" s="140">
        <f t="shared" si="76"/>
        <v>42.8</v>
      </c>
      <c r="AG99" s="123">
        <v>0</v>
      </c>
      <c r="AH99" s="123">
        <v>0</v>
      </c>
      <c r="AI99" s="140"/>
      <c r="AL99" s="493">
        <v>25</v>
      </c>
      <c r="AM99" s="577">
        <f t="shared" si="77"/>
        <v>7592</v>
      </c>
      <c r="AN99" s="134">
        <f t="shared" si="78"/>
        <v>8068</v>
      </c>
      <c r="AO99" s="138">
        <f t="shared" si="79"/>
        <v>-476</v>
      </c>
      <c r="AP99" s="138">
        <f t="shared" si="80"/>
        <v>102</v>
      </c>
    </row>
    <row r="100" spans="29:42">
      <c r="AC100" s="124">
        <f t="shared" si="74"/>
        <v>2023</v>
      </c>
      <c r="AD100" s="456"/>
      <c r="AE100" s="132">
        <f t="shared" si="75"/>
        <v>1881650.9695806501</v>
      </c>
      <c r="AF100" s="140">
        <f t="shared" si="76"/>
        <v>42.8</v>
      </c>
      <c r="AG100" s="123">
        <v>0</v>
      </c>
      <c r="AH100" s="123">
        <v>0</v>
      </c>
      <c r="AI100" s="140"/>
      <c r="AL100" s="493">
        <v>25</v>
      </c>
      <c r="AM100" s="577">
        <f t="shared" si="77"/>
        <v>7692</v>
      </c>
      <c r="AN100" s="134">
        <f t="shared" si="78"/>
        <v>8204</v>
      </c>
      <c r="AO100" s="138">
        <f t="shared" si="79"/>
        <v>-512</v>
      </c>
      <c r="AP100" s="138">
        <f t="shared" si="80"/>
        <v>100</v>
      </c>
    </row>
    <row r="101" spans="29:42">
      <c r="AC101" s="124">
        <f t="shared" si="74"/>
        <v>2024</v>
      </c>
      <c r="AE101" s="132">
        <f t="shared" si="75"/>
        <v>1902750.4511578199</v>
      </c>
      <c r="AF101" s="140">
        <f t="shared" si="76"/>
        <v>42.8</v>
      </c>
      <c r="AG101" s="123">
        <v>0</v>
      </c>
      <c r="AH101" s="123">
        <v>0</v>
      </c>
      <c r="AI101" s="140"/>
      <c r="AL101" s="493">
        <v>25</v>
      </c>
      <c r="AM101" s="577">
        <f t="shared" si="77"/>
        <v>7786</v>
      </c>
      <c r="AN101" s="134">
        <f t="shared" si="78"/>
        <v>8338</v>
      </c>
      <c r="AO101" s="138">
        <f t="shared" si="79"/>
        <v>-552</v>
      </c>
      <c r="AP101" s="138">
        <f t="shared" si="80"/>
        <v>94</v>
      </c>
    </row>
    <row r="102" spans="29:42">
      <c r="AC102" s="124">
        <f t="shared" si="74"/>
        <v>2025</v>
      </c>
      <c r="AE102" s="132">
        <f t="shared" si="75"/>
        <v>1923045.10474353</v>
      </c>
      <c r="AF102" s="140">
        <f t="shared" si="76"/>
        <v>42.8</v>
      </c>
      <c r="AG102" s="123">
        <v>0</v>
      </c>
      <c r="AH102" s="123">
        <v>0</v>
      </c>
      <c r="AI102" s="140"/>
      <c r="AL102" s="493">
        <v>25</v>
      </c>
      <c r="AM102" s="577">
        <f t="shared" si="77"/>
        <v>7877</v>
      </c>
      <c r="AN102" s="134">
        <f t="shared" si="78"/>
        <v>8470</v>
      </c>
      <c r="AO102" s="138">
        <f t="shared" si="79"/>
        <v>-593</v>
      </c>
      <c r="AP102" s="138">
        <f t="shared" si="80"/>
        <v>91</v>
      </c>
    </row>
    <row r="103" spans="29:42">
      <c r="AC103" s="124">
        <f t="shared" si="74"/>
        <v>2026</v>
      </c>
      <c r="AE103" s="132">
        <f t="shared" si="75"/>
        <v>1942559.63326554</v>
      </c>
      <c r="AF103" s="140">
        <f t="shared" si="76"/>
        <v>42.8</v>
      </c>
      <c r="AG103" s="123">
        <v>0</v>
      </c>
      <c r="AH103" s="123">
        <v>0</v>
      </c>
      <c r="AI103" s="140"/>
      <c r="AL103" s="493">
        <v>25</v>
      </c>
      <c r="AM103" s="577">
        <f t="shared" si="77"/>
        <v>7965</v>
      </c>
      <c r="AN103" s="134">
        <f t="shared" si="78"/>
        <v>8602</v>
      </c>
      <c r="AO103" s="138">
        <f t="shared" si="79"/>
        <v>-637</v>
      </c>
      <c r="AP103" s="138">
        <f t="shared" si="80"/>
        <v>88</v>
      </c>
    </row>
    <row r="104" spans="29:42">
      <c r="AC104" s="124">
        <f t="shared" si="74"/>
        <v>2027</v>
      </c>
      <c r="AE104" s="132">
        <f t="shared" si="75"/>
        <v>1961087.90630126</v>
      </c>
      <c r="AF104" s="140">
        <f t="shared" si="76"/>
        <v>42.8</v>
      </c>
      <c r="AG104" s="123">
        <v>0</v>
      </c>
      <c r="AH104" s="123">
        <v>0</v>
      </c>
      <c r="AI104" s="140"/>
      <c r="AL104" s="493">
        <v>25</v>
      </c>
      <c r="AM104" s="577">
        <f t="shared" si="77"/>
        <v>8048</v>
      </c>
      <c r="AN104" s="134">
        <f t="shared" si="78"/>
        <v>8732</v>
      </c>
      <c r="AO104" s="138">
        <f t="shared" si="79"/>
        <v>-684</v>
      </c>
      <c r="AP104" s="138">
        <f t="shared" si="80"/>
        <v>83</v>
      </c>
    </row>
    <row r="105" spans="29:42">
      <c r="AC105" s="124">
        <f t="shared" si="74"/>
        <v>2028</v>
      </c>
      <c r="AE105" s="132">
        <f t="shared" si="75"/>
        <v>1979039.3216959201</v>
      </c>
      <c r="AF105" s="140">
        <f t="shared" si="76"/>
        <v>42.8</v>
      </c>
      <c r="AG105" s="123">
        <v>0</v>
      </c>
      <c r="AH105" s="123">
        <v>0</v>
      </c>
      <c r="AI105" s="140"/>
      <c r="AL105" s="493">
        <v>25</v>
      </c>
      <c r="AM105" s="577">
        <f t="shared" si="77"/>
        <v>8128</v>
      </c>
      <c r="AN105" s="134">
        <f t="shared" si="78"/>
        <v>8861</v>
      </c>
      <c r="AO105" s="138">
        <f t="shared" si="79"/>
        <v>-733</v>
      </c>
      <c r="AP105" s="138">
        <f t="shared" si="80"/>
        <v>80</v>
      </c>
    </row>
    <row r="106" spans="29:42">
      <c r="AC106" s="124">
        <f t="shared" si="74"/>
        <v>2029</v>
      </c>
      <c r="AE106" s="132">
        <f t="shared" si="75"/>
        <v>1996620.0334745101</v>
      </c>
      <c r="AF106" s="140">
        <f t="shared" si="76"/>
        <v>42.8</v>
      </c>
      <c r="AG106" s="123">
        <v>0</v>
      </c>
      <c r="AH106" s="123">
        <v>0</v>
      </c>
      <c r="AI106" s="140"/>
      <c r="AL106" s="493">
        <v>25</v>
      </c>
      <c r="AM106" s="577">
        <f t="shared" si="77"/>
        <v>8207</v>
      </c>
      <c r="AN106" s="134">
        <f t="shared" si="78"/>
        <v>8989</v>
      </c>
      <c r="AO106" s="138">
        <f t="shared" si="79"/>
        <v>-782</v>
      </c>
      <c r="AP106" s="138">
        <f t="shared" si="80"/>
        <v>79</v>
      </c>
    </row>
    <row r="107" spans="29:42">
      <c r="AC107" s="124">
        <f t="shared" si="74"/>
        <v>2030</v>
      </c>
      <c r="AE107" s="132">
        <f t="shared" si="75"/>
        <v>2013821.99904664</v>
      </c>
      <c r="AF107" s="140">
        <f t="shared" si="76"/>
        <v>42.8</v>
      </c>
      <c r="AG107" s="123">
        <v>0</v>
      </c>
      <c r="AH107" s="123">
        <v>0</v>
      </c>
      <c r="AI107" s="140"/>
      <c r="AL107" s="493">
        <v>25</v>
      </c>
      <c r="AM107" s="577">
        <f t="shared" si="77"/>
        <v>8284</v>
      </c>
      <c r="AN107" s="134">
        <f t="shared" si="78"/>
        <v>9116</v>
      </c>
      <c r="AO107" s="138">
        <f t="shared" si="79"/>
        <v>-832</v>
      </c>
      <c r="AP107" s="138">
        <f t="shared" si="80"/>
        <v>77</v>
      </c>
    </row>
    <row r="108" spans="29:42">
      <c r="AC108" s="124">
        <f t="shared" si="74"/>
        <v>2031</v>
      </c>
      <c r="AE108" s="132">
        <f t="shared" si="75"/>
        <v>2030197.8482536401</v>
      </c>
      <c r="AF108" s="140">
        <f t="shared" si="76"/>
        <v>42.8</v>
      </c>
      <c r="AG108" s="123">
        <v>0</v>
      </c>
      <c r="AH108" s="123">
        <v>0</v>
      </c>
      <c r="AI108" s="140"/>
      <c r="AL108" s="493">
        <v>25</v>
      </c>
      <c r="AM108" s="577">
        <f t="shared" si="77"/>
        <v>8357</v>
      </c>
      <c r="AN108" s="134">
        <f t="shared" si="78"/>
        <v>9242</v>
      </c>
      <c r="AO108" s="138">
        <f t="shared" si="79"/>
        <v>-885</v>
      </c>
      <c r="AP108" s="138">
        <f t="shared" si="80"/>
        <v>73</v>
      </c>
    </row>
    <row r="109" spans="29:42">
      <c r="AC109" s="124">
        <f t="shared" si="74"/>
        <v>2032</v>
      </c>
      <c r="AE109" s="132">
        <f t="shared" si="75"/>
        <v>2045942.9993614999</v>
      </c>
      <c r="AF109" s="140">
        <f t="shared" si="76"/>
        <v>42.8</v>
      </c>
      <c r="AG109" s="123">
        <v>0</v>
      </c>
      <c r="AH109" s="123">
        <v>0</v>
      </c>
      <c r="AI109" s="140"/>
      <c r="AL109" s="493">
        <v>25</v>
      </c>
      <c r="AM109" s="577">
        <f t="shared" si="77"/>
        <v>8427</v>
      </c>
      <c r="AN109" s="134"/>
      <c r="AO109" s="138"/>
      <c r="AP109" s="138">
        <f t="shared" si="80"/>
        <v>70</v>
      </c>
    </row>
    <row r="110" spans="29:42">
      <c r="AC110" s="124">
        <f t="shared" si="74"/>
        <v>2033</v>
      </c>
      <c r="AE110" s="132">
        <f t="shared" si="75"/>
        <v>2061283.5689495299</v>
      </c>
      <c r="AF110" s="140">
        <f t="shared" si="76"/>
        <v>42.8</v>
      </c>
      <c r="AG110" s="123">
        <v>0</v>
      </c>
      <c r="AH110" s="123">
        <v>0</v>
      </c>
      <c r="AI110" s="140"/>
      <c r="AL110" s="493">
        <v>25</v>
      </c>
      <c r="AM110" s="577">
        <f t="shared" si="77"/>
        <v>8496</v>
      </c>
      <c r="AN110" s="134"/>
      <c r="AO110" s="138"/>
      <c r="AP110" s="138">
        <f t="shared" si="80"/>
        <v>69</v>
      </c>
    </row>
    <row r="111" spans="29:42">
      <c r="AC111" s="124">
        <f t="shared" si="74"/>
        <v>2034</v>
      </c>
      <c r="AD111" s="994"/>
      <c r="AE111" s="132">
        <f t="shared" si="75"/>
        <v>2076228.1609213599</v>
      </c>
      <c r="AF111" s="140">
        <f t="shared" si="76"/>
        <v>42.8</v>
      </c>
      <c r="AG111" s="123">
        <v>0</v>
      </c>
      <c r="AH111" s="123">
        <v>0</v>
      </c>
      <c r="AI111" s="140"/>
      <c r="AL111" s="493">
        <v>25</v>
      </c>
      <c r="AM111" s="577">
        <f t="shared" si="77"/>
        <v>8563</v>
      </c>
      <c r="AN111" s="134"/>
      <c r="AO111" s="138"/>
      <c r="AP111" s="138">
        <f t="shared" si="80"/>
        <v>67</v>
      </c>
    </row>
    <row r="112" spans="29:42">
      <c r="AC112" s="124">
        <f t="shared" si="74"/>
        <v>2035</v>
      </c>
      <c r="AD112" s="994"/>
      <c r="AE112" s="132">
        <f t="shared" si="75"/>
        <v>2090784.25655416</v>
      </c>
      <c r="AF112" s="140">
        <f t="shared" si="76"/>
        <v>42.8</v>
      </c>
      <c r="AG112" s="123">
        <v>0</v>
      </c>
      <c r="AH112" s="123">
        <v>0</v>
      </c>
      <c r="AI112" s="140"/>
      <c r="AL112" s="493">
        <v>25</v>
      </c>
      <c r="AM112" s="577">
        <f t="shared" si="77"/>
        <v>8628</v>
      </c>
      <c r="AN112" s="134"/>
      <c r="AO112" s="138"/>
      <c r="AP112" s="138">
        <f t="shared" si="80"/>
        <v>65</v>
      </c>
    </row>
    <row r="113" spans="29:42">
      <c r="AC113" s="124">
        <f t="shared" si="74"/>
        <v>2036</v>
      </c>
      <c r="AE113" s="132">
        <f t="shared" si="75"/>
        <v>2104964.19089616</v>
      </c>
      <c r="AF113" s="140">
        <f t="shared" si="76"/>
        <v>42.8</v>
      </c>
      <c r="AG113" s="123">
        <v>0</v>
      </c>
      <c r="AH113" s="123">
        <v>0</v>
      </c>
      <c r="AI113" s="140"/>
      <c r="AL113" s="493">
        <v>25</v>
      </c>
      <c r="AM113" s="577">
        <f t="shared" si="77"/>
        <v>8691</v>
      </c>
      <c r="AN113" s="134"/>
      <c r="AO113" s="138"/>
      <c r="AP113" s="138">
        <f t="shared" si="80"/>
        <v>63</v>
      </c>
    </row>
    <row r="114" spans="29:42" ht="12.75" customHeight="1">
      <c r="AC114" s="124">
        <f t="shared" si="74"/>
        <v>2037</v>
      </c>
      <c r="AE114" s="132">
        <f t="shared" si="75"/>
        <v>2118780.44061008</v>
      </c>
      <c r="AF114" s="140">
        <f t="shared" si="76"/>
        <v>42.8</v>
      </c>
      <c r="AG114" s="123">
        <v>0</v>
      </c>
      <c r="AH114" s="123">
        <v>0</v>
      </c>
      <c r="AI114" s="140"/>
      <c r="AL114" s="493">
        <v>25</v>
      </c>
      <c r="AM114" s="577">
        <f t="shared" si="77"/>
        <v>8753</v>
      </c>
      <c r="AN114" s="134"/>
      <c r="AO114" s="138"/>
      <c r="AP114" s="138">
        <f t="shared" si="80"/>
        <v>62</v>
      </c>
    </row>
    <row r="115" spans="29:42" ht="12.75" customHeight="1">
      <c r="AC115" s="124">
        <f t="shared" si="74"/>
        <v>2038</v>
      </c>
      <c r="AE115" s="132">
        <f t="shared" si="75"/>
        <v>2133211.4453870999</v>
      </c>
      <c r="AF115" s="140">
        <f t="shared" si="76"/>
        <v>42.8</v>
      </c>
      <c r="AG115" s="123">
        <v>0</v>
      </c>
      <c r="AH115" s="123">
        <v>0</v>
      </c>
      <c r="AI115" s="140"/>
      <c r="AL115" s="493">
        <v>25</v>
      </c>
      <c r="AM115" s="577">
        <f t="shared" si="77"/>
        <v>8818</v>
      </c>
      <c r="AN115" s="134"/>
      <c r="AO115" s="138"/>
      <c r="AP115" s="138">
        <f t="shared" si="80"/>
        <v>65</v>
      </c>
    </row>
    <row r="116" spans="29:42">
      <c r="AC116" s="124">
        <f t="shared" si="74"/>
        <v>2039</v>
      </c>
      <c r="AE116" s="132">
        <f t="shared" si="75"/>
        <v>2148357.9754083203</v>
      </c>
      <c r="AF116" s="140">
        <f t="shared" si="76"/>
        <v>42.8</v>
      </c>
      <c r="AG116" s="123">
        <v>0</v>
      </c>
      <c r="AH116" s="123">
        <v>0</v>
      </c>
      <c r="AI116" s="140"/>
      <c r="AL116" s="493">
        <v>25</v>
      </c>
      <c r="AM116" s="577">
        <f t="shared" si="77"/>
        <v>8886</v>
      </c>
      <c r="AN116" s="134"/>
      <c r="AO116" s="138"/>
      <c r="AP116" s="138">
        <f t="shared" si="80"/>
        <v>68</v>
      </c>
    </row>
    <row r="117" spans="29:42">
      <c r="AC117" s="124">
        <f t="shared" si="74"/>
        <v>2040</v>
      </c>
      <c r="AE117" s="132">
        <f t="shared" si="75"/>
        <v>2163125.3297651801</v>
      </c>
      <c r="AF117" s="140">
        <f t="shared" si="76"/>
        <v>42.8</v>
      </c>
      <c r="AG117" s="123">
        <v>0</v>
      </c>
      <c r="AH117" s="123">
        <v>0</v>
      </c>
      <c r="AI117" s="140"/>
      <c r="AL117" s="493">
        <v>25</v>
      </c>
      <c r="AM117" s="577">
        <f t="shared" si="77"/>
        <v>8952</v>
      </c>
      <c r="AN117" s="134"/>
      <c r="AO117" s="138"/>
      <c r="AP117" s="138">
        <f t="shared" si="80"/>
        <v>66</v>
      </c>
    </row>
    <row r="119" spans="29:42">
      <c r="AC119" s="474"/>
      <c r="AD119" s="474"/>
      <c r="AE119" s="652"/>
      <c r="AF119" s="641"/>
      <c r="AG119" s="696"/>
      <c r="AH119" s="696"/>
      <c r="AI119" s="641"/>
      <c r="AJ119" s="474"/>
      <c r="AK119" s="474"/>
      <c r="AL119" s="570"/>
      <c r="AM119" s="778"/>
      <c r="AN119" s="569"/>
      <c r="AO119" s="630"/>
      <c r="AP119" s="630"/>
    </row>
    <row r="120" spans="29:42">
      <c r="AC120" s="474"/>
      <c r="AD120" s="474"/>
      <c r="AE120" s="474"/>
      <c r="AF120" s="474"/>
      <c r="AG120" s="474"/>
      <c r="AH120" s="474"/>
      <c r="AI120" s="474"/>
      <c r="AJ120" s="474"/>
      <c r="AK120" s="474"/>
      <c r="AL120" s="474"/>
      <c r="AM120" s="778"/>
      <c r="AN120" s="474"/>
      <c r="AO120" s="474"/>
      <c r="AP120" s="474"/>
    </row>
    <row r="121" spans="29:42" ht="12.75" customHeight="1">
      <c r="AC121" s="1504"/>
      <c r="AD121" s="1505"/>
      <c r="AE121" s="1506"/>
      <c r="AF121" s="1507"/>
      <c r="AG121" s="1507"/>
      <c r="AH121" s="1506"/>
      <c r="AI121" s="767"/>
      <c r="AJ121" s="1505"/>
      <c r="AK121" s="769"/>
      <c r="AL121" s="770"/>
      <c r="AM121" s="1506"/>
      <c r="AN121" s="767"/>
      <c r="AO121" s="767"/>
      <c r="AP121" s="767"/>
    </row>
    <row r="122" spans="29:42" ht="12.75" customHeight="1">
      <c r="AC122" s="1504"/>
      <c r="AD122" s="1505"/>
      <c r="AE122" s="1506"/>
      <c r="AF122" s="1508"/>
      <c r="AG122" s="1508"/>
      <c r="AH122" s="1506"/>
      <c r="AI122" s="767"/>
      <c r="AJ122" s="1509"/>
      <c r="AK122" s="1127"/>
      <c r="AL122" s="767"/>
      <c r="AM122" s="1506"/>
      <c r="AN122" s="1506"/>
      <c r="AO122" s="1506"/>
      <c r="AP122" s="767"/>
    </row>
    <row r="123" spans="29:42">
      <c r="AC123" s="1510"/>
      <c r="AD123" s="1510"/>
      <c r="AE123" s="474"/>
      <c r="AF123" s="474"/>
      <c r="AG123" s="474"/>
      <c r="AH123" s="474"/>
      <c r="AI123" s="474"/>
      <c r="AJ123" s="474"/>
      <c r="AK123" s="474"/>
      <c r="AL123" s="474"/>
      <c r="AM123" s="474"/>
      <c r="AN123" s="474"/>
      <c r="AO123" s="474"/>
      <c r="AP123" s="474"/>
    </row>
    <row r="124" spans="29:42">
      <c r="AC124" s="1510"/>
      <c r="AD124" s="1510"/>
      <c r="AE124" s="474"/>
      <c r="AF124" s="474"/>
      <c r="AG124" s="474"/>
      <c r="AH124" s="474"/>
      <c r="AI124" s="474"/>
      <c r="AJ124" s="474"/>
      <c r="AK124" s="474"/>
      <c r="AL124" s="474"/>
      <c r="AM124" s="474"/>
      <c r="AN124" s="474"/>
      <c r="AO124" s="474"/>
      <c r="AP124" s="474"/>
    </row>
    <row r="125" spans="29:42">
      <c r="AC125" s="1503"/>
      <c r="AD125" s="1503"/>
    </row>
    <row r="130" spans="44:52">
      <c r="AR130"/>
      <c r="AS130"/>
      <c r="AT130"/>
      <c r="AU130"/>
      <c r="AV130"/>
      <c r="AW130"/>
      <c r="AX130"/>
      <c r="AY130"/>
      <c r="AZ130"/>
    </row>
    <row r="131" spans="44:52">
      <c r="AR131"/>
      <c r="AS131"/>
      <c r="AT131"/>
      <c r="AU131"/>
      <c r="AV131"/>
      <c r="AW131"/>
      <c r="AX131"/>
      <c r="AY131"/>
      <c r="AZ131"/>
    </row>
    <row r="143" spans="44:52" ht="13.5" thickBot="1"/>
    <row r="144" spans="44:52">
      <c r="AR144" s="829" t="s">
        <v>393</v>
      </c>
    </row>
    <row r="145" spans="44:44">
      <c r="AR145" s="1" t="s">
        <v>22</v>
      </c>
    </row>
    <row r="146" spans="44:44">
      <c r="AR146" s="827" t="s">
        <v>389</v>
      </c>
    </row>
    <row r="147" spans="44:44">
      <c r="AR147" s="827" t="s">
        <v>400</v>
      </c>
    </row>
    <row r="148" spans="44:44">
      <c r="AR148" s="834" t="s">
        <v>401</v>
      </c>
    </row>
    <row r="149" spans="44:44" ht="13.5" thickBot="1">
      <c r="AR149" s="828" t="s">
        <v>402</v>
      </c>
    </row>
  </sheetData>
  <mergeCells count="1">
    <mergeCell ref="Y5:Z5"/>
  </mergeCells>
  <phoneticPr fontId="52" type="noConversion"/>
  <printOptions horizontalCentered="1"/>
  <pageMargins left="0.25" right="0.25" top="0.5" bottom="0.75" header="0" footer="0.25"/>
  <pageSetup scale="67" orientation="landscape" verticalDpi="300" r:id="rId1"/>
  <headerFooter alignWithMargins="0">
    <oddFooter>&amp;LLoad Forecasting : &amp;D&amp;R14LGBRA-NRGPOD1-6-DOC 38
14BGBRA-STAFFROG1-19A-DOC 38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I131"/>
  <sheetViews>
    <sheetView tabSelected="1" zoomScale="75" workbookViewId="0">
      <pane xSplit="4" ySplit="7" topLeftCell="E8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/>
  <cols>
    <col min="1" max="1" width="6.28515625" style="123" bestFit="1" customWidth="1"/>
    <col min="2" max="2" width="10.140625" style="123" bestFit="1" customWidth="1"/>
    <col min="3" max="3" width="4" style="123" bestFit="1" customWidth="1"/>
    <col min="4" max="4" width="5.5703125" style="123" bestFit="1" customWidth="1"/>
    <col min="5" max="5" width="8.7109375" style="123" bestFit="1" customWidth="1"/>
    <col min="6" max="6" width="10.42578125" style="123" bestFit="1" customWidth="1"/>
    <col min="7" max="7" width="11.140625" style="123" bestFit="1" customWidth="1"/>
    <col min="8" max="8" width="8.28515625" style="123" bestFit="1" customWidth="1"/>
    <col min="9" max="9" width="9.42578125" style="123" bestFit="1" customWidth="1"/>
    <col min="10" max="10" width="8.7109375" style="123" bestFit="1" customWidth="1"/>
    <col min="11" max="11" width="10" style="123" bestFit="1" customWidth="1"/>
    <col min="12" max="12" width="7.7109375" style="123" bestFit="1" customWidth="1"/>
    <col min="13" max="13" width="11.42578125" style="123" bestFit="1" customWidth="1"/>
    <col min="14" max="14" width="7.140625" style="123" bestFit="1" customWidth="1"/>
    <col min="15" max="15" width="7.7109375" style="123" bestFit="1" customWidth="1"/>
    <col min="16" max="16" width="12.7109375" style="123" bestFit="1" customWidth="1"/>
    <col min="17" max="17" width="12.7109375" style="123" customWidth="1"/>
    <col min="18" max="18" width="9.7109375" style="123" customWidth="1"/>
    <col min="19" max="19" width="10.28515625" style="123" bestFit="1" customWidth="1"/>
    <col min="20" max="20" width="13.85546875" style="123" bestFit="1" customWidth="1"/>
    <col min="21" max="21" width="14.42578125" style="123" bestFit="1" customWidth="1"/>
    <col min="22" max="22" width="9.85546875" style="124" bestFit="1" customWidth="1"/>
    <col min="23" max="23" width="14.5703125" style="124" bestFit="1" customWidth="1"/>
    <col min="24" max="24" width="9.140625" style="124"/>
    <col min="25" max="25" width="9.7109375" style="124" customWidth="1"/>
    <col min="26" max="31" width="9.140625" style="124"/>
    <col min="32" max="32" width="10.28515625" style="124" bestFit="1" customWidth="1"/>
    <col min="33" max="33" width="9.140625" style="124"/>
    <col min="34" max="34" width="14.140625" style="124" bestFit="1" customWidth="1"/>
    <col min="35" max="35" width="6.85546875" style="124" customWidth="1"/>
    <col min="36" max="40" width="9.140625" style="124"/>
    <col min="41" max="41" width="7" style="124" bestFit="1" customWidth="1"/>
    <col min="42" max="42" width="11.7109375" style="124" bestFit="1" customWidth="1"/>
    <col min="43" max="43" width="14.28515625" style="124" customWidth="1"/>
    <col min="44" max="44" width="15" style="124" customWidth="1"/>
    <col min="45" max="47" width="12.7109375" style="124" customWidth="1"/>
    <col min="48" max="48" width="14.28515625" style="124" bestFit="1" customWidth="1"/>
    <col min="49" max="49" width="12.5703125" style="124" customWidth="1"/>
    <col min="50" max="51" width="9.140625" style="124"/>
    <col min="52" max="52" width="12" style="124" bestFit="1" customWidth="1"/>
    <col min="53" max="53" width="11.85546875" style="124" customWidth="1"/>
    <col min="54" max="55" width="9.140625" style="124"/>
    <col min="56" max="56" width="12.140625" style="124" bestFit="1" customWidth="1"/>
    <col min="57" max="16384" width="9.140625" style="124"/>
  </cols>
  <sheetData>
    <row r="1" spans="1:56" s="122" customFormat="1" ht="13.5" thickBot="1">
      <c r="A1" s="906" t="s">
        <v>109</v>
      </c>
      <c r="B1" s="1583"/>
      <c r="C1" s="1583"/>
      <c r="D1" s="1583"/>
      <c r="E1" s="1583"/>
      <c r="F1" s="1583"/>
      <c r="G1" s="1583"/>
      <c r="H1" s="1583"/>
      <c r="I1" s="1583"/>
      <c r="J1" s="1583"/>
      <c r="K1" s="1582" t="s">
        <v>634</v>
      </c>
      <c r="L1" s="1583"/>
      <c r="M1" s="1583"/>
      <c r="N1" s="1583"/>
      <c r="O1" s="1583"/>
      <c r="P1" s="1583"/>
      <c r="Q1" s="1582" t="s">
        <v>634</v>
      </c>
      <c r="R1" s="1582" t="s">
        <v>634</v>
      </c>
      <c r="S1" s="1582" t="s">
        <v>634</v>
      </c>
      <c r="T1" s="1582" t="s">
        <v>634</v>
      </c>
      <c r="U1" s="1582" t="s">
        <v>634</v>
      </c>
      <c r="V1" s="1582" t="s">
        <v>634</v>
      </c>
      <c r="W1" s="1582" t="s">
        <v>634</v>
      </c>
      <c r="AD1" s="1603" t="s">
        <v>607</v>
      </c>
      <c r="AE1" s="1604"/>
      <c r="AF1" s="1604"/>
      <c r="AG1" s="1604"/>
      <c r="AH1" s="1604"/>
      <c r="AI1" s="1604"/>
      <c r="AJ1" s="1604"/>
      <c r="AK1" s="1604"/>
      <c r="AL1" s="1604"/>
      <c r="AM1" s="1604"/>
      <c r="AN1" s="1604"/>
      <c r="AO1" s="1604"/>
      <c r="AP1" s="1604"/>
      <c r="AQ1" s="1604"/>
      <c r="AR1" s="1604"/>
      <c r="AS1" s="1604"/>
      <c r="AT1" s="1604"/>
      <c r="AU1" s="1604"/>
    </row>
    <row r="2" spans="1:56">
      <c r="P2" s="1190" t="str">
        <f>Feb!P2</f>
        <v>CF_201309</v>
      </c>
      <c r="R2" s="1190" t="str">
        <f>Feb!R2</f>
        <v>13_EDB_Adjmt.xlsx</v>
      </c>
      <c r="S2" s="109"/>
      <c r="T2" s="1190" t="str">
        <f>P2</f>
        <v>CF_201309</v>
      </c>
    </row>
    <row r="3" spans="1:56">
      <c r="J3" s="265" t="s">
        <v>21</v>
      </c>
      <c r="M3" s="123" t="s">
        <v>58</v>
      </c>
      <c r="Q3" s="92"/>
      <c r="R3" s="92"/>
      <c r="S3" s="92"/>
      <c r="T3" s="92"/>
    </row>
    <row r="4" spans="1:56">
      <c r="J4" s="123" t="s">
        <v>6</v>
      </c>
      <c r="L4" s="780" t="s">
        <v>363</v>
      </c>
      <c r="M4" s="123" t="s">
        <v>6</v>
      </c>
      <c r="O4" s="123" t="s">
        <v>1</v>
      </c>
      <c r="Q4" s="353" t="s">
        <v>186</v>
      </c>
      <c r="R4" s="687">
        <f>[2]ssr!$K$175</f>
        <v>0.1915</v>
      </c>
      <c r="S4" s="370"/>
      <c r="T4" s="92"/>
      <c r="U4" s="810" t="s">
        <v>396</v>
      </c>
      <c r="AD4" s="125" t="s">
        <v>305</v>
      </c>
    </row>
    <row r="5" spans="1:56">
      <c r="H5" s="265" t="s">
        <v>66</v>
      </c>
      <c r="I5" s="265" t="s">
        <v>206</v>
      </c>
      <c r="J5" s="123" t="s">
        <v>61</v>
      </c>
      <c r="L5" s="123" t="s">
        <v>87</v>
      </c>
      <c r="M5" s="123" t="s">
        <v>61</v>
      </c>
      <c r="N5" s="123" t="s">
        <v>0</v>
      </c>
      <c r="O5" s="123" t="s">
        <v>6</v>
      </c>
      <c r="P5" s="810" t="s">
        <v>396</v>
      </c>
      <c r="Q5" s="351" t="s">
        <v>187</v>
      </c>
      <c r="R5" s="350" t="s">
        <v>189</v>
      </c>
      <c r="S5" s="350" t="s">
        <v>21</v>
      </c>
      <c r="T5" s="92"/>
      <c r="U5" s="309" t="s">
        <v>315</v>
      </c>
      <c r="V5" s="351" t="s">
        <v>346</v>
      </c>
      <c r="W5" s="350" t="s">
        <v>194</v>
      </c>
      <c r="X5" s="284" t="s">
        <v>408</v>
      </c>
      <c r="Y5" s="123"/>
      <c r="AE5" s="265"/>
      <c r="AG5" s="265" t="s">
        <v>294</v>
      </c>
      <c r="AI5" s="265"/>
    </row>
    <row r="6" spans="1:56" s="129" customFormat="1" ht="13.5" thickBot="1">
      <c r="A6" s="121" t="s">
        <v>9</v>
      </c>
      <c r="B6" s="121" t="s">
        <v>88</v>
      </c>
      <c r="C6" s="121" t="s">
        <v>89</v>
      </c>
      <c r="D6" s="121" t="s">
        <v>90</v>
      </c>
      <c r="E6" s="121" t="s">
        <v>91</v>
      </c>
      <c r="F6" s="121" t="s">
        <v>92</v>
      </c>
      <c r="G6" s="121" t="s">
        <v>93</v>
      </c>
      <c r="H6" s="128" t="s">
        <v>205</v>
      </c>
      <c r="I6" s="128" t="s">
        <v>207</v>
      </c>
      <c r="J6" s="121" t="s">
        <v>62</v>
      </c>
      <c r="K6" s="121" t="s">
        <v>57</v>
      </c>
      <c r="L6" s="121" t="s">
        <v>77</v>
      </c>
      <c r="M6" s="121" t="s">
        <v>59</v>
      </c>
      <c r="N6" s="324" t="s">
        <v>66</v>
      </c>
      <c r="O6" s="1211" t="s">
        <v>567</v>
      </c>
      <c r="P6" s="178" t="s">
        <v>197</v>
      </c>
      <c r="Q6" s="352" t="s">
        <v>226</v>
      </c>
      <c r="R6" s="352" t="s">
        <v>190</v>
      </c>
      <c r="S6" s="94" t="s">
        <v>188</v>
      </c>
      <c r="T6" s="479" t="s">
        <v>246</v>
      </c>
      <c r="U6" s="112" t="s">
        <v>316</v>
      </c>
      <c r="V6" s="343" t="s">
        <v>345</v>
      </c>
      <c r="W6" s="359" t="s">
        <v>169</v>
      </c>
      <c r="X6" s="859" t="s">
        <v>170</v>
      </c>
      <c r="Y6" s="376" t="s">
        <v>196</v>
      </c>
      <c r="Z6" s="378"/>
      <c r="AA6" s="378"/>
      <c r="AB6" s="378"/>
      <c r="AC6" s="378"/>
      <c r="AD6" s="121" t="s">
        <v>9</v>
      </c>
      <c r="AE6" s="128" t="s">
        <v>179</v>
      </c>
      <c r="AF6" s="121" t="s">
        <v>97</v>
      </c>
      <c r="AG6" s="128" t="s">
        <v>170</v>
      </c>
      <c r="AH6" s="178" t="s">
        <v>130</v>
      </c>
      <c r="AI6" s="329" t="s">
        <v>129</v>
      </c>
      <c r="AJ6" s="121" t="s">
        <v>98</v>
      </c>
      <c r="AK6" s="121" t="s">
        <v>99</v>
      </c>
      <c r="AL6" s="121" t="s">
        <v>100</v>
      </c>
      <c r="AM6" s="178" t="str">
        <f>Mar!AM6</f>
        <v>Fall'13</v>
      </c>
      <c r="AN6" s="178" t="str">
        <f>Mar!AN6</f>
        <v>TYSP'13</v>
      </c>
      <c r="AO6" s="178" t="str">
        <f>Mar!AO6</f>
        <v>Diff</v>
      </c>
      <c r="AP6" s="178" t="str">
        <f>Mar!AP6</f>
        <v>Yr-Yr Growth</v>
      </c>
    </row>
    <row r="7" spans="1:56">
      <c r="V7" s="123"/>
      <c r="W7" s="123"/>
      <c r="X7" s="123"/>
      <c r="Y7" s="123"/>
      <c r="Z7" s="379"/>
      <c r="AA7" s="379"/>
      <c r="AB7" s="379"/>
      <c r="AC7" s="379"/>
    </row>
    <row r="8" spans="1:56">
      <c r="A8" s="123">
        <v>1975</v>
      </c>
      <c r="B8" s="139">
        <v>27514</v>
      </c>
      <c r="C8" s="123">
        <v>18</v>
      </c>
      <c r="D8" s="346" t="str">
        <f>TEXT(WEEKDAY(B8),"ddd")</f>
        <v>Wed</v>
      </c>
      <c r="E8" s="374">
        <v>2516</v>
      </c>
      <c r="P8" s="374">
        <f>[4]Data!$I106</f>
        <v>621893</v>
      </c>
      <c r="V8" s="123"/>
      <c r="W8" s="123"/>
      <c r="X8" s="339"/>
      <c r="Y8" s="145"/>
      <c r="Z8" s="379"/>
      <c r="AA8" s="379"/>
      <c r="AB8" s="379"/>
      <c r="AC8" s="379"/>
      <c r="AP8" s="415">
        <f>AVERAGE(AP14:AP36)</f>
        <v>178.27391304347827</v>
      </c>
    </row>
    <row r="9" spans="1:56">
      <c r="A9" s="123">
        <v>1976</v>
      </c>
      <c r="B9" s="139">
        <v>27872</v>
      </c>
      <c r="C9" s="123">
        <v>20</v>
      </c>
      <c r="D9" s="346" t="str">
        <f>TEXT(WEEKDAY(B9),"ddd")</f>
        <v>Thu</v>
      </c>
      <c r="E9" s="374">
        <v>2256</v>
      </c>
      <c r="P9" s="374">
        <f>[4]Data!$I107</f>
        <v>647518</v>
      </c>
      <c r="V9" s="123"/>
      <c r="W9" s="123"/>
      <c r="X9" s="339">
        <f>[5]Apr!$J4</f>
        <v>77.8</v>
      </c>
      <c r="Y9" s="284">
        <f>[5]Apr!$M4</f>
        <v>81.7</v>
      </c>
      <c r="Z9" s="379"/>
      <c r="AA9" s="379"/>
      <c r="AB9" s="379"/>
      <c r="AC9" s="379"/>
      <c r="AD9" s="832" t="s">
        <v>422</v>
      </c>
      <c r="AE9" s="908"/>
      <c r="AF9" s="908"/>
      <c r="AP9" s="383"/>
    </row>
    <row r="10" spans="1:56">
      <c r="A10" s="123">
        <v>1977</v>
      </c>
      <c r="B10" s="139">
        <v>28219</v>
      </c>
      <c r="C10" s="123">
        <v>20</v>
      </c>
      <c r="D10" s="346" t="str">
        <f>TEXT(WEEKDAY(B10),"ddd")</f>
        <v>Mon</v>
      </c>
      <c r="E10" s="374">
        <v>2417</v>
      </c>
      <c r="P10" s="374">
        <f>[4]Data!$I108</f>
        <v>668671</v>
      </c>
      <c r="V10" s="123"/>
      <c r="W10" s="123"/>
      <c r="X10" s="339">
        <f>[5]Apr!$J5</f>
        <v>80.599999999999994</v>
      </c>
      <c r="Y10" s="284">
        <f>[5]Apr!$M5</f>
        <v>83.6</v>
      </c>
      <c r="Z10" s="379"/>
      <c r="AA10" s="379"/>
      <c r="AB10" s="379"/>
      <c r="AC10" s="379"/>
    </row>
    <row r="11" spans="1:56">
      <c r="A11" s="123">
        <v>1978</v>
      </c>
      <c r="B11" s="139">
        <v>28592</v>
      </c>
      <c r="C11" s="131">
        <v>20</v>
      </c>
      <c r="D11" s="346" t="str">
        <f t="shared" ref="D11:D36" si="0">TEXT(WEEKDAY(B11),"ddd")</f>
        <v>Wed</v>
      </c>
      <c r="E11" s="132">
        <v>2492</v>
      </c>
      <c r="F11" s="132"/>
      <c r="G11" s="132"/>
      <c r="H11" s="132"/>
      <c r="I11" s="132"/>
      <c r="J11" s="133"/>
      <c r="K11" s="132"/>
      <c r="L11" s="133"/>
      <c r="M11" s="133"/>
      <c r="N11" s="133"/>
      <c r="O11" s="133"/>
      <c r="P11" s="374">
        <f>[4]Data!$I109</f>
        <v>698064</v>
      </c>
      <c r="U11" s="132">
        <f t="shared" ref="U11:U29" si="1">P11-Q11</f>
        <v>698064</v>
      </c>
      <c r="V11" s="132"/>
      <c r="X11" s="339">
        <f>[5]Apr!$J6</f>
        <v>79.400000000000006</v>
      </c>
      <c r="Y11" s="284">
        <f>[5]Apr!$M6</f>
        <v>83.3</v>
      </c>
      <c r="Z11" s="379"/>
      <c r="AA11" s="379"/>
      <c r="AB11" s="379"/>
      <c r="AC11" s="379"/>
    </row>
    <row r="12" spans="1:56">
      <c r="A12" s="123">
        <v>1979</v>
      </c>
      <c r="B12" s="139">
        <v>28957</v>
      </c>
      <c r="C12" s="131">
        <v>20</v>
      </c>
      <c r="D12" s="346" t="str">
        <f t="shared" si="0"/>
        <v>Thu</v>
      </c>
      <c r="E12" s="132">
        <v>2716</v>
      </c>
      <c r="F12" s="132"/>
      <c r="G12" s="132"/>
      <c r="H12" s="132"/>
      <c r="I12" s="132"/>
      <c r="J12" s="133"/>
      <c r="K12" s="132"/>
      <c r="L12" s="133"/>
      <c r="M12" s="133"/>
      <c r="N12" s="133"/>
      <c r="O12" s="133"/>
      <c r="P12" s="374">
        <f>[4]Data!$I110</f>
        <v>732435</v>
      </c>
      <c r="U12" s="132">
        <f t="shared" si="1"/>
        <v>732435</v>
      </c>
      <c r="V12" s="132"/>
      <c r="W12" s="132">
        <f t="shared" ref="W12:W26" si="2">U12-U11</f>
        <v>34371</v>
      </c>
      <c r="X12" s="339">
        <f>[5]Apr!$J7</f>
        <v>78.099999999999994</v>
      </c>
      <c r="Y12" s="145">
        <f>[5]Apr!$M7</f>
        <v>80.900000000000006</v>
      </c>
      <c r="Z12" s="379"/>
      <c r="AA12" s="379"/>
      <c r="AB12" s="379"/>
      <c r="AC12" s="379"/>
      <c r="BD12" s="461" t="s">
        <v>232</v>
      </c>
    </row>
    <row r="13" spans="1:56">
      <c r="A13" s="123">
        <v>1980</v>
      </c>
      <c r="B13" s="139">
        <v>29314</v>
      </c>
      <c r="C13" s="131">
        <v>19</v>
      </c>
      <c r="D13" s="346" t="str">
        <f t="shared" si="0"/>
        <v>Thu</v>
      </c>
      <c r="E13" s="134">
        <f>[6]Hist!G8</f>
        <v>2701</v>
      </c>
      <c r="F13" s="134">
        <f>[6]Hist!H8</f>
        <v>2267</v>
      </c>
      <c r="G13" s="164">
        <f>SUM([6]Hist!M8:O8)</f>
        <v>0</v>
      </c>
      <c r="H13" s="164">
        <f>[6]Hist!L8</f>
        <v>0</v>
      </c>
      <c r="I13" s="164">
        <f>[6]Hist!P8</f>
        <v>0</v>
      </c>
      <c r="J13" s="133">
        <f>SUM(F13:I13)</f>
        <v>2267</v>
      </c>
      <c r="K13" s="164">
        <f>[6]Hist!U8</f>
        <v>0</v>
      </c>
      <c r="L13" s="164">
        <f>[6]Hist!V8</f>
        <v>0</v>
      </c>
      <c r="M13" s="133">
        <f>SUM(J13:K13)</f>
        <v>2267</v>
      </c>
      <c r="N13" s="781">
        <v>175</v>
      </c>
      <c r="O13" s="1377">
        <f>J13-N13-L13</f>
        <v>2092</v>
      </c>
      <c r="P13" s="374">
        <f>[4]Data!$I111</f>
        <v>770749</v>
      </c>
      <c r="U13" s="132">
        <f t="shared" si="1"/>
        <v>770749</v>
      </c>
      <c r="V13" s="132"/>
      <c r="W13" s="132">
        <f t="shared" si="2"/>
        <v>38314</v>
      </c>
      <c r="X13" s="339">
        <f>[5]Apr!$J8</f>
        <v>79.3</v>
      </c>
      <c r="Y13" s="145">
        <f>[5]Apr!$M8</f>
        <v>82.1</v>
      </c>
      <c r="Z13" s="379"/>
      <c r="AA13" s="379"/>
      <c r="AB13" s="379"/>
      <c r="AC13" s="379"/>
      <c r="AD13" s="1445">
        <f t="shared" ref="AD13:AD58" si="3">A13</f>
        <v>1980</v>
      </c>
      <c r="AE13" s="1446">
        <f>O13</f>
        <v>2092</v>
      </c>
      <c r="AF13" s="1447">
        <f t="shared" ref="AF13:AF58" si="4">U13</f>
        <v>770749</v>
      </c>
      <c r="AG13" s="1448">
        <f>Y13</f>
        <v>82.1</v>
      </c>
      <c r="AH13" s="1449">
        <v>0</v>
      </c>
      <c r="AI13" s="1445">
        <v>0</v>
      </c>
      <c r="AJ13" s="1449">
        <f>ROUND($AV$19+$AU$19*AF13+$AT$19*AG13+$AS$19*AH13+$AR$19*AI19,0)</f>
        <v>1919</v>
      </c>
      <c r="AK13" s="1449">
        <f>AE13-AJ13</f>
        <v>173</v>
      </c>
      <c r="AL13" s="1040"/>
      <c r="AM13" s="1040"/>
      <c r="AN13" s="1040"/>
      <c r="AO13" s="1040"/>
      <c r="AP13" s="1040"/>
      <c r="BD13" s="164">
        <f t="shared" ref="BD13:BD43" si="5">$AV$19+$AU$19*AF13+$AT$19*$AG$53+$AS$19*AH13+$AR$19*AI13</f>
        <v>1927.4359790814844</v>
      </c>
    </row>
    <row r="14" spans="1:56">
      <c r="A14" s="123">
        <v>1981</v>
      </c>
      <c r="B14" s="139">
        <v>29706</v>
      </c>
      <c r="C14" s="131">
        <v>18</v>
      </c>
      <c r="D14" s="346" t="str">
        <f t="shared" si="0"/>
        <v>Thu</v>
      </c>
      <c r="E14" s="134">
        <f>[6]Hist!G20</f>
        <v>2863</v>
      </c>
      <c r="F14" s="134">
        <f>[6]Hist!H20</f>
        <v>2324</v>
      </c>
      <c r="G14" s="164">
        <f>SUM([6]Hist!M20:O20)</f>
        <v>0</v>
      </c>
      <c r="H14" s="164">
        <f>[6]Hist!L20</f>
        <v>0</v>
      </c>
      <c r="I14" s="164">
        <f>[6]Hist!P20</f>
        <v>0</v>
      </c>
      <c r="J14" s="133">
        <f t="shared" ref="J14:J35" si="6">SUM(F14:I14)</f>
        <v>2324</v>
      </c>
      <c r="K14" s="164">
        <f>[6]Hist!U20</f>
        <v>0</v>
      </c>
      <c r="L14" s="164">
        <f>[6]Hist!V20</f>
        <v>11</v>
      </c>
      <c r="M14" s="133">
        <f t="shared" ref="M14:M39" si="7">SUM(J14:K14)</f>
        <v>2324</v>
      </c>
      <c r="N14" s="781">
        <v>175</v>
      </c>
      <c r="O14" s="1377">
        <f t="shared" ref="O14:O46" si="8">J14-N14-L14</f>
        <v>2138</v>
      </c>
      <c r="P14" s="374">
        <f>[4]Data!$I112</f>
        <v>800651</v>
      </c>
      <c r="U14" s="132">
        <f t="shared" si="1"/>
        <v>800651</v>
      </c>
      <c r="V14" s="132"/>
      <c r="W14" s="132">
        <f t="shared" si="2"/>
        <v>29902</v>
      </c>
      <c r="X14" s="339">
        <f>[5]Apr!$J9</f>
        <v>85.8</v>
      </c>
      <c r="Y14" s="145">
        <f>[5]Apr!$M9</f>
        <v>86.1</v>
      </c>
      <c r="Z14" s="379"/>
      <c r="AA14" s="379"/>
      <c r="AB14" s="379"/>
      <c r="AC14" s="379"/>
      <c r="AD14" s="1445">
        <f t="shared" si="3"/>
        <v>1981</v>
      </c>
      <c r="AE14" s="1446">
        <f t="shared" ref="AE14:AE46" si="9">O14</f>
        <v>2138</v>
      </c>
      <c r="AF14" s="1447">
        <f t="shared" si="4"/>
        <v>800651</v>
      </c>
      <c r="AG14" s="1448">
        <f t="shared" ref="AG14:AG46" si="10">Y14</f>
        <v>86.1</v>
      </c>
      <c r="AH14" s="1450">
        <v>0</v>
      </c>
      <c r="AI14" s="1460">
        <v>0</v>
      </c>
      <c r="AJ14" s="1450">
        <f t="shared" ref="AJ14:AJ37" si="11">ROUND($AV$19+$AU$19*AF14+$AT$19*AG14+$AS$19*AH14+$AR$19*AI20,0)</f>
        <v>2089</v>
      </c>
      <c r="AK14" s="1450">
        <f>AE14-AJ14</f>
        <v>49</v>
      </c>
      <c r="AL14" s="1461"/>
      <c r="AM14" s="1461"/>
      <c r="AN14" s="1461"/>
      <c r="AO14" s="1462"/>
      <c r="AP14" s="1463">
        <f t="shared" ref="AP14:AP34" si="12">AE14-AE13</f>
        <v>46</v>
      </c>
      <c r="AQ14"/>
      <c r="AR14"/>
      <c r="AS14"/>
      <c r="AT14"/>
      <c r="AU14"/>
      <c r="AV14"/>
      <c r="AW14"/>
      <c r="AX14"/>
      <c r="BD14" s="164">
        <f t="shared" si="5"/>
        <v>2087.4076297794195</v>
      </c>
    </row>
    <row r="15" spans="1:56">
      <c r="A15" s="123">
        <v>1982</v>
      </c>
      <c r="B15" s="139">
        <v>30062</v>
      </c>
      <c r="C15" s="131">
        <v>18</v>
      </c>
      <c r="D15" s="346" t="str">
        <f t="shared" si="0"/>
        <v>Wed</v>
      </c>
      <c r="E15" s="134">
        <f>[6]Hist!G32</f>
        <v>3261</v>
      </c>
      <c r="F15" s="134">
        <f>[6]Hist!H32</f>
        <v>2731</v>
      </c>
      <c r="G15" s="164">
        <f>SUM([6]Hist!M32:O32)</f>
        <v>0</v>
      </c>
      <c r="H15" s="164">
        <f>[6]Hist!L32</f>
        <v>0</v>
      </c>
      <c r="I15" s="164">
        <f>[6]Hist!P32</f>
        <v>0</v>
      </c>
      <c r="J15" s="133">
        <f t="shared" si="6"/>
        <v>2731</v>
      </c>
      <c r="K15" s="164">
        <f>[6]Hist!U32</f>
        <v>9</v>
      </c>
      <c r="L15" s="164">
        <f>[6]Hist!V32</f>
        <v>12</v>
      </c>
      <c r="M15" s="133">
        <f t="shared" si="7"/>
        <v>2740</v>
      </c>
      <c r="N15" s="781">
        <v>175</v>
      </c>
      <c r="O15" s="1377">
        <f t="shared" si="8"/>
        <v>2544</v>
      </c>
      <c r="P15" s="374">
        <f>[4]Data!$I113</f>
        <v>830644</v>
      </c>
      <c r="U15" s="132">
        <f t="shared" si="1"/>
        <v>830644</v>
      </c>
      <c r="V15" s="132"/>
      <c r="W15" s="132">
        <f t="shared" si="2"/>
        <v>29993</v>
      </c>
      <c r="X15" s="339">
        <f>[5]Apr!$J10</f>
        <v>86.8</v>
      </c>
      <c r="Y15" s="145">
        <f>[5]Apr!$M10</f>
        <v>88.1</v>
      </c>
      <c r="Z15" s="379"/>
      <c r="AA15" s="379"/>
      <c r="AB15" s="379"/>
      <c r="AC15" s="379"/>
      <c r="AD15" s="1445">
        <f t="shared" si="3"/>
        <v>1982</v>
      </c>
      <c r="AE15" s="1446">
        <f t="shared" si="9"/>
        <v>2544</v>
      </c>
      <c r="AF15" s="1447">
        <f t="shared" si="4"/>
        <v>830644</v>
      </c>
      <c r="AG15" s="1448">
        <f t="shared" si="10"/>
        <v>88.1</v>
      </c>
      <c r="AH15" s="1450">
        <v>0</v>
      </c>
      <c r="AI15" s="1460">
        <v>0</v>
      </c>
      <c r="AJ15" s="1450">
        <f t="shared" si="11"/>
        <v>2254</v>
      </c>
      <c r="AK15" s="1450">
        <f>AE15-AJ15</f>
        <v>290</v>
      </c>
      <c r="AL15" s="1461"/>
      <c r="AM15" s="1461"/>
      <c r="AN15" s="1461"/>
      <c r="AO15" s="1462"/>
      <c r="AP15" s="1463">
        <f t="shared" si="12"/>
        <v>406</v>
      </c>
      <c r="AQ15" s="1140" t="s">
        <v>544</v>
      </c>
      <c r="AR15" s="1057"/>
      <c r="AS15" s="1057"/>
      <c r="AT15" s="1057"/>
      <c r="AU15" s="1057"/>
      <c r="AV15" s="1057"/>
      <c r="AW15"/>
      <c r="AX15"/>
      <c r="BD15" s="164">
        <f t="shared" si="5"/>
        <v>2247.8661181542161</v>
      </c>
    </row>
    <row r="16" spans="1:56">
      <c r="A16" s="123">
        <v>1983</v>
      </c>
      <c r="B16" s="139">
        <v>30413</v>
      </c>
      <c r="C16" s="131">
        <v>20</v>
      </c>
      <c r="D16" s="346" t="str">
        <f t="shared" si="0"/>
        <v>Thu</v>
      </c>
      <c r="E16" s="134">
        <f>[6]Hist!G44</f>
        <v>2982</v>
      </c>
      <c r="F16" s="134">
        <f>[6]Hist!H44</f>
        <v>2437</v>
      </c>
      <c r="G16" s="164">
        <f>SUM([6]Hist!M44:O44)</f>
        <v>0</v>
      </c>
      <c r="H16" s="164">
        <f>[6]Hist!L44</f>
        <v>0</v>
      </c>
      <c r="I16" s="164">
        <f>[6]Hist!P44</f>
        <v>0</v>
      </c>
      <c r="J16" s="133">
        <f t="shared" si="6"/>
        <v>2437</v>
      </c>
      <c r="K16" s="164">
        <f>[6]Hist!U44</f>
        <v>20</v>
      </c>
      <c r="L16" s="164">
        <f>[6]Hist!V44</f>
        <v>36</v>
      </c>
      <c r="M16" s="133">
        <f t="shared" si="7"/>
        <v>2457</v>
      </c>
      <c r="N16" s="781">
        <v>175</v>
      </c>
      <c r="O16" s="1377">
        <f t="shared" si="8"/>
        <v>2226</v>
      </c>
      <c r="P16" s="374">
        <f>[4]Data!$I114</f>
        <v>861030</v>
      </c>
      <c r="U16" s="132">
        <f t="shared" si="1"/>
        <v>861030</v>
      </c>
      <c r="V16" s="132"/>
      <c r="W16" s="132">
        <f t="shared" si="2"/>
        <v>30386</v>
      </c>
      <c r="X16" s="339">
        <f>[5]Apr!$J11</f>
        <v>80.099999999999994</v>
      </c>
      <c r="Y16" s="307">
        <f>[5]Apr!$M11</f>
        <v>83</v>
      </c>
      <c r="Z16" s="379"/>
      <c r="AA16" s="379"/>
      <c r="AB16" s="379"/>
      <c r="AC16" s="379"/>
      <c r="AD16" s="1445">
        <f t="shared" si="3"/>
        <v>1983</v>
      </c>
      <c r="AE16" s="1446">
        <f t="shared" si="9"/>
        <v>2226</v>
      </c>
      <c r="AF16" s="1447">
        <f t="shared" si="4"/>
        <v>861030</v>
      </c>
      <c r="AG16" s="1448">
        <f t="shared" si="10"/>
        <v>83</v>
      </c>
      <c r="AH16" s="1450">
        <v>0</v>
      </c>
      <c r="AI16" s="1460">
        <v>0</v>
      </c>
      <c r="AJ16" s="1450">
        <f t="shared" si="11"/>
        <v>2405</v>
      </c>
      <c r="AK16" s="1450">
        <f t="shared" ref="AK16:AK35" si="13">AE16-AJ16</f>
        <v>-179</v>
      </c>
      <c r="AL16" s="1461"/>
      <c r="AM16" s="1461"/>
      <c r="AN16" s="1461"/>
      <c r="AO16" s="1464"/>
      <c r="AP16" s="1471">
        <f t="shared" si="12"/>
        <v>-318</v>
      </c>
      <c r="AQ16" s="1141"/>
      <c r="AR16" s="44"/>
      <c r="AS16" s="1057"/>
      <c r="AT16" s="1057"/>
      <c r="AU16" s="1057"/>
      <c r="AV16" s="1057"/>
      <c r="AW16"/>
      <c r="AX16"/>
      <c r="BD16" s="164">
        <f t="shared" si="5"/>
        <v>2410.4271033093041</v>
      </c>
    </row>
    <row r="17" spans="1:56">
      <c r="A17" s="123">
        <v>1984</v>
      </c>
      <c r="B17" s="139">
        <v>30802</v>
      </c>
      <c r="C17" s="131">
        <v>18</v>
      </c>
      <c r="D17" s="346" t="str">
        <f t="shared" si="0"/>
        <v>Mon</v>
      </c>
      <c r="E17" s="134">
        <f>[6]Hist!G56</f>
        <v>2941</v>
      </c>
      <c r="F17" s="134">
        <f>[6]Hist!H56</f>
        <v>2673</v>
      </c>
      <c r="G17" s="164">
        <f>SUM([6]Hist!M56:O56)</f>
        <v>0</v>
      </c>
      <c r="H17" s="164">
        <f>[6]Hist!L56</f>
        <v>0</v>
      </c>
      <c r="I17" s="164">
        <f>[6]Hist!P56</f>
        <v>0</v>
      </c>
      <c r="J17" s="133">
        <f t="shared" si="6"/>
        <v>2673</v>
      </c>
      <c r="K17" s="164">
        <f>[6]Hist!U56</f>
        <v>36</v>
      </c>
      <c r="L17" s="164">
        <f>[6]Hist!V56</f>
        <v>36</v>
      </c>
      <c r="M17" s="133">
        <f t="shared" si="7"/>
        <v>2709</v>
      </c>
      <c r="N17" s="781">
        <v>175</v>
      </c>
      <c r="O17" s="1377">
        <f t="shared" si="8"/>
        <v>2462</v>
      </c>
      <c r="P17" s="374">
        <f>[4]Data!$I115</f>
        <v>899397</v>
      </c>
      <c r="U17" s="132">
        <f t="shared" si="1"/>
        <v>899397</v>
      </c>
      <c r="V17" s="132"/>
      <c r="W17" s="132">
        <f t="shared" si="2"/>
        <v>38367</v>
      </c>
      <c r="X17" s="339">
        <f>[5]Apr!$J12</f>
        <v>85.4</v>
      </c>
      <c r="Y17" s="145">
        <f>[5]Apr!$M12</f>
        <v>85.5</v>
      </c>
      <c r="Z17" s="379"/>
      <c r="AA17" s="379"/>
      <c r="AB17" s="379"/>
      <c r="AC17" s="379"/>
      <c r="AD17" s="1445">
        <f t="shared" si="3"/>
        <v>1984</v>
      </c>
      <c r="AE17" s="1446">
        <f t="shared" si="9"/>
        <v>2462</v>
      </c>
      <c r="AF17" s="1447">
        <f t="shared" si="4"/>
        <v>899397</v>
      </c>
      <c r="AG17" s="1448">
        <f t="shared" si="10"/>
        <v>85.5</v>
      </c>
      <c r="AH17" s="1450">
        <v>0</v>
      </c>
      <c r="AI17" s="1460">
        <v>0</v>
      </c>
      <c r="AJ17" s="1450">
        <f t="shared" si="11"/>
        <v>2616</v>
      </c>
      <c r="AK17" s="1450">
        <f t="shared" si="13"/>
        <v>-154</v>
      </c>
      <c r="AL17" s="1460"/>
      <c r="AM17" s="1460"/>
      <c r="AN17" s="1461"/>
      <c r="AO17" s="1465"/>
      <c r="AP17" s="1471">
        <f t="shared" si="12"/>
        <v>236</v>
      </c>
      <c r="AQ17" s="827"/>
      <c r="AR17" s="827"/>
      <c r="AS17" s="1056"/>
      <c r="AT17" s="1056"/>
      <c r="AU17" s="1056"/>
      <c r="AV17" s="1057"/>
      <c r="AW17"/>
      <c r="AX17"/>
      <c r="BD17" s="164">
        <f t="shared" si="5"/>
        <v>2615.6853576845183</v>
      </c>
    </row>
    <row r="18" spans="1:56">
      <c r="A18" s="123">
        <v>1985</v>
      </c>
      <c r="B18" s="139">
        <v>31163</v>
      </c>
      <c r="C18" s="131">
        <v>19</v>
      </c>
      <c r="D18" s="346" t="str">
        <f t="shared" si="0"/>
        <v>Fri</v>
      </c>
      <c r="E18" s="134">
        <f>[6]Hist!G68</f>
        <v>3059</v>
      </c>
      <c r="F18" s="134">
        <f>[6]Hist!H68</f>
        <v>2796</v>
      </c>
      <c r="G18" s="164">
        <f>SUM([6]Hist!M68:O68)</f>
        <v>0</v>
      </c>
      <c r="H18" s="164">
        <f>[6]Hist!L68</f>
        <v>0</v>
      </c>
      <c r="I18" s="164">
        <f>[6]Hist!P68</f>
        <v>0</v>
      </c>
      <c r="J18" s="133">
        <f t="shared" si="6"/>
        <v>2796</v>
      </c>
      <c r="K18" s="164">
        <f>[6]Hist!U68</f>
        <v>50</v>
      </c>
      <c r="L18" s="164">
        <f>[6]Hist!V68</f>
        <v>42</v>
      </c>
      <c r="M18" s="133">
        <f t="shared" si="7"/>
        <v>2846</v>
      </c>
      <c r="N18" s="164">
        <f>[6]Hist!AA68</f>
        <v>186</v>
      </c>
      <c r="O18" s="1377">
        <f t="shared" si="8"/>
        <v>2568</v>
      </c>
      <c r="P18" s="374">
        <f>[4]Data!$I116</f>
        <v>940945</v>
      </c>
      <c r="U18" s="132">
        <f t="shared" si="1"/>
        <v>940945</v>
      </c>
      <c r="V18" s="132"/>
      <c r="W18" s="132">
        <f t="shared" si="2"/>
        <v>41548</v>
      </c>
      <c r="X18" s="339">
        <f>[5]Apr!$J13</f>
        <v>84.2</v>
      </c>
      <c r="Y18" s="145">
        <f>[5]Apr!$M13</f>
        <v>86.3</v>
      </c>
      <c r="Z18" s="379"/>
      <c r="AA18" s="379"/>
      <c r="AB18" s="379"/>
      <c r="AC18" s="379"/>
      <c r="AD18" s="1445">
        <f t="shared" si="3"/>
        <v>1985</v>
      </c>
      <c r="AE18" s="1446">
        <f t="shared" si="9"/>
        <v>2568</v>
      </c>
      <c r="AF18" s="1447">
        <f t="shared" si="4"/>
        <v>940945</v>
      </c>
      <c r="AG18" s="1448">
        <f t="shared" si="10"/>
        <v>86.3</v>
      </c>
      <c r="AH18" s="1450">
        <v>0</v>
      </c>
      <c r="AI18" s="1460">
        <v>0</v>
      </c>
      <c r="AJ18" s="1450">
        <f t="shared" si="11"/>
        <v>2840</v>
      </c>
      <c r="AK18" s="1450">
        <f t="shared" si="13"/>
        <v>-272</v>
      </c>
      <c r="AL18" s="1450"/>
      <c r="AM18" s="1450"/>
      <c r="AN18" s="1461"/>
      <c r="AO18" s="1465"/>
      <c r="AP18" s="1471">
        <f t="shared" si="12"/>
        <v>106</v>
      </c>
      <c r="AQ18" s="1037" t="s">
        <v>171</v>
      </c>
      <c r="AR18" s="1037" t="s">
        <v>445</v>
      </c>
      <c r="AS18" s="1037" t="s">
        <v>167</v>
      </c>
      <c r="AT18" s="1037" t="s">
        <v>419</v>
      </c>
      <c r="AU18" s="1039" t="s">
        <v>169</v>
      </c>
      <c r="AV18" s="1039" t="s">
        <v>22</v>
      </c>
      <c r="AW18"/>
      <c r="AX18"/>
      <c r="BD18" s="164">
        <f t="shared" si="5"/>
        <v>2837.9615312915616</v>
      </c>
    </row>
    <row r="19" spans="1:56">
      <c r="A19" s="123">
        <v>1986</v>
      </c>
      <c r="B19" s="139">
        <v>31532</v>
      </c>
      <c r="C19" s="131">
        <v>18</v>
      </c>
      <c r="D19" s="346" t="str">
        <f t="shared" si="0"/>
        <v>Wed</v>
      </c>
      <c r="E19" s="134">
        <f>[6]Hist!G80</f>
        <v>3232</v>
      </c>
      <c r="F19" s="134">
        <f>[6]Hist!H80</f>
        <v>2927</v>
      </c>
      <c r="G19" s="164">
        <f>SUM([6]Hist!M80:O80)</f>
        <v>0</v>
      </c>
      <c r="H19" s="164">
        <f>[6]Hist!L80</f>
        <v>0</v>
      </c>
      <c r="I19" s="164">
        <f>[6]Hist!P80</f>
        <v>0</v>
      </c>
      <c r="J19" s="133">
        <f t="shared" si="6"/>
        <v>2927</v>
      </c>
      <c r="K19" s="164">
        <f>[6]Hist!U80</f>
        <v>62</v>
      </c>
      <c r="L19" s="164">
        <f>[6]Hist!V80</f>
        <v>51</v>
      </c>
      <c r="M19" s="133">
        <f t="shared" si="7"/>
        <v>2989</v>
      </c>
      <c r="N19" s="164">
        <f>[6]Hist!AA80</f>
        <v>230</v>
      </c>
      <c r="O19" s="1377">
        <f t="shared" si="8"/>
        <v>2646</v>
      </c>
      <c r="P19" s="374">
        <f>[4]Data!$I117</f>
        <v>979863</v>
      </c>
      <c r="U19" s="132">
        <f t="shared" si="1"/>
        <v>979863</v>
      </c>
      <c r="V19" s="132"/>
      <c r="W19" s="132">
        <f t="shared" si="2"/>
        <v>38918</v>
      </c>
      <c r="X19" s="339">
        <f>[5]Apr!$J14</f>
        <v>87.3</v>
      </c>
      <c r="Y19" s="145">
        <f>[5]Apr!$M14</f>
        <v>88.3</v>
      </c>
      <c r="Z19" s="379"/>
      <c r="AA19" s="379"/>
      <c r="AB19" s="379"/>
      <c r="AC19" s="379"/>
      <c r="AD19" s="1445">
        <f t="shared" si="3"/>
        <v>1986</v>
      </c>
      <c r="AE19" s="1446">
        <f t="shared" si="9"/>
        <v>2646</v>
      </c>
      <c r="AF19" s="1447">
        <f t="shared" si="4"/>
        <v>979863</v>
      </c>
      <c r="AG19" s="1448">
        <f t="shared" si="10"/>
        <v>88.3</v>
      </c>
      <c r="AH19" s="1450">
        <v>0</v>
      </c>
      <c r="AI19" s="1460">
        <v>0</v>
      </c>
      <c r="AJ19" s="1450">
        <f t="shared" si="11"/>
        <v>3053</v>
      </c>
      <c r="AK19" s="1450">
        <f t="shared" si="13"/>
        <v>-407</v>
      </c>
      <c r="AL19" s="1450"/>
      <c r="AM19" s="1450"/>
      <c r="AN19" s="1461"/>
      <c r="AO19" s="1465"/>
      <c r="AP19" s="1471">
        <f t="shared" si="12"/>
        <v>78</v>
      </c>
      <c r="AQ19" s="1434" t="s">
        <v>172</v>
      </c>
      <c r="AR19" s="1435">
        <f t="array" ref="AR19:AV24">LINEST(AE13:AE46,AF13:AI46,TRUE,TRUE)</f>
        <v>-855.39997723834597</v>
      </c>
      <c r="AS19" s="1435">
        <v>-781.73128150964646</v>
      </c>
      <c r="AT19" s="1436">
        <v>2.4447289812299404</v>
      </c>
      <c r="AU19" s="1437">
        <v>5.3498645808954162E-3</v>
      </c>
      <c r="AV19" s="1438">
        <v>-2404.7466517761131</v>
      </c>
      <c r="AW19"/>
      <c r="AX19"/>
      <c r="BD19" s="164">
        <f t="shared" si="5"/>
        <v>3046.1675610508487</v>
      </c>
    </row>
    <row r="20" spans="1:56">
      <c r="A20" s="123">
        <v>1987</v>
      </c>
      <c r="B20" s="139">
        <v>31868</v>
      </c>
      <c r="C20" s="894">
        <v>8</v>
      </c>
      <c r="D20" s="346" t="str">
        <f t="shared" si="0"/>
        <v>Wed</v>
      </c>
      <c r="E20" s="134">
        <f>[6]Hist!G92</f>
        <v>4174</v>
      </c>
      <c r="F20" s="134">
        <f>[6]Hist!H92</f>
        <v>3908</v>
      </c>
      <c r="G20" s="164">
        <f>SUM([6]Hist!M92:O92)</f>
        <v>0</v>
      </c>
      <c r="H20" s="164">
        <f>[6]Hist!L92</f>
        <v>0</v>
      </c>
      <c r="I20" s="164">
        <f>[6]Hist!P92</f>
        <v>0</v>
      </c>
      <c r="J20" s="133">
        <f t="shared" si="6"/>
        <v>3908</v>
      </c>
      <c r="K20" s="164">
        <f>[6]Hist!U92</f>
        <v>69</v>
      </c>
      <c r="L20" s="164">
        <f>[6]Hist!V92</f>
        <v>58</v>
      </c>
      <c r="M20" s="133">
        <f t="shared" si="7"/>
        <v>3977</v>
      </c>
      <c r="N20" s="164">
        <f>[6]Hist!AA92</f>
        <v>288</v>
      </c>
      <c r="O20" s="1377">
        <f t="shared" si="8"/>
        <v>3562</v>
      </c>
      <c r="P20" s="374">
        <f>[4]Data!$I118</f>
        <v>1022973</v>
      </c>
      <c r="U20" s="132">
        <f t="shared" si="1"/>
        <v>1022973</v>
      </c>
      <c r="V20" s="132"/>
      <c r="W20" s="132">
        <f t="shared" si="2"/>
        <v>43110</v>
      </c>
      <c r="X20" s="1011">
        <f>[5]Apr!$J15</f>
        <v>45</v>
      </c>
      <c r="Y20" s="929">
        <f>[5]Apr!$M15</f>
        <v>43.4</v>
      </c>
      <c r="Z20" s="379"/>
      <c r="AA20" s="379"/>
      <c r="AB20" s="379"/>
      <c r="AC20" s="379"/>
      <c r="AD20" s="1445">
        <f t="shared" si="3"/>
        <v>1987</v>
      </c>
      <c r="AE20" s="1446">
        <f t="shared" si="9"/>
        <v>3562</v>
      </c>
      <c r="AF20" s="1447">
        <f t="shared" si="4"/>
        <v>1022973</v>
      </c>
      <c r="AG20" s="1448">
        <f t="shared" si="10"/>
        <v>43.4</v>
      </c>
      <c r="AH20" s="1450">
        <v>0</v>
      </c>
      <c r="AI20" s="1460">
        <v>0</v>
      </c>
      <c r="AJ20" s="1450">
        <f t="shared" si="11"/>
        <v>3174</v>
      </c>
      <c r="AK20" s="1450">
        <f t="shared" si="13"/>
        <v>388</v>
      </c>
      <c r="AL20" s="1450"/>
      <c r="AM20" s="1450"/>
      <c r="AN20" s="1461"/>
      <c r="AO20" s="1465"/>
      <c r="AP20" s="1471">
        <f t="shared" si="12"/>
        <v>916</v>
      </c>
      <c r="AQ20" s="1439" t="s">
        <v>173</v>
      </c>
      <c r="AR20" s="1440">
        <v>285.95565616728493</v>
      </c>
      <c r="AS20" s="1440">
        <v>215.72441087501278</v>
      </c>
      <c r="AT20" s="1441">
        <v>6.3847554902858352</v>
      </c>
      <c r="AU20" s="1442">
        <v>2.207881435033063E-4</v>
      </c>
      <c r="AV20" s="1442">
        <v>560.14865445368491</v>
      </c>
      <c r="AW20"/>
      <c r="AX20"/>
      <c r="BD20" s="164">
        <f t="shared" si="5"/>
        <v>3276.8002231332507</v>
      </c>
    </row>
    <row r="21" spans="1:56">
      <c r="A21" s="123">
        <v>1988</v>
      </c>
      <c r="B21" s="139">
        <v>32260</v>
      </c>
      <c r="C21" s="131">
        <v>18</v>
      </c>
      <c r="D21" s="346" t="str">
        <f t="shared" si="0"/>
        <v>Wed</v>
      </c>
      <c r="E21" s="134">
        <f>[6]Hist!G104</f>
        <v>3876</v>
      </c>
      <c r="F21" s="134">
        <f>[6]Hist!H104</f>
        <v>3420</v>
      </c>
      <c r="G21" s="164">
        <f>SUM([6]Hist!M104:O104)</f>
        <v>0</v>
      </c>
      <c r="H21" s="164">
        <f>[6]Hist!L104</f>
        <v>0</v>
      </c>
      <c r="I21" s="164">
        <f>[6]Hist!P104</f>
        <v>0</v>
      </c>
      <c r="J21" s="133">
        <f t="shared" si="6"/>
        <v>3420</v>
      </c>
      <c r="K21" s="164">
        <f>[6]Hist!U104</f>
        <v>74</v>
      </c>
      <c r="L21" s="164">
        <f>[6]Hist!V104</f>
        <v>61</v>
      </c>
      <c r="M21" s="133">
        <f t="shared" si="7"/>
        <v>3494</v>
      </c>
      <c r="N21" s="164">
        <f>[6]Hist!AA104</f>
        <v>269</v>
      </c>
      <c r="O21" s="1377">
        <f t="shared" si="8"/>
        <v>3090</v>
      </c>
      <c r="P21" s="374">
        <f>[4]Data!$I119</f>
        <v>1060125</v>
      </c>
      <c r="U21" s="132">
        <f t="shared" si="1"/>
        <v>1060125</v>
      </c>
      <c r="V21" s="132"/>
      <c r="W21" s="132">
        <f t="shared" si="2"/>
        <v>37152</v>
      </c>
      <c r="X21" s="339">
        <f>[5]Apr!$J16</f>
        <v>84.5</v>
      </c>
      <c r="Y21" s="145">
        <f>[5]Apr!$M16</f>
        <v>84.5</v>
      </c>
      <c r="Z21" s="379"/>
      <c r="AA21" s="379"/>
      <c r="AB21" s="379"/>
      <c r="AC21" s="379"/>
      <c r="AD21" s="1445">
        <f t="shared" si="3"/>
        <v>1988</v>
      </c>
      <c r="AE21" s="1446">
        <f t="shared" si="9"/>
        <v>3090</v>
      </c>
      <c r="AF21" s="1447">
        <f t="shared" si="4"/>
        <v>1060125</v>
      </c>
      <c r="AG21" s="1448">
        <f t="shared" si="10"/>
        <v>84.5</v>
      </c>
      <c r="AH21" s="1450">
        <v>0</v>
      </c>
      <c r="AI21" s="1460">
        <v>0</v>
      </c>
      <c r="AJ21" s="1450">
        <f t="shared" si="11"/>
        <v>3473</v>
      </c>
      <c r="AK21" s="1450">
        <f t="shared" si="13"/>
        <v>-383</v>
      </c>
      <c r="AL21" s="1450"/>
      <c r="AM21" s="1450"/>
      <c r="AN21" s="1461"/>
      <c r="AO21" s="1465"/>
      <c r="AP21" s="1471">
        <f t="shared" si="12"/>
        <v>-472</v>
      </c>
      <c r="AQ21" s="1439" t="s">
        <v>174</v>
      </c>
      <c r="AR21" s="1443">
        <v>0.95791245762058841</v>
      </c>
      <c r="AS21" s="1443">
        <v>328.25556850489534</v>
      </c>
      <c r="AT21" s="1434" t="e">
        <v>#N/A</v>
      </c>
      <c r="AU21" s="1434" t="e">
        <v>#N/A</v>
      </c>
      <c r="AV21" s="1434" t="e">
        <v>#N/A</v>
      </c>
      <c r="AW21"/>
      <c r="AX21"/>
      <c r="BD21" s="164">
        <f t="shared" si="5"/>
        <v>3475.5583920426766</v>
      </c>
    </row>
    <row r="22" spans="1:56">
      <c r="A22" s="123">
        <v>1989</v>
      </c>
      <c r="B22" s="139">
        <v>32626</v>
      </c>
      <c r="C22" s="131">
        <v>18</v>
      </c>
      <c r="D22" s="346" t="str">
        <f t="shared" si="0"/>
        <v>Fri</v>
      </c>
      <c r="E22" s="134">
        <f>[6]Hist!G116</f>
        <v>4089</v>
      </c>
      <c r="F22" s="134">
        <f>[6]Hist!H116</f>
        <v>3946</v>
      </c>
      <c r="G22" s="164">
        <f>SUM([6]Hist!M116:O116)</f>
        <v>0</v>
      </c>
      <c r="H22" s="164">
        <f>[6]Hist!L116</f>
        <v>0</v>
      </c>
      <c r="I22" s="164">
        <f>[6]Hist!P116</f>
        <v>0</v>
      </c>
      <c r="J22" s="133">
        <f t="shared" si="6"/>
        <v>3946</v>
      </c>
      <c r="K22" s="164">
        <f>[6]Hist!U116</f>
        <v>79</v>
      </c>
      <c r="L22" s="164">
        <f>[6]Hist!V116</f>
        <v>66</v>
      </c>
      <c r="M22" s="133">
        <f t="shared" si="7"/>
        <v>4025</v>
      </c>
      <c r="N22" s="164">
        <f>[6]Hist!AA116</f>
        <v>291</v>
      </c>
      <c r="O22" s="1377">
        <f t="shared" si="8"/>
        <v>3589</v>
      </c>
      <c r="P22" s="374">
        <f>[4]Data!$I120</f>
        <v>1102284</v>
      </c>
      <c r="U22" s="132">
        <f t="shared" si="1"/>
        <v>1102284</v>
      </c>
      <c r="V22" s="132"/>
      <c r="W22" s="132">
        <f t="shared" si="2"/>
        <v>42159</v>
      </c>
      <c r="X22" s="339">
        <f>[5]Apr!$J17</f>
        <v>87.2</v>
      </c>
      <c r="Y22" s="145">
        <f>[5]Apr!$M17</f>
        <v>87.4</v>
      </c>
      <c r="Z22" s="379"/>
      <c r="AA22" s="379"/>
      <c r="AB22" s="379"/>
      <c r="AC22" s="379"/>
      <c r="AD22" s="1445">
        <f t="shared" si="3"/>
        <v>1989</v>
      </c>
      <c r="AE22" s="1446">
        <f t="shared" si="9"/>
        <v>3589</v>
      </c>
      <c r="AF22" s="1447">
        <f t="shared" si="4"/>
        <v>1102284</v>
      </c>
      <c r="AG22" s="1448">
        <f t="shared" si="10"/>
        <v>87.4</v>
      </c>
      <c r="AH22" s="1450">
        <v>0</v>
      </c>
      <c r="AI22" s="1460">
        <v>0</v>
      </c>
      <c r="AJ22" s="1450">
        <f t="shared" si="11"/>
        <v>3706</v>
      </c>
      <c r="AK22" s="1450">
        <f t="shared" si="13"/>
        <v>-117</v>
      </c>
      <c r="AL22" s="1450"/>
      <c r="AM22" s="1450"/>
      <c r="AN22" s="1461"/>
      <c r="AO22" s="1462"/>
      <c r="AP22" s="1471">
        <f t="shared" si="12"/>
        <v>499</v>
      </c>
      <c r="AQ22" s="1439" t="s">
        <v>175</v>
      </c>
      <c r="AR22" s="1442">
        <v>165.00999880540823</v>
      </c>
      <c r="AS22" s="1434">
        <v>29</v>
      </c>
      <c r="AT22" s="1434" t="e">
        <v>#N/A</v>
      </c>
      <c r="AU22" s="1434" t="e">
        <v>#N/A</v>
      </c>
      <c r="AV22" s="1434" t="e">
        <v>#N/A</v>
      </c>
      <c r="AW22"/>
      <c r="AX22"/>
      <c r="BD22" s="164">
        <f t="shared" si="5"/>
        <v>3701.1033329086472</v>
      </c>
    </row>
    <row r="23" spans="1:56">
      <c r="A23" s="123">
        <v>1990</v>
      </c>
      <c r="B23" s="139">
        <v>32993</v>
      </c>
      <c r="C23" s="131">
        <v>20</v>
      </c>
      <c r="D23" s="346" t="str">
        <f t="shared" si="0"/>
        <v>Mon</v>
      </c>
      <c r="E23" s="133">
        <f>[7]MoCoinMW!F8</f>
        <v>4451</v>
      </c>
      <c r="F23" s="133">
        <f>[7]MoCoinMW!G8</f>
        <v>4202.4783978607138</v>
      </c>
      <c r="G23" s="164">
        <f>SUM([6]Hist!M128:O128)</f>
        <v>-36</v>
      </c>
      <c r="H23" s="164">
        <f>[6]Hist!L128</f>
        <v>0</v>
      </c>
      <c r="I23" s="164">
        <f>[6]Hist!P128</f>
        <v>0</v>
      </c>
      <c r="J23" s="133">
        <f t="shared" si="6"/>
        <v>4166.4783978607138</v>
      </c>
      <c r="K23" s="164">
        <f>[6]Hist!U128</f>
        <v>83</v>
      </c>
      <c r="L23" s="164">
        <f>[6]Hist!V128</f>
        <v>66</v>
      </c>
      <c r="M23" s="133">
        <f t="shared" si="7"/>
        <v>4249.4783978607138</v>
      </c>
      <c r="N23" s="164">
        <f>[6]Hist!AA128</f>
        <v>249</v>
      </c>
      <c r="O23" s="1377">
        <f t="shared" si="8"/>
        <v>3851.4783978607138</v>
      </c>
      <c r="P23" s="374">
        <f>[4]Data!$I121</f>
        <v>1137544</v>
      </c>
      <c r="U23" s="132">
        <f t="shared" si="1"/>
        <v>1137544</v>
      </c>
      <c r="V23" s="132"/>
      <c r="W23" s="132">
        <f t="shared" si="2"/>
        <v>35260</v>
      </c>
      <c r="X23" s="339">
        <f>[5]Apr!$J18</f>
        <v>84.9</v>
      </c>
      <c r="Y23" s="145">
        <f>[5]Apr!$M18</f>
        <v>87.2</v>
      </c>
      <c r="Z23" s="379"/>
      <c r="AA23" s="379"/>
      <c r="AB23" s="379"/>
      <c r="AC23" s="379"/>
      <c r="AD23" s="1445">
        <f t="shared" si="3"/>
        <v>1990</v>
      </c>
      <c r="AE23" s="1446">
        <f t="shared" si="9"/>
        <v>3851.4783978607138</v>
      </c>
      <c r="AF23" s="1447">
        <f t="shared" si="4"/>
        <v>1137544</v>
      </c>
      <c r="AG23" s="1448">
        <f t="shared" si="10"/>
        <v>87.2</v>
      </c>
      <c r="AH23" s="1450">
        <v>0</v>
      </c>
      <c r="AI23" s="1460">
        <v>0</v>
      </c>
      <c r="AJ23" s="1450">
        <f t="shared" si="11"/>
        <v>3894</v>
      </c>
      <c r="AK23" s="1450">
        <f t="shared" si="13"/>
        <v>-42.521602139286188</v>
      </c>
      <c r="AL23" s="1450"/>
      <c r="AM23" s="1450"/>
      <c r="AN23" s="1461"/>
      <c r="AO23" s="1462"/>
      <c r="AP23" s="1471">
        <f t="shared" si="12"/>
        <v>262.47839786071381</v>
      </c>
      <c r="AQ23" s="1439" t="s">
        <v>176</v>
      </c>
      <c r="AR23" s="1434">
        <v>71120443.60180445</v>
      </c>
      <c r="AS23" s="1434">
        <v>3124799.8293796889</v>
      </c>
      <c r="AT23" s="1434" t="e">
        <v>#N/A</v>
      </c>
      <c r="AU23" s="1434" t="e">
        <v>#N/A</v>
      </c>
      <c r="AV23" s="1434" t="e">
        <v>#N/A</v>
      </c>
      <c r="AW23"/>
      <c r="AX23"/>
      <c r="BD23" s="164">
        <f t="shared" si="5"/>
        <v>3889.739558031019</v>
      </c>
    </row>
    <row r="24" spans="1:56">
      <c r="A24" s="123">
        <v>1991</v>
      </c>
      <c r="B24" s="139">
        <v>33358</v>
      </c>
      <c r="C24" s="131">
        <v>17</v>
      </c>
      <c r="D24" s="346" t="str">
        <f t="shared" si="0"/>
        <v>Tue</v>
      </c>
      <c r="E24" s="133">
        <f>[7]MoCoinMW!F20</f>
        <v>5268</v>
      </c>
      <c r="F24" s="133">
        <f>[7]MoCoinMW!G20</f>
        <v>4795.5998256016737</v>
      </c>
      <c r="G24" s="164">
        <f>SUM([6]Hist!M140:O140)</f>
        <v>18</v>
      </c>
      <c r="H24" s="164">
        <f>[6]Hist!L140</f>
        <v>0</v>
      </c>
      <c r="I24" s="164">
        <f>[6]Hist!P140</f>
        <v>0</v>
      </c>
      <c r="J24" s="133">
        <f t="shared" si="6"/>
        <v>4813.5998256016737</v>
      </c>
      <c r="K24" s="164">
        <f>[6]Hist!U140</f>
        <v>86</v>
      </c>
      <c r="L24" s="164">
        <f>[6]Hist!V140</f>
        <v>65.5</v>
      </c>
      <c r="M24" s="133">
        <f t="shared" si="7"/>
        <v>4899.5998256016737</v>
      </c>
      <c r="N24" s="164">
        <f>[6]Hist!AA140</f>
        <v>195</v>
      </c>
      <c r="O24" s="1377">
        <f t="shared" si="8"/>
        <v>4553.0998256016737</v>
      </c>
      <c r="P24" s="374">
        <f>[4]Data!$I122</f>
        <v>1162344</v>
      </c>
      <c r="U24" s="132">
        <f t="shared" si="1"/>
        <v>1162344</v>
      </c>
      <c r="V24" s="132"/>
      <c r="W24" s="132">
        <f t="shared" si="2"/>
        <v>24800</v>
      </c>
      <c r="X24" s="339">
        <f>[5]Apr!$J19</f>
        <v>89.1</v>
      </c>
      <c r="Y24" s="307">
        <f>[5]Apr!$M19</f>
        <v>89</v>
      </c>
      <c r="Z24" s="379"/>
      <c r="AA24" s="379"/>
      <c r="AB24" s="379"/>
      <c r="AC24" s="379"/>
      <c r="AD24" s="1445">
        <f t="shared" si="3"/>
        <v>1991</v>
      </c>
      <c r="AE24" s="1446">
        <f t="shared" si="9"/>
        <v>4553.0998256016737</v>
      </c>
      <c r="AF24" s="1447">
        <f t="shared" si="4"/>
        <v>1162344</v>
      </c>
      <c r="AG24" s="1448">
        <f t="shared" si="10"/>
        <v>89</v>
      </c>
      <c r="AH24" s="1450">
        <v>0</v>
      </c>
      <c r="AI24" s="1460">
        <v>0</v>
      </c>
      <c r="AJ24" s="1450">
        <f t="shared" si="11"/>
        <v>4031</v>
      </c>
      <c r="AK24" s="1450">
        <f t="shared" si="13"/>
        <v>522.09982560167373</v>
      </c>
      <c r="AL24" s="1450"/>
      <c r="AM24" s="1450"/>
      <c r="AN24" s="1461"/>
      <c r="AO24" s="1466"/>
      <c r="AP24" s="1471">
        <f t="shared" si="12"/>
        <v>701.62142774095992</v>
      </c>
      <c r="AQ24" s="1439" t="s">
        <v>177</v>
      </c>
      <c r="AR24" s="1440" t="e">
        <v>#N/A</v>
      </c>
      <c r="AS24" s="1440" t="e">
        <v>#N/A</v>
      </c>
      <c r="AT24" s="1440" t="e">
        <v>#N/A</v>
      </c>
      <c r="AU24" s="1440" t="e">
        <v>#N/A</v>
      </c>
      <c r="AV24" s="1444" t="e">
        <v>#N/A</v>
      </c>
      <c r="AW24" s="28"/>
      <c r="AX24" s="28"/>
      <c r="BD24" s="164">
        <f t="shared" si="5"/>
        <v>4022.4161996372254</v>
      </c>
    </row>
    <row r="25" spans="1:56">
      <c r="A25" s="123">
        <v>1992</v>
      </c>
      <c r="B25" s="139">
        <v>33718</v>
      </c>
      <c r="C25" s="131">
        <v>17</v>
      </c>
      <c r="D25" s="346" t="str">
        <f t="shared" si="0"/>
        <v>Fri</v>
      </c>
      <c r="E25" s="133">
        <f>[7]MoCoinMW!F32</f>
        <v>4479</v>
      </c>
      <c r="F25" s="133">
        <f>[7]MoCoinMW!G32</f>
        <v>4087.998622792381</v>
      </c>
      <c r="G25" s="164">
        <f>SUM([6]Hist!M152:O152)</f>
        <v>0</v>
      </c>
      <c r="H25" s="164">
        <f>[6]Hist!L152</f>
        <v>0</v>
      </c>
      <c r="I25" s="164">
        <f>[6]Hist!P152</f>
        <v>0</v>
      </c>
      <c r="J25" s="133">
        <f t="shared" si="6"/>
        <v>4087.998622792381</v>
      </c>
      <c r="K25" s="164">
        <f>[6]Hist!U152</f>
        <v>90</v>
      </c>
      <c r="L25" s="164">
        <f>[6]Hist!V152</f>
        <v>65.5</v>
      </c>
      <c r="M25" s="133">
        <f t="shared" si="7"/>
        <v>4177.998622792381</v>
      </c>
      <c r="N25" s="164">
        <f>[6]Hist!AA152</f>
        <v>241</v>
      </c>
      <c r="O25" s="1377">
        <f t="shared" si="8"/>
        <v>3781.498622792381</v>
      </c>
      <c r="P25" s="374">
        <f>[4]Data!$I123</f>
        <v>1183281</v>
      </c>
      <c r="U25" s="132">
        <f t="shared" si="1"/>
        <v>1183281</v>
      </c>
      <c r="V25" s="132"/>
      <c r="W25" s="132">
        <f t="shared" si="2"/>
        <v>20937</v>
      </c>
      <c r="X25" s="339">
        <f>[5]Apr!$J20</f>
        <v>85.7</v>
      </c>
      <c r="Y25" s="145">
        <f>[5]Apr!$M20</f>
        <v>84.3</v>
      </c>
      <c r="Z25" s="379"/>
      <c r="AA25" s="379"/>
      <c r="AB25" s="379"/>
      <c r="AC25" s="379"/>
      <c r="AD25" s="1445">
        <f t="shared" si="3"/>
        <v>1992</v>
      </c>
      <c r="AE25" s="1446">
        <f t="shared" si="9"/>
        <v>3781.498622792381</v>
      </c>
      <c r="AF25" s="1447">
        <f t="shared" si="4"/>
        <v>1183281</v>
      </c>
      <c r="AG25" s="1448">
        <f t="shared" si="10"/>
        <v>84.3</v>
      </c>
      <c r="AH25" s="1450">
        <v>0</v>
      </c>
      <c r="AI25" s="1460">
        <v>0</v>
      </c>
      <c r="AJ25" s="1450">
        <f t="shared" si="11"/>
        <v>4132</v>
      </c>
      <c r="AK25" s="1450">
        <f t="shared" si="13"/>
        <v>-350.50137720761904</v>
      </c>
      <c r="AL25" s="1450"/>
      <c r="AM25" s="1450"/>
      <c r="AN25" s="1461"/>
      <c r="AO25" s="1465"/>
      <c r="AP25" s="1472">
        <f t="shared" si="12"/>
        <v>-771.60120280929277</v>
      </c>
      <c r="AQ25" s="1"/>
      <c r="AR25" s="1"/>
      <c r="AS25" s="1"/>
      <c r="AT25" s="1"/>
      <c r="AU25" s="1"/>
      <c r="AV25" s="28"/>
      <c r="AW25" s="28"/>
      <c r="AX25" s="28"/>
      <c r="BD25" s="164">
        <f t="shared" si="5"/>
        <v>4134.4263143674325</v>
      </c>
    </row>
    <row r="26" spans="1:56">
      <c r="A26" s="123">
        <v>1993</v>
      </c>
      <c r="B26" s="139">
        <v>34082</v>
      </c>
      <c r="C26" s="380">
        <v>8</v>
      </c>
      <c r="D26" s="346" t="str">
        <f t="shared" si="0"/>
        <v>Fri</v>
      </c>
      <c r="E26" s="133">
        <f>[7]MoCoinMW!F44</f>
        <v>3924</v>
      </c>
      <c r="F26" s="133">
        <f>[7]MoCoinMW!G44</f>
        <v>3593.9722984372643</v>
      </c>
      <c r="G26" s="164">
        <f>SUM([6]Hist!M164:O164)</f>
        <v>0</v>
      </c>
      <c r="H26" s="164">
        <f>[6]Hist!L164</f>
        <v>0</v>
      </c>
      <c r="I26" s="164">
        <f>[6]Hist!P164</f>
        <v>0</v>
      </c>
      <c r="J26" s="133">
        <f t="shared" si="6"/>
        <v>3593.9722984372643</v>
      </c>
      <c r="K26" s="164">
        <f>[6]Hist!U164</f>
        <v>99</v>
      </c>
      <c r="L26" s="164">
        <f>[6]Hist!V164</f>
        <v>65.5</v>
      </c>
      <c r="M26" s="133">
        <f t="shared" si="7"/>
        <v>3692.9722984372643</v>
      </c>
      <c r="N26" s="164">
        <f>[6]Hist!AA164</f>
        <v>252</v>
      </c>
      <c r="O26" s="1377">
        <f t="shared" si="8"/>
        <v>3276.4722984372643</v>
      </c>
      <c r="P26" s="374">
        <f>[4]Data!$I124</f>
        <v>1218249</v>
      </c>
      <c r="U26" s="132">
        <f t="shared" si="1"/>
        <v>1218249</v>
      </c>
      <c r="V26" s="132"/>
      <c r="W26" s="132">
        <f t="shared" si="2"/>
        <v>34968</v>
      </c>
      <c r="X26" s="1011">
        <f>[5]Apr!$J21</f>
        <v>50</v>
      </c>
      <c r="Y26" s="929">
        <f>[5]Apr!$M21</f>
        <v>48.4</v>
      </c>
      <c r="Z26" s="379"/>
      <c r="AA26" s="379"/>
      <c r="AB26" s="379"/>
      <c r="AC26" s="379"/>
      <c r="AD26" s="1445">
        <f t="shared" si="3"/>
        <v>1993</v>
      </c>
      <c r="AE26" s="1446">
        <f t="shared" si="9"/>
        <v>3276.4722984372643</v>
      </c>
      <c r="AF26" s="1447">
        <f t="shared" si="4"/>
        <v>1218249</v>
      </c>
      <c r="AG26" s="1448">
        <f t="shared" si="10"/>
        <v>48.4</v>
      </c>
      <c r="AH26" s="1450">
        <v>1</v>
      </c>
      <c r="AI26" s="1460">
        <v>0</v>
      </c>
      <c r="AJ26" s="1450">
        <f t="shared" si="11"/>
        <v>3449</v>
      </c>
      <c r="AK26" s="1450">
        <f t="shared" si="13"/>
        <v>-172.52770156273573</v>
      </c>
      <c r="AL26" s="1450"/>
      <c r="AM26" s="1450"/>
      <c r="AN26" s="1461"/>
      <c r="AO26" s="1465"/>
      <c r="AP26" s="1473">
        <f t="shared" si="12"/>
        <v>-505.02632435511669</v>
      </c>
      <c r="AQ26" s="271"/>
      <c r="AR26" s="271"/>
      <c r="AS26" s="266"/>
      <c r="AT26" s="266"/>
      <c r="AU26" s="266"/>
      <c r="AV26" s="28"/>
      <c r="AW26" s="28"/>
      <c r="AX26" s="28"/>
      <c r="BD26" s="164">
        <f t="shared" si="5"/>
        <v>3539.7690975225369</v>
      </c>
    </row>
    <row r="27" spans="1:56">
      <c r="A27" s="123">
        <v>1994</v>
      </c>
      <c r="B27" s="139">
        <v>34439</v>
      </c>
      <c r="C27" s="131">
        <v>17</v>
      </c>
      <c r="D27" s="346" t="str">
        <f t="shared" si="0"/>
        <v>Fri</v>
      </c>
      <c r="E27" s="133">
        <f>[7]MoCoinMW!F56</f>
        <v>5288</v>
      </c>
      <c r="F27" s="133">
        <f>[7]MoCoinMW!G56</f>
        <v>4808.1097547505906</v>
      </c>
      <c r="G27" s="164">
        <f>SUM([6]Hist!M176:O176)</f>
        <v>0</v>
      </c>
      <c r="H27" s="164">
        <f>[6]Hist!L176</f>
        <v>0</v>
      </c>
      <c r="I27" s="164">
        <f>[6]Hist!P176</f>
        <v>0</v>
      </c>
      <c r="J27" s="133">
        <f t="shared" si="6"/>
        <v>4808.1097547505906</v>
      </c>
      <c r="K27" s="164">
        <f>[6]Hist!U176</f>
        <v>114</v>
      </c>
      <c r="L27" s="164">
        <f>[6]Hist!V176</f>
        <v>65.5</v>
      </c>
      <c r="M27" s="133">
        <f t="shared" si="7"/>
        <v>4922.1097547505906</v>
      </c>
      <c r="N27" s="164">
        <f>[6]Hist!AA176</f>
        <v>267</v>
      </c>
      <c r="O27" s="1377">
        <f t="shared" si="8"/>
        <v>4475.6097547505906</v>
      </c>
      <c r="P27" s="374">
        <f>[4]Data!$I125</f>
        <v>1245767</v>
      </c>
      <c r="U27" s="132">
        <f t="shared" si="1"/>
        <v>1245767</v>
      </c>
      <c r="W27" s="132">
        <f t="shared" ref="W27:W58" si="14">U27-U26</f>
        <v>27518</v>
      </c>
      <c r="X27" s="339">
        <f>[5]Apr!$J22</f>
        <v>88.3</v>
      </c>
      <c r="Y27" s="145">
        <f>[5]Apr!$M22</f>
        <v>87.7</v>
      </c>
      <c r="Z27" s="379"/>
      <c r="AA27" s="379"/>
      <c r="AB27" s="379"/>
      <c r="AC27" s="379"/>
      <c r="AD27" s="1445">
        <f t="shared" si="3"/>
        <v>1994</v>
      </c>
      <c r="AE27" s="1446">
        <f t="shared" si="9"/>
        <v>4475.6097547505906</v>
      </c>
      <c r="AF27" s="1447">
        <f t="shared" si="4"/>
        <v>1245767</v>
      </c>
      <c r="AG27" s="1448">
        <f t="shared" si="10"/>
        <v>87.7</v>
      </c>
      <c r="AH27" s="1450">
        <v>0</v>
      </c>
      <c r="AI27" s="1460">
        <v>0</v>
      </c>
      <c r="AJ27" s="1450">
        <f t="shared" si="11"/>
        <v>4474</v>
      </c>
      <c r="AK27" s="1450">
        <f t="shared" si="13"/>
        <v>1.6097547505905823</v>
      </c>
      <c r="AL27" s="1450"/>
      <c r="AM27" s="1450"/>
      <c r="AN27" s="1461"/>
      <c r="AO27" s="1465"/>
      <c r="AP27" s="1472">
        <f t="shared" si="12"/>
        <v>1199.1374563133263</v>
      </c>
      <c r="AQ27" s="272"/>
      <c r="AR27" s="273"/>
      <c r="AS27" s="274"/>
      <c r="AT27" s="273"/>
      <c r="AU27" s="267"/>
      <c r="AV27" s="28"/>
      <c r="AW27" s="28"/>
      <c r="AX27" s="28"/>
      <c r="BD27" s="164">
        <f t="shared" si="5"/>
        <v>4468.7179525692636</v>
      </c>
    </row>
    <row r="28" spans="1:56">
      <c r="A28" s="123">
        <v>1995</v>
      </c>
      <c r="B28" s="139">
        <v>34809</v>
      </c>
      <c r="C28" s="131">
        <v>18</v>
      </c>
      <c r="D28" s="346" t="str">
        <f t="shared" si="0"/>
        <v>Thu</v>
      </c>
      <c r="E28" s="133">
        <f>[7]MoCoinMW!F68</f>
        <v>5487</v>
      </c>
      <c r="F28" s="133">
        <f>[7]MoCoinMW!G68</f>
        <v>5009.952250303716</v>
      </c>
      <c r="G28" s="164">
        <f>SUM([6]Hist!M188:O188)</f>
        <v>0</v>
      </c>
      <c r="H28" s="164">
        <f>[6]Hist!L188</f>
        <v>0</v>
      </c>
      <c r="I28" s="164">
        <f>[6]Hist!P188</f>
        <v>0</v>
      </c>
      <c r="J28" s="133">
        <f t="shared" si="6"/>
        <v>5009.952250303716</v>
      </c>
      <c r="K28" s="164">
        <f>[6]Hist!U188</f>
        <v>130</v>
      </c>
      <c r="L28" s="164">
        <f>[6]Hist!V188</f>
        <v>65.5</v>
      </c>
      <c r="M28" s="133">
        <f t="shared" si="7"/>
        <v>5139.952250303716</v>
      </c>
      <c r="N28" s="164">
        <f>[6]Hist!AA188</f>
        <v>257</v>
      </c>
      <c r="O28" s="1377">
        <f t="shared" si="8"/>
        <v>4687.452250303716</v>
      </c>
      <c r="P28" s="814">
        <f>'[12]1996'!$K$107-[4]Data!$G$126</f>
        <v>1270827</v>
      </c>
      <c r="U28" s="132">
        <f t="shared" si="1"/>
        <v>1270827</v>
      </c>
      <c r="W28" s="132">
        <f t="shared" si="14"/>
        <v>25060</v>
      </c>
      <c r="X28" s="339">
        <f>[5]Apr!$J23</f>
        <v>87.4</v>
      </c>
      <c r="Y28" s="145">
        <f>[5]Apr!$M23</f>
        <v>87.1</v>
      </c>
      <c r="Z28" s="379"/>
      <c r="AA28" s="379"/>
      <c r="AB28" s="379"/>
      <c r="AC28" s="379"/>
      <c r="AD28" s="1445">
        <f t="shared" si="3"/>
        <v>1995</v>
      </c>
      <c r="AE28" s="1446">
        <f t="shared" si="9"/>
        <v>4687.452250303716</v>
      </c>
      <c r="AF28" s="1447">
        <f t="shared" si="4"/>
        <v>1270827</v>
      </c>
      <c r="AG28" s="1448">
        <f t="shared" si="10"/>
        <v>87.1</v>
      </c>
      <c r="AH28" s="1450">
        <v>0</v>
      </c>
      <c r="AI28" s="1460">
        <v>0</v>
      </c>
      <c r="AJ28" s="1450">
        <f t="shared" si="11"/>
        <v>4607</v>
      </c>
      <c r="AK28" s="1450">
        <f t="shared" si="13"/>
        <v>80.452250303716028</v>
      </c>
      <c r="AL28" s="1450"/>
      <c r="AM28" s="1450"/>
      <c r="AN28" s="1461"/>
      <c r="AO28" s="1462"/>
      <c r="AP28" s="1474">
        <f t="shared" si="12"/>
        <v>211.84249555312545</v>
      </c>
      <c r="AQ28" s="275"/>
      <c r="AR28" s="268"/>
      <c r="AS28" s="276"/>
      <c r="AT28" s="268"/>
      <c r="AU28" s="268"/>
      <c r="AV28" s="28"/>
      <c r="AW28" s="28"/>
      <c r="AX28" s="28"/>
      <c r="BD28" s="164">
        <f t="shared" si="5"/>
        <v>4602.7855589665023</v>
      </c>
    </row>
    <row r="29" spans="1:56">
      <c r="A29" s="123">
        <v>1996</v>
      </c>
      <c r="B29" s="139">
        <v>35184</v>
      </c>
      <c r="C29" s="131">
        <v>18</v>
      </c>
      <c r="D29" s="346" t="str">
        <f t="shared" si="0"/>
        <v>Mon</v>
      </c>
      <c r="E29" s="133">
        <f>[7]MoCoinMW!F80</f>
        <v>5614</v>
      </c>
      <c r="F29" s="133">
        <f>[7]MoCoinMW!G80</f>
        <v>5240.5584679155045</v>
      </c>
      <c r="G29" s="164">
        <f>SUM([6]Hist!M200:O200)</f>
        <v>0</v>
      </c>
      <c r="H29" s="164">
        <f>[6]Hist!L200</f>
        <v>0</v>
      </c>
      <c r="I29" s="164">
        <f>[6]Hist!P200</f>
        <v>0</v>
      </c>
      <c r="J29" s="133">
        <f t="shared" si="6"/>
        <v>5240.5584679155045</v>
      </c>
      <c r="K29" s="164">
        <f>[6]Hist!U200</f>
        <v>153</v>
      </c>
      <c r="L29" s="164">
        <f>[6]Hist!V200</f>
        <v>71.5</v>
      </c>
      <c r="M29" s="133">
        <f t="shared" si="7"/>
        <v>5393.5584679155045</v>
      </c>
      <c r="N29" s="164">
        <f>[6]Hist!AA200</f>
        <v>307</v>
      </c>
      <c r="O29" s="1377">
        <f t="shared" si="8"/>
        <v>4862.0584679155045</v>
      </c>
      <c r="P29" s="814">
        <f>[8]FCST!$BF3</f>
        <v>1294332</v>
      </c>
      <c r="S29" s="677" t="s">
        <v>336</v>
      </c>
      <c r="U29" s="132">
        <f t="shared" si="1"/>
        <v>1294332</v>
      </c>
      <c r="W29" s="132">
        <f t="shared" si="14"/>
        <v>23505</v>
      </c>
      <c r="X29" s="339">
        <f>[5]Apr!$J24</f>
        <v>88.1</v>
      </c>
      <c r="Y29" s="145">
        <f>[5]Apr!$M24</f>
        <v>87.9</v>
      </c>
      <c r="Z29" s="379"/>
      <c r="AA29" s="379"/>
      <c r="AB29" s="379"/>
      <c r="AC29" s="379"/>
      <c r="AD29" s="1445">
        <f t="shared" si="3"/>
        <v>1996</v>
      </c>
      <c r="AE29" s="1446">
        <f t="shared" si="9"/>
        <v>4862.0584679155045</v>
      </c>
      <c r="AF29" s="1447">
        <f t="shared" si="4"/>
        <v>1294332</v>
      </c>
      <c r="AG29" s="1448">
        <f t="shared" si="10"/>
        <v>87.9</v>
      </c>
      <c r="AH29" s="1450">
        <v>0</v>
      </c>
      <c r="AI29" s="1460">
        <v>0</v>
      </c>
      <c r="AJ29" s="1450">
        <f t="shared" si="11"/>
        <v>4735</v>
      </c>
      <c r="AK29" s="1450">
        <f t="shared" si="13"/>
        <v>127.05846791550448</v>
      </c>
      <c r="AL29" s="1450"/>
      <c r="AM29" s="1450"/>
      <c r="AN29" s="1461"/>
      <c r="AO29" s="1466"/>
      <c r="AP29" s="1474">
        <f t="shared" si="12"/>
        <v>174.60621761178845</v>
      </c>
      <c r="AQ29" s="277"/>
      <c r="AR29" s="278"/>
      <c r="AS29" s="269"/>
      <c r="AT29" s="269"/>
      <c r="AU29" s="269"/>
      <c r="AV29" s="45"/>
      <c r="AW29" s="45"/>
      <c r="AX29" s="45"/>
      <c r="BD29" s="164">
        <f t="shared" si="5"/>
        <v>4728.5341259404495</v>
      </c>
    </row>
    <row r="30" spans="1:56">
      <c r="A30" s="123">
        <v>1997</v>
      </c>
      <c r="B30" s="139">
        <v>35547</v>
      </c>
      <c r="C30" s="131">
        <v>18</v>
      </c>
      <c r="D30" s="427" t="str">
        <f t="shared" si="0"/>
        <v>Sun</v>
      </c>
      <c r="E30" s="133">
        <f>[7]MoCoinMW!F92</f>
        <v>5085</v>
      </c>
      <c r="F30" s="133">
        <f>[7]MoCoinMW!G92</f>
        <v>4788.3365175219606</v>
      </c>
      <c r="G30" s="164">
        <f>SUM([6]Hist!M212:O212)</f>
        <v>0</v>
      </c>
      <c r="H30" s="164">
        <f>[6]Hist!L212</f>
        <v>0</v>
      </c>
      <c r="I30" s="164">
        <f>[6]Hist!P212</f>
        <v>0</v>
      </c>
      <c r="J30" s="133">
        <f t="shared" si="6"/>
        <v>4788.3365175219606</v>
      </c>
      <c r="K30" s="164">
        <f>[6]Hist!U212</f>
        <v>170.5</v>
      </c>
      <c r="L30" s="164">
        <f>[6]Hist!V212</f>
        <v>71.5</v>
      </c>
      <c r="M30" s="133">
        <f t="shared" si="7"/>
        <v>4958.8365175219606</v>
      </c>
      <c r="N30" s="164">
        <f>[6]Hist!AA212</f>
        <v>303.60000000000002</v>
      </c>
      <c r="O30" s="1377">
        <f t="shared" si="8"/>
        <v>4413.2365175219602</v>
      </c>
      <c r="P30" s="132">
        <f>[8]FCST!$BF4</f>
        <v>1317095</v>
      </c>
      <c r="S30" s="123">
        <f>[9]Sheet1!$R$10</f>
        <v>2162</v>
      </c>
      <c r="U30" s="132">
        <f>P30-Q30+S30</f>
        <v>1319257</v>
      </c>
      <c r="W30" s="132">
        <f t="shared" si="14"/>
        <v>24925</v>
      </c>
      <c r="X30" s="339">
        <f>[5]Apr!$J25</f>
        <v>85.1</v>
      </c>
      <c r="Y30" s="145">
        <f>[5]Apr!$M25</f>
        <v>85.3</v>
      </c>
      <c r="Z30" s="379"/>
      <c r="AA30" s="379"/>
      <c r="AB30" s="379"/>
      <c r="AC30" s="379"/>
      <c r="AD30" s="1445">
        <f t="shared" si="3"/>
        <v>1997</v>
      </c>
      <c r="AE30" s="1446">
        <f t="shared" si="9"/>
        <v>4413.2365175219602</v>
      </c>
      <c r="AF30" s="1447">
        <f t="shared" si="4"/>
        <v>1319257</v>
      </c>
      <c r="AG30" s="1448">
        <f t="shared" si="10"/>
        <v>85.3</v>
      </c>
      <c r="AH30" s="1450">
        <v>1</v>
      </c>
      <c r="AI30" s="1460">
        <v>0</v>
      </c>
      <c r="AJ30" s="1450">
        <f t="shared" si="11"/>
        <v>4080</v>
      </c>
      <c r="AK30" s="1450">
        <f t="shared" si="13"/>
        <v>333.2365175219602</v>
      </c>
      <c r="AL30" s="1450"/>
      <c r="AM30" s="1450"/>
      <c r="AN30" s="1461"/>
      <c r="AO30" s="1465"/>
      <c r="AP30" s="1474">
        <f t="shared" si="12"/>
        <v>-448.82195039354428</v>
      </c>
      <c r="AQ30" s="268"/>
      <c r="AR30" s="279"/>
      <c r="AS30" s="269"/>
      <c r="AT30" s="269"/>
      <c r="AU30" s="269"/>
      <c r="AV30" s="1"/>
      <c r="AW30" s="1"/>
      <c r="AX30" s="1"/>
      <c r="BD30" s="164">
        <f t="shared" si="5"/>
        <v>4080.1482191096211</v>
      </c>
    </row>
    <row r="31" spans="1:56">
      <c r="A31" s="123">
        <v>1998</v>
      </c>
      <c r="B31" s="139">
        <v>35887</v>
      </c>
      <c r="C31" s="131">
        <v>17</v>
      </c>
      <c r="D31" s="346" t="str">
        <f t="shared" si="0"/>
        <v>Thu</v>
      </c>
      <c r="E31" s="133">
        <f>[7]MoCoinMW!F104</f>
        <v>5630</v>
      </c>
      <c r="F31" s="133">
        <f>[7]MoCoinMW!G104</f>
        <v>5264.7974178978857</v>
      </c>
      <c r="G31" s="164">
        <f>SUM([6]Hist!M224:O224)</f>
        <v>0</v>
      </c>
      <c r="H31" s="164">
        <f>[6]Hist!L224</f>
        <v>0</v>
      </c>
      <c r="I31" s="164">
        <f>[6]Hist!P224</f>
        <v>0</v>
      </c>
      <c r="J31" s="133">
        <f t="shared" si="6"/>
        <v>5264.7974178978857</v>
      </c>
      <c r="K31" s="164">
        <f>[6]Hist!U224</f>
        <v>199</v>
      </c>
      <c r="L31" s="164">
        <f>[6]Hist!V224</f>
        <v>75</v>
      </c>
      <c r="M31" s="133">
        <f t="shared" si="7"/>
        <v>5463.7974178978857</v>
      </c>
      <c r="N31" s="164">
        <f>'Interruptible Forecast'!AK9</f>
        <v>354</v>
      </c>
      <c r="O31" s="1377">
        <f t="shared" si="8"/>
        <v>4835.7974178978857</v>
      </c>
      <c r="P31" s="132">
        <f>[8]FCST!$BF5</f>
        <v>1339426</v>
      </c>
      <c r="Q31" s="463"/>
      <c r="S31" s="123">
        <f>[9]Sheet1!$R$22</f>
        <v>6634</v>
      </c>
      <c r="U31" s="132">
        <f t="shared" ref="U31:U39" si="15">P31-Q31+S$31</f>
        <v>1346060</v>
      </c>
      <c r="W31" s="132">
        <f t="shared" si="14"/>
        <v>26803</v>
      </c>
      <c r="X31" s="339">
        <f>[5]Apr!$J26</f>
        <v>83.7</v>
      </c>
      <c r="Y31" s="307">
        <f>[5]Apr!$M26</f>
        <v>84</v>
      </c>
      <c r="Z31" s="379"/>
      <c r="AA31" s="379"/>
      <c r="AB31" s="379"/>
      <c r="AC31" s="379"/>
      <c r="AD31" s="1445">
        <f t="shared" si="3"/>
        <v>1998</v>
      </c>
      <c r="AE31" s="1446">
        <f t="shared" si="9"/>
        <v>4835.7974178978857</v>
      </c>
      <c r="AF31" s="1447">
        <f t="shared" si="4"/>
        <v>1346060</v>
      </c>
      <c r="AG31" s="1448">
        <f t="shared" si="10"/>
        <v>84</v>
      </c>
      <c r="AH31" s="1450">
        <v>0</v>
      </c>
      <c r="AI31" s="1460">
        <v>0</v>
      </c>
      <c r="AJ31" s="1450">
        <f t="shared" si="11"/>
        <v>5002</v>
      </c>
      <c r="AK31" s="1450">
        <f t="shared" si="13"/>
        <v>-166.20258210211432</v>
      </c>
      <c r="AL31" s="1450"/>
      <c r="AM31" s="1450"/>
      <c r="AN31" s="1461"/>
      <c r="AO31" s="1465"/>
      <c r="AP31" s="1474">
        <f t="shared" si="12"/>
        <v>422.56090037592548</v>
      </c>
      <c r="AQ31" s="279"/>
      <c r="AR31" s="279"/>
      <c r="AS31" s="269"/>
      <c r="AT31" s="269"/>
      <c r="AU31" s="269"/>
      <c r="AV31" s="1"/>
      <c r="AW31" s="1"/>
      <c r="AX31" s="1"/>
      <c r="BD31" s="164">
        <f t="shared" si="5"/>
        <v>5005.2719209810075</v>
      </c>
    </row>
    <row r="32" spans="1:56">
      <c r="A32" s="123">
        <v>1999</v>
      </c>
      <c r="B32" s="139">
        <v>36277</v>
      </c>
      <c r="C32" s="123">
        <v>20</v>
      </c>
      <c r="D32" s="346" t="str">
        <f t="shared" si="0"/>
        <v>Tue</v>
      </c>
      <c r="E32" s="133">
        <f>[7]MoCoinMW!F116</f>
        <v>6650</v>
      </c>
      <c r="F32" s="133">
        <f>[7]MoCoinMW!G116</f>
        <v>5882.6102094905327</v>
      </c>
      <c r="G32" s="164">
        <f>SUM([6]Hist!M236:O236)</f>
        <v>42</v>
      </c>
      <c r="H32" s="164">
        <f>[6]Hist!L236</f>
        <v>55</v>
      </c>
      <c r="I32" s="164">
        <f>[6]Hist!P236</f>
        <v>0</v>
      </c>
      <c r="J32" s="133">
        <f t="shared" si="6"/>
        <v>5979.6102094905327</v>
      </c>
      <c r="K32" s="164">
        <f>[6]Hist!U236</f>
        <v>214</v>
      </c>
      <c r="L32" s="164">
        <f>[6]Hist!V236</f>
        <v>75</v>
      </c>
      <c r="M32" s="133">
        <f t="shared" si="7"/>
        <v>6193.6102094905327</v>
      </c>
      <c r="N32" s="164">
        <f>'Interruptible Forecast'!AK10</f>
        <v>316</v>
      </c>
      <c r="O32" s="1377">
        <f t="shared" si="8"/>
        <v>5588.6102094905327</v>
      </c>
      <c r="P32" s="132">
        <f>[8]FCST!$BF6</f>
        <v>1368451</v>
      </c>
      <c r="Q32" s="463">
        <f>[8]FCST!$DH6</f>
        <v>5023</v>
      </c>
      <c r="U32" s="132">
        <f t="shared" si="15"/>
        <v>1370062</v>
      </c>
      <c r="W32" s="132">
        <f t="shared" si="14"/>
        <v>24002</v>
      </c>
      <c r="X32" s="339">
        <f>[5]Apr!$J27</f>
        <v>84</v>
      </c>
      <c r="Y32" s="145">
        <f>[5]Apr!$M27</f>
        <v>86.1</v>
      </c>
      <c r="Z32" s="379"/>
      <c r="AA32" s="379"/>
      <c r="AB32" s="379"/>
      <c r="AC32" s="379"/>
      <c r="AD32" s="1445">
        <f t="shared" si="3"/>
        <v>1999</v>
      </c>
      <c r="AE32" s="1446">
        <f t="shared" si="9"/>
        <v>5588.6102094905327</v>
      </c>
      <c r="AF32" s="1447">
        <f t="shared" si="4"/>
        <v>1370062</v>
      </c>
      <c r="AG32" s="1448">
        <f t="shared" si="10"/>
        <v>86.1</v>
      </c>
      <c r="AH32" s="1450">
        <v>0</v>
      </c>
      <c r="AI32" s="1460">
        <v>0</v>
      </c>
      <c r="AJ32" s="1450">
        <f t="shared" si="11"/>
        <v>5135</v>
      </c>
      <c r="AK32" s="1450">
        <f t="shared" si="13"/>
        <v>453.61020949053272</v>
      </c>
      <c r="AL32" s="1450"/>
      <c r="AM32" s="1450"/>
      <c r="AN32" s="1450"/>
      <c r="AO32" s="1465"/>
      <c r="AP32" s="1474">
        <f t="shared" si="12"/>
        <v>752.81279159264705</v>
      </c>
      <c r="AQ32" s="270"/>
      <c r="AR32" s="270"/>
      <c r="AS32" s="270"/>
      <c r="AT32" s="270"/>
      <c r="AU32" s="270"/>
      <c r="AV32" s="1"/>
      <c r="AW32" s="1"/>
      <c r="AX32" s="1"/>
      <c r="BD32" s="164">
        <f t="shared" si="5"/>
        <v>5133.6793706516592</v>
      </c>
    </row>
    <row r="33" spans="1:56">
      <c r="A33" s="123">
        <v>2000</v>
      </c>
      <c r="B33" s="139">
        <v>36619</v>
      </c>
      <c r="C33" s="123">
        <v>18</v>
      </c>
      <c r="D33" s="346" t="str">
        <f t="shared" si="0"/>
        <v>Mon</v>
      </c>
      <c r="E33" s="133">
        <f>[7]MoCoinMW!F128</f>
        <v>5913</v>
      </c>
      <c r="F33" s="133">
        <f>[7]MoCoinMW!G128</f>
        <v>5298.25</v>
      </c>
      <c r="G33" s="164">
        <f>SUM([6]Hist!M248:O248)</f>
        <v>0</v>
      </c>
      <c r="H33" s="164">
        <f>[6]Hist!L248</f>
        <v>0</v>
      </c>
      <c r="I33" s="164">
        <f>[6]Hist!P248</f>
        <v>0</v>
      </c>
      <c r="J33" s="133">
        <f t="shared" si="6"/>
        <v>5298.25</v>
      </c>
      <c r="K33" s="164">
        <f>[6]Hist!U248</f>
        <v>227</v>
      </c>
      <c r="L33" s="164">
        <f>[6]Hist!V248</f>
        <v>75</v>
      </c>
      <c r="M33" s="133">
        <f t="shared" si="7"/>
        <v>5525.25</v>
      </c>
      <c r="N33" s="164">
        <f>'Interruptible Forecast'!AK11</f>
        <v>311</v>
      </c>
      <c r="O33" s="1377">
        <f t="shared" si="8"/>
        <v>4912.25</v>
      </c>
      <c r="P33" s="132">
        <f>[8]FCST!$BF7</f>
        <v>1402357</v>
      </c>
      <c r="Q33" s="463">
        <f>[8]FCST!$DH7</f>
        <v>7045</v>
      </c>
      <c r="U33" s="132">
        <f t="shared" si="15"/>
        <v>1401946</v>
      </c>
      <c r="W33" s="132">
        <f t="shared" si="14"/>
        <v>31884</v>
      </c>
      <c r="X33" s="339">
        <f>[5]Apr!$J28</f>
        <v>81.2</v>
      </c>
      <c r="Y33" s="145">
        <f>[5]Apr!$M28</f>
        <v>81.7</v>
      </c>
      <c r="Z33" s="283"/>
      <c r="AA33" s="379"/>
      <c r="AB33" s="379"/>
      <c r="AC33" s="379"/>
      <c r="AD33" s="1445">
        <f t="shared" si="3"/>
        <v>2000</v>
      </c>
      <c r="AE33" s="1446">
        <f t="shared" si="9"/>
        <v>4912.25</v>
      </c>
      <c r="AF33" s="1447">
        <f t="shared" si="4"/>
        <v>1401946</v>
      </c>
      <c r="AG33" s="1448">
        <f t="shared" si="10"/>
        <v>81.7</v>
      </c>
      <c r="AH33" s="1450">
        <v>0</v>
      </c>
      <c r="AI33" s="1460">
        <v>0</v>
      </c>
      <c r="AJ33" s="1450">
        <f t="shared" si="11"/>
        <v>5295</v>
      </c>
      <c r="AK33" s="1450">
        <f t="shared" si="13"/>
        <v>-382.75</v>
      </c>
      <c r="AL33" s="1450"/>
      <c r="AM33" s="1450"/>
      <c r="AN33" s="1450"/>
      <c r="AO33" s="1467"/>
      <c r="AP33" s="1472">
        <f t="shared" si="12"/>
        <v>-676.36020949053272</v>
      </c>
      <c r="AQ33" s="1"/>
      <c r="AR33" s="1"/>
      <c r="AS33" s="1"/>
      <c r="AT33" s="1"/>
      <c r="AU33" s="1"/>
      <c r="AV33" s="1"/>
      <c r="AW33" s="1"/>
      <c r="AX33" s="1"/>
      <c r="BD33" s="164">
        <f t="shared" si="5"/>
        <v>5304.2544529489287</v>
      </c>
    </row>
    <row r="34" spans="1:56">
      <c r="A34" s="123">
        <v>2001</v>
      </c>
      <c r="B34" s="139">
        <v>36994</v>
      </c>
      <c r="C34" s="123">
        <v>17</v>
      </c>
      <c r="D34" s="346" t="str">
        <f t="shared" si="0"/>
        <v>Fri</v>
      </c>
      <c r="E34" s="133">
        <f>[7]MoCoinMW!F140</f>
        <v>7157</v>
      </c>
      <c r="F34" s="133">
        <f>[7]MoCoinMW!G140</f>
        <v>6109.35</v>
      </c>
      <c r="G34" s="164">
        <f>SUM([6]Hist!M260:O260)</f>
        <v>0</v>
      </c>
      <c r="H34" s="164">
        <f>[6]Hist!L260</f>
        <v>0</v>
      </c>
      <c r="I34" s="164">
        <f>[6]Hist!P260</f>
        <v>0</v>
      </c>
      <c r="J34" s="133">
        <f t="shared" si="6"/>
        <v>6109.35</v>
      </c>
      <c r="K34" s="164">
        <f>[6]Hist!U260</f>
        <v>239</v>
      </c>
      <c r="L34" s="164">
        <f>[6]Hist!V260</f>
        <v>75</v>
      </c>
      <c r="M34" s="133">
        <f t="shared" si="7"/>
        <v>6348.35</v>
      </c>
      <c r="N34" s="164">
        <f>'Interruptible Forecast'!AK12</f>
        <v>298</v>
      </c>
      <c r="O34" s="1377">
        <f t="shared" si="8"/>
        <v>5736.35</v>
      </c>
      <c r="P34" s="132">
        <f>[8]FCST!$BF8</f>
        <v>1439173</v>
      </c>
      <c r="Q34" s="463">
        <f>[8]FCST!$DH8</f>
        <v>8160</v>
      </c>
      <c r="U34" s="132">
        <f t="shared" si="15"/>
        <v>1437647</v>
      </c>
      <c r="W34" s="132">
        <f t="shared" si="14"/>
        <v>35701</v>
      </c>
      <c r="X34" s="339">
        <f>[5]Apr!$J29</f>
        <v>87.3</v>
      </c>
      <c r="Y34" s="307">
        <f>[5]Apr!$M29</f>
        <v>87</v>
      </c>
      <c r="Z34" s="379"/>
      <c r="AA34" s="379"/>
      <c r="AB34" s="379"/>
      <c r="AC34" s="379"/>
      <c r="AD34" s="1445">
        <f t="shared" si="3"/>
        <v>2001</v>
      </c>
      <c r="AE34" s="1446">
        <f t="shared" si="9"/>
        <v>5736.35</v>
      </c>
      <c r="AF34" s="1447">
        <f t="shared" si="4"/>
        <v>1437647</v>
      </c>
      <c r="AG34" s="1448">
        <f t="shared" si="10"/>
        <v>87</v>
      </c>
      <c r="AH34" s="1450">
        <v>0</v>
      </c>
      <c r="AI34" s="1460">
        <v>0</v>
      </c>
      <c r="AJ34" s="1450">
        <f t="shared" si="11"/>
        <v>5285</v>
      </c>
      <c r="AK34" s="1450">
        <f t="shared" si="13"/>
        <v>451.35000000000036</v>
      </c>
      <c r="AL34" s="1450"/>
      <c r="AM34" s="1450"/>
      <c r="AN34" s="1450"/>
      <c r="AO34" s="1467"/>
      <c r="AP34" s="1472">
        <f t="shared" si="12"/>
        <v>824.10000000000036</v>
      </c>
      <c r="AQ34" s="1"/>
      <c r="AR34" s="1"/>
      <c r="AS34" s="1"/>
      <c r="AT34" s="1"/>
      <c r="AU34" s="1"/>
      <c r="AV34" s="1"/>
      <c r="AW34" s="1"/>
      <c r="AX34" s="1"/>
      <c r="BD34" s="164">
        <f t="shared" si="5"/>
        <v>5495.2499683514761</v>
      </c>
    </row>
    <row r="35" spans="1:56">
      <c r="A35" s="123">
        <v>2002</v>
      </c>
      <c r="B35" s="139">
        <v>37368</v>
      </c>
      <c r="C35" s="123">
        <v>17</v>
      </c>
      <c r="D35" s="346" t="str">
        <f t="shared" si="0"/>
        <v>Mon</v>
      </c>
      <c r="E35" s="133">
        <f>[7]MoCoinMW!F152</f>
        <v>7208</v>
      </c>
      <c r="F35" s="133">
        <f>[7]MoCoinMW!G152</f>
        <v>6551.4</v>
      </c>
      <c r="G35" s="164">
        <f>SUM([6]Hist!M272:O272)</f>
        <v>0</v>
      </c>
      <c r="H35" s="164">
        <f>[6]Hist!L272</f>
        <v>0</v>
      </c>
      <c r="I35" s="164">
        <f>[6]Hist!P272</f>
        <v>0</v>
      </c>
      <c r="J35" s="133">
        <f t="shared" si="6"/>
        <v>6551.4</v>
      </c>
      <c r="K35" s="164">
        <f>[6]Hist!U272</f>
        <v>252</v>
      </c>
      <c r="L35" s="164">
        <f>[6]Hist!V272</f>
        <v>75</v>
      </c>
      <c r="M35" s="133">
        <f t="shared" si="7"/>
        <v>6803.4</v>
      </c>
      <c r="N35" s="164">
        <f>'Interruptible Forecast'!AK13</f>
        <v>283</v>
      </c>
      <c r="O35" s="1377">
        <f t="shared" si="8"/>
        <v>6193.4</v>
      </c>
      <c r="P35" s="132">
        <f>[8]FCST!$BF9</f>
        <v>1468056</v>
      </c>
      <c r="Q35" s="463">
        <f>[8]FCST!$DH9</f>
        <v>8286</v>
      </c>
      <c r="U35" s="132">
        <f t="shared" si="15"/>
        <v>1466404</v>
      </c>
      <c r="W35" s="132">
        <f t="shared" si="14"/>
        <v>28757</v>
      </c>
      <c r="X35" s="339">
        <f>[5]Apr!$J30</f>
        <v>87.9</v>
      </c>
      <c r="Y35" s="145">
        <f>[5]Apr!$M30</f>
        <v>87.3</v>
      </c>
      <c r="Z35" s="379"/>
      <c r="AA35" s="379"/>
      <c r="AB35" s="379"/>
      <c r="AC35" s="379"/>
      <c r="AD35" s="1445">
        <f t="shared" si="3"/>
        <v>2002</v>
      </c>
      <c r="AE35" s="1446">
        <f t="shared" si="9"/>
        <v>6193.4</v>
      </c>
      <c r="AF35" s="1447">
        <f t="shared" si="4"/>
        <v>1466404</v>
      </c>
      <c r="AG35" s="1448">
        <f t="shared" si="10"/>
        <v>87.3</v>
      </c>
      <c r="AH35" s="1450">
        <v>0</v>
      </c>
      <c r="AI35" s="1460">
        <v>0</v>
      </c>
      <c r="AJ35" s="1450">
        <f t="shared" si="11"/>
        <v>5012</v>
      </c>
      <c r="AK35" s="1450">
        <f t="shared" si="13"/>
        <v>1181.3999999999996</v>
      </c>
      <c r="AL35" s="1450"/>
      <c r="AM35" s="1450"/>
      <c r="AN35" s="1450"/>
      <c r="AO35" s="1467"/>
      <c r="AP35" s="1475">
        <f t="shared" ref="AP35:AP43" si="16">AE35-AE34</f>
        <v>457.04999999999927</v>
      </c>
      <c r="AQ35"/>
      <c r="AR35"/>
      <c r="AS35"/>
      <c r="AT35"/>
      <c r="AU35"/>
      <c r="AV35"/>
      <c r="AW35"/>
      <c r="AX35"/>
      <c r="BD35" s="164">
        <f t="shared" si="5"/>
        <v>5649.0960241042849</v>
      </c>
    </row>
    <row r="36" spans="1:56">
      <c r="A36" s="123">
        <v>2003</v>
      </c>
      <c r="B36" s="139">
        <v>37718</v>
      </c>
      <c r="C36" s="123">
        <v>18</v>
      </c>
      <c r="D36" s="346" t="str">
        <f t="shared" si="0"/>
        <v>Mon</v>
      </c>
      <c r="E36" s="133">
        <f>[7]MoCoinMW!F$164</f>
        <v>7209</v>
      </c>
      <c r="F36" s="133">
        <f>[7]MoCoinMW!G$164</f>
        <v>6499.3</v>
      </c>
      <c r="G36" s="164">
        <f>SUM([6]Hist!M$284:O$284)</f>
        <v>0</v>
      </c>
      <c r="H36" s="164">
        <f>[6]Hist!L$284</f>
        <v>0</v>
      </c>
      <c r="I36" s="164">
        <f>[6]Hist!P$284</f>
        <v>0</v>
      </c>
      <c r="J36" s="133">
        <f t="shared" ref="J36:J41" si="17">SUM(F36:I36)</f>
        <v>6499.3</v>
      </c>
      <c r="K36" s="164">
        <f>[6]Hist!U$284</f>
        <v>266</v>
      </c>
      <c r="L36" s="164">
        <f>[6]Hist!V$284</f>
        <v>75</v>
      </c>
      <c r="M36" s="133">
        <f t="shared" si="7"/>
        <v>6765.3</v>
      </c>
      <c r="N36" s="164">
        <f>'Interruptible Forecast'!AK14</f>
        <v>232</v>
      </c>
      <c r="O36" s="1377">
        <f t="shared" si="8"/>
        <v>6192.3</v>
      </c>
      <c r="P36" s="132">
        <f>[8]FCST!$BF10</f>
        <v>1505532</v>
      </c>
      <c r="Q36" s="463">
        <f>[8]FCST!$DH10</f>
        <v>8643</v>
      </c>
      <c r="R36" s="558"/>
      <c r="S36" s="463">
        <f>[8]FCST!$CP10</f>
        <v>47206</v>
      </c>
      <c r="T36" s="387"/>
      <c r="U36" s="132">
        <f t="shared" si="15"/>
        <v>1503523</v>
      </c>
      <c r="W36" s="132">
        <f t="shared" si="14"/>
        <v>37119</v>
      </c>
      <c r="X36" s="339">
        <f>[5]Apr!$J31</f>
        <v>85</v>
      </c>
      <c r="Y36" s="145">
        <f>[5]Apr!$M31</f>
        <v>85.3</v>
      </c>
      <c r="AD36" s="1445">
        <f t="shared" si="3"/>
        <v>2003</v>
      </c>
      <c r="AE36" s="1446">
        <f t="shared" si="9"/>
        <v>6192.3</v>
      </c>
      <c r="AF36" s="1447">
        <f t="shared" si="4"/>
        <v>1503523</v>
      </c>
      <c r="AG36" s="1448">
        <f t="shared" si="10"/>
        <v>85.3</v>
      </c>
      <c r="AH36" s="1450">
        <v>0</v>
      </c>
      <c r="AI36" s="1460">
        <v>0</v>
      </c>
      <c r="AJ36" s="1450">
        <f t="shared" si="11"/>
        <v>4992</v>
      </c>
      <c r="AK36" s="1450">
        <f t="shared" ref="AK36:AK41" si="18">AE36-AJ36</f>
        <v>1200.3000000000002</v>
      </c>
      <c r="AL36" s="1450"/>
      <c r="AM36" s="1450"/>
      <c r="AN36" s="1450"/>
      <c r="AO36" s="1467"/>
      <c r="AP36" s="1475">
        <f t="shared" si="16"/>
        <v>-1.0999999999994543</v>
      </c>
      <c r="AQ36"/>
      <c r="AR36"/>
      <c r="AS36"/>
      <c r="AT36"/>
      <c r="AU36"/>
      <c r="AV36"/>
      <c r="AW36"/>
      <c r="AX36"/>
      <c r="BD36" s="164">
        <f t="shared" si="5"/>
        <v>5847.6776474825419</v>
      </c>
    </row>
    <row r="37" spans="1:56">
      <c r="A37" s="123">
        <v>2004</v>
      </c>
      <c r="B37" s="139">
        <v>38103</v>
      </c>
      <c r="C37" s="123">
        <v>17</v>
      </c>
      <c r="D37" s="346" t="str">
        <f t="shared" ref="D37:D42" si="19">TEXT(WEEKDAY(B37),"ddd")</f>
        <v>Mon</v>
      </c>
      <c r="E37" s="133">
        <f>[7]MoCoinMW!F$176</f>
        <v>6760.3</v>
      </c>
      <c r="F37" s="133">
        <f>[7]MoCoinMW!G$176</f>
        <v>6211.1</v>
      </c>
      <c r="G37" s="164">
        <f>SUM([6]Hist!M$296:O$296)</f>
        <v>0</v>
      </c>
      <c r="H37" s="164">
        <f>[6]Hist!L$296</f>
        <v>0</v>
      </c>
      <c r="I37" s="164">
        <f>[6]Hist!P$296</f>
        <v>0</v>
      </c>
      <c r="J37" s="133">
        <f t="shared" si="17"/>
        <v>6211.1</v>
      </c>
      <c r="K37" s="164">
        <f>[6]Hist!U$296</f>
        <v>281</v>
      </c>
      <c r="L37" s="164">
        <f>[6]Hist!V$296</f>
        <v>110</v>
      </c>
      <c r="M37" s="133">
        <f t="shared" si="7"/>
        <v>6492.1</v>
      </c>
      <c r="N37" s="164">
        <f>'Interruptible Forecast'!AK15</f>
        <v>258</v>
      </c>
      <c r="O37" s="1377">
        <f t="shared" si="8"/>
        <v>5843.1</v>
      </c>
      <c r="P37" s="132">
        <f>[8]FCST!$BF11</f>
        <v>1540555</v>
      </c>
      <c r="Q37" s="463">
        <f>[8]FCST!$DH11</f>
        <v>10363</v>
      </c>
      <c r="R37" s="558"/>
      <c r="S37" s="463">
        <f>[8]FCST!$CP11</f>
        <v>50127</v>
      </c>
      <c r="T37" s="387"/>
      <c r="U37" s="132">
        <f t="shared" si="15"/>
        <v>1536826</v>
      </c>
      <c r="W37" s="132">
        <f t="shared" si="14"/>
        <v>33303</v>
      </c>
      <c r="X37" s="339">
        <f>[5]Apr!$J32</f>
        <v>83.8</v>
      </c>
      <c r="Y37" s="145">
        <f>[5]Apr!$M32</f>
        <v>83.3</v>
      </c>
      <c r="AD37" s="1445">
        <f t="shared" si="3"/>
        <v>2004</v>
      </c>
      <c r="AE37" s="1446">
        <f t="shared" si="9"/>
        <v>5843.1</v>
      </c>
      <c r="AF37" s="1447">
        <f t="shared" si="4"/>
        <v>1536826</v>
      </c>
      <c r="AG37" s="1448">
        <f t="shared" si="10"/>
        <v>83.3</v>
      </c>
      <c r="AH37" s="1450">
        <v>0</v>
      </c>
      <c r="AI37" s="1460">
        <v>0</v>
      </c>
      <c r="AJ37" s="1450">
        <f t="shared" si="11"/>
        <v>5807</v>
      </c>
      <c r="AK37" s="1450">
        <f t="shared" si="18"/>
        <v>36.100000000000364</v>
      </c>
      <c r="AL37" s="1450"/>
      <c r="AM37" s="1450"/>
      <c r="AN37" s="1450"/>
      <c r="AO37" s="1467"/>
      <c r="AP37" s="1475">
        <f t="shared" si="16"/>
        <v>-349.19999999999982</v>
      </c>
      <c r="AQ37"/>
      <c r="AR37"/>
      <c r="AS37"/>
      <c r="AT37"/>
      <c r="AU37"/>
      <c r="AV37"/>
      <c r="AW37"/>
      <c r="AX37"/>
      <c r="BD37" s="164">
        <f t="shared" si="5"/>
        <v>6025.8441876201023</v>
      </c>
    </row>
    <row r="38" spans="1:56">
      <c r="A38" s="123">
        <v>2005</v>
      </c>
      <c r="B38" s="139">
        <v>38443</v>
      </c>
      <c r="C38" s="123">
        <v>16</v>
      </c>
      <c r="D38" s="346" t="str">
        <f t="shared" si="19"/>
        <v>Fri</v>
      </c>
      <c r="E38" s="133">
        <f>[7]MoCoinMW!F$188</f>
        <v>7012.3</v>
      </c>
      <c r="F38" s="133">
        <f>[7]MoCoinMW!G$188</f>
        <v>6323.2</v>
      </c>
      <c r="G38" s="164">
        <f>SUM([6]Hist!M$308:O$308)</f>
        <v>0</v>
      </c>
      <c r="H38" s="164">
        <f>[6]Hist!L$308</f>
        <v>0</v>
      </c>
      <c r="I38" s="164">
        <f>[6]Hist!P$308</f>
        <v>0</v>
      </c>
      <c r="J38" s="133">
        <f t="shared" si="17"/>
        <v>6323.2</v>
      </c>
      <c r="K38" s="164">
        <f>[6]Hist!U$308</f>
        <v>296</v>
      </c>
      <c r="L38" s="164">
        <f>[6]Hist!V$308</f>
        <v>110</v>
      </c>
      <c r="M38" s="133">
        <f t="shared" si="7"/>
        <v>6619.2</v>
      </c>
      <c r="N38" s="164">
        <f>'Interruptible Forecast'!AK16</f>
        <v>381</v>
      </c>
      <c r="O38" s="1377">
        <f t="shared" si="8"/>
        <v>5832.2</v>
      </c>
      <c r="P38" s="132">
        <f>[8]FCST!$BF12</f>
        <v>1575300</v>
      </c>
      <c r="Q38" s="463">
        <f>[8]FCST!$DH12</f>
        <v>9626</v>
      </c>
      <c r="R38" s="558"/>
      <c r="S38" s="463">
        <f>[8]FCST!$CP12</f>
        <v>52945</v>
      </c>
      <c r="T38" s="387"/>
      <c r="U38" s="132">
        <f t="shared" si="15"/>
        <v>1572308</v>
      </c>
      <c r="W38" s="132">
        <f t="shared" si="14"/>
        <v>35482</v>
      </c>
      <c r="X38" s="339">
        <f>[5]Apr!$J33</f>
        <v>81.900000000000006</v>
      </c>
      <c r="Y38" s="145">
        <f>[5]Apr!$M33</f>
        <v>81.400000000000006</v>
      </c>
      <c r="AA38" s="379"/>
      <c r="AD38" s="1445">
        <f t="shared" si="3"/>
        <v>2005</v>
      </c>
      <c r="AE38" s="1446">
        <f t="shared" si="9"/>
        <v>5832.2</v>
      </c>
      <c r="AF38" s="1447">
        <f t="shared" si="4"/>
        <v>1572308</v>
      </c>
      <c r="AG38" s="1448">
        <f t="shared" si="10"/>
        <v>81.400000000000006</v>
      </c>
      <c r="AH38" s="1450">
        <v>0</v>
      </c>
      <c r="AI38" s="1460">
        <v>0</v>
      </c>
      <c r="AJ38" s="1450">
        <f t="shared" ref="AJ38:AJ44" si="20">ROUND($AV$19+$AU$19*AF38+$AT$19*AG38+$AS$19*AH38+$AR$19*AI38,0)</f>
        <v>6206</v>
      </c>
      <c r="AK38" s="1450">
        <f t="shared" si="18"/>
        <v>-373.80000000000018</v>
      </c>
      <c r="AL38" s="1450"/>
      <c r="AM38" s="1450"/>
      <c r="AN38" s="1450"/>
      <c r="AO38" s="1467"/>
      <c r="AP38" s="1475">
        <f t="shared" si="16"/>
        <v>-10.900000000000546</v>
      </c>
      <c r="BD38" s="164">
        <f t="shared" si="5"/>
        <v>6215.6680826794336</v>
      </c>
    </row>
    <row r="39" spans="1:56">
      <c r="A39" s="123">
        <v>2006</v>
      </c>
      <c r="B39" s="139">
        <v>38827</v>
      </c>
      <c r="C39" s="123">
        <v>18</v>
      </c>
      <c r="D39" s="346" t="str">
        <f t="shared" si="19"/>
        <v>Thu</v>
      </c>
      <c r="E39" s="133">
        <f>[7]MoCoinMW!F$200</f>
        <v>7836</v>
      </c>
      <c r="F39" s="133">
        <f>[7]MoCoinMW!G$200</f>
        <v>7182.5</v>
      </c>
      <c r="G39" s="164">
        <f>SUM([6]Hist!M$320:O$320)</f>
        <v>0</v>
      </c>
      <c r="H39" s="164">
        <f>[6]Hist!L$320</f>
        <v>0</v>
      </c>
      <c r="I39" s="164">
        <f>[6]Hist!P$320</f>
        <v>0</v>
      </c>
      <c r="J39" s="133">
        <f t="shared" si="17"/>
        <v>7182.5</v>
      </c>
      <c r="K39" s="164">
        <f>[6]Hist!U$320</f>
        <v>315</v>
      </c>
      <c r="L39" s="164">
        <f>[6]Hist!V$320</f>
        <v>66</v>
      </c>
      <c r="M39" s="133">
        <f t="shared" si="7"/>
        <v>7497.5</v>
      </c>
      <c r="N39" s="164">
        <f>'Interruptible Forecast'!AK17</f>
        <v>367</v>
      </c>
      <c r="O39" s="1377">
        <f t="shared" si="8"/>
        <v>6749.5</v>
      </c>
      <c r="P39" s="132">
        <f>[8]FCST!$BF13</f>
        <v>1607083</v>
      </c>
      <c r="Q39" s="463">
        <f>[8]FCST!$DH13</f>
        <v>10265</v>
      </c>
      <c r="R39" s="558"/>
      <c r="S39" s="463">
        <f>[8]FCST!$CP13</f>
        <v>56168</v>
      </c>
      <c r="T39" s="387"/>
      <c r="U39" s="506">
        <f t="shared" si="15"/>
        <v>1603452</v>
      </c>
      <c r="V39" s="374">
        <f>[10]WP2004!$D$27</f>
        <v>13366</v>
      </c>
      <c r="W39" s="132">
        <f t="shared" si="14"/>
        <v>31144</v>
      </c>
      <c r="X39" s="339">
        <f>[5]Apr!$J34</f>
        <v>89.8</v>
      </c>
      <c r="Y39" s="145">
        <f>[5]Apr!$M34</f>
        <v>88.4</v>
      </c>
      <c r="AD39" s="1445">
        <f t="shared" si="3"/>
        <v>2006</v>
      </c>
      <c r="AE39" s="1446">
        <f t="shared" si="9"/>
        <v>6749.5</v>
      </c>
      <c r="AF39" s="1447">
        <f t="shared" si="4"/>
        <v>1603452</v>
      </c>
      <c r="AG39" s="1448">
        <f t="shared" si="10"/>
        <v>88.4</v>
      </c>
      <c r="AH39" s="1450">
        <v>0</v>
      </c>
      <c r="AI39" s="1460">
        <v>0</v>
      </c>
      <c r="AJ39" s="1450">
        <f t="shared" si="20"/>
        <v>6390</v>
      </c>
      <c r="AK39" s="1450">
        <f t="shared" si="18"/>
        <v>359.5</v>
      </c>
      <c r="AL39" s="1450"/>
      <c r="AM39" s="1450"/>
      <c r="AN39" s="1450"/>
      <c r="AO39" s="1467"/>
      <c r="AP39" s="1475">
        <f t="shared" si="16"/>
        <v>917.30000000000018</v>
      </c>
      <c r="BD39" s="164">
        <f t="shared" si="5"/>
        <v>6382.2842651868405</v>
      </c>
    </row>
    <row r="40" spans="1:56">
      <c r="A40" s="123">
        <v>2007</v>
      </c>
      <c r="B40" s="139">
        <v>39202</v>
      </c>
      <c r="C40" s="123">
        <v>18</v>
      </c>
      <c r="D40" s="346" t="str">
        <f t="shared" si="19"/>
        <v>Mon</v>
      </c>
      <c r="E40" s="133">
        <f>[7]MoCoinMW!F$212</f>
        <v>7474</v>
      </c>
      <c r="F40" s="133">
        <f>[7]MoCoinMW!G$212</f>
        <v>6611</v>
      </c>
      <c r="G40" s="164">
        <f>SUM([6]Hist!M$332:O$332)</f>
        <v>0</v>
      </c>
      <c r="H40" s="164">
        <f>[6]Hist!L$332</f>
        <v>0</v>
      </c>
      <c r="I40" s="164">
        <f>[6]Hist!P$332</f>
        <v>0</v>
      </c>
      <c r="J40" s="133">
        <f t="shared" si="17"/>
        <v>6611</v>
      </c>
      <c r="K40" s="164">
        <f>[6]Hist!U$332</f>
        <v>334</v>
      </c>
      <c r="L40" s="164">
        <f>[6]Hist!V$332</f>
        <v>110</v>
      </c>
      <c r="M40" s="133">
        <f t="shared" ref="M40:M46" si="21">SUM(J40:K40)</f>
        <v>6945</v>
      </c>
      <c r="N40" s="164">
        <f>'Interruptible Forecast'!AK18</f>
        <v>293</v>
      </c>
      <c r="O40" s="1377">
        <f t="shared" si="8"/>
        <v>6208</v>
      </c>
      <c r="P40" s="132">
        <f>[8]FCST!$BF14</f>
        <v>1635775</v>
      </c>
      <c r="Q40" s="463">
        <f>[8]FCST!$DH14</f>
        <v>10663</v>
      </c>
      <c r="R40" s="558"/>
      <c r="S40" s="463">
        <f>[8]FCST!$CP14</f>
        <v>56743</v>
      </c>
      <c r="T40" s="387"/>
      <c r="U40" s="506">
        <f t="shared" ref="U40:U58" si="22">P40-Q40+S$31</f>
        <v>1631746</v>
      </c>
      <c r="V40" s="374">
        <f>ROUND(V39*1.01,0)</f>
        <v>13500</v>
      </c>
      <c r="W40" s="132">
        <f t="shared" si="14"/>
        <v>28294</v>
      </c>
      <c r="X40" s="339">
        <f>[5]Apr!$J35</f>
        <v>87.3</v>
      </c>
      <c r="Y40" s="145">
        <f>[5]Apr!$M35</f>
        <v>86.3</v>
      </c>
      <c r="AD40" s="1445">
        <f t="shared" si="3"/>
        <v>2007</v>
      </c>
      <c r="AE40" s="1446">
        <f t="shared" si="9"/>
        <v>6208</v>
      </c>
      <c r="AF40" s="1447">
        <f t="shared" si="4"/>
        <v>1631746</v>
      </c>
      <c r="AG40" s="1448">
        <f t="shared" si="10"/>
        <v>86.3</v>
      </c>
      <c r="AH40" s="1450">
        <v>0</v>
      </c>
      <c r="AI40" s="1460">
        <v>0.25</v>
      </c>
      <c r="AJ40" s="1450">
        <f t="shared" si="20"/>
        <v>6322</v>
      </c>
      <c r="AK40" s="1450">
        <f t="shared" si="18"/>
        <v>-114</v>
      </c>
      <c r="AL40" s="1450"/>
      <c r="AM40" s="1450"/>
      <c r="AN40" s="1450"/>
      <c r="AO40" s="1467"/>
      <c r="AP40" s="1475">
        <f t="shared" si="16"/>
        <v>-541.5</v>
      </c>
      <c r="BD40" s="164">
        <f t="shared" si="5"/>
        <v>6319.8033393291089</v>
      </c>
    </row>
    <row r="41" spans="1:56">
      <c r="A41" s="123">
        <v>2008</v>
      </c>
      <c r="B41" s="139">
        <v>39542</v>
      </c>
      <c r="C41" s="123">
        <v>17</v>
      </c>
      <c r="D41" s="346" t="str">
        <f t="shared" si="19"/>
        <v>Fri</v>
      </c>
      <c r="E41" s="133">
        <f>[7]MoCoinMW!F$224</f>
        <v>7620</v>
      </c>
      <c r="F41" s="133">
        <f>[7]MoCoinMW!G$224</f>
        <v>6304</v>
      </c>
      <c r="G41" s="164">
        <f>SUM([6]Hist!M$344:O$344)</f>
        <v>0</v>
      </c>
      <c r="H41" s="164">
        <f>[6]Hist!L$344</f>
        <v>0</v>
      </c>
      <c r="I41" s="164">
        <f>[6]Hist!P$344</f>
        <v>0</v>
      </c>
      <c r="J41" s="133">
        <f t="shared" si="17"/>
        <v>6304</v>
      </c>
      <c r="K41" s="164">
        <f>[6]Hist!U$344</f>
        <v>356</v>
      </c>
      <c r="L41" s="164">
        <f>[6]Hist!V$344</f>
        <v>110</v>
      </c>
      <c r="M41" s="133">
        <f t="shared" si="21"/>
        <v>6660</v>
      </c>
      <c r="N41" s="164">
        <f>'Interruptible Forecast'!AK19</f>
        <v>315</v>
      </c>
      <c r="O41" s="1377">
        <f t="shared" si="8"/>
        <v>5879</v>
      </c>
      <c r="P41" s="132">
        <f>[8]FCST!$BF15</f>
        <v>1638638</v>
      </c>
      <c r="Q41" s="463">
        <f>[8]FCST!$DH15</f>
        <v>10289</v>
      </c>
      <c r="R41" s="558"/>
      <c r="S41" s="463">
        <f>[8]FCST!$CP15</f>
        <v>58696</v>
      </c>
      <c r="T41" s="387"/>
      <c r="U41" s="389">
        <f t="shared" si="22"/>
        <v>1634983</v>
      </c>
      <c r="V41" s="374">
        <f>ROUND(V40*1.005,0)</f>
        <v>13568</v>
      </c>
      <c r="W41" s="132">
        <f t="shared" si="14"/>
        <v>3237</v>
      </c>
      <c r="X41" s="339">
        <f>[5]Apr!$J36</f>
        <v>83.8</v>
      </c>
      <c r="Y41" s="307">
        <f>[5]Apr!$M36</f>
        <v>83</v>
      </c>
      <c r="AD41" s="1445">
        <f t="shared" si="3"/>
        <v>2008</v>
      </c>
      <c r="AE41" s="1446">
        <f t="shared" si="9"/>
        <v>5879</v>
      </c>
      <c r="AF41" s="1447">
        <f t="shared" si="4"/>
        <v>1634983</v>
      </c>
      <c r="AG41" s="1448">
        <f t="shared" si="10"/>
        <v>83</v>
      </c>
      <c r="AH41" s="1450">
        <v>0</v>
      </c>
      <c r="AI41" s="1460">
        <v>0.75</v>
      </c>
      <c r="AJ41" s="1450">
        <f t="shared" si="20"/>
        <v>5904</v>
      </c>
      <c r="AK41" s="1450">
        <f t="shared" si="18"/>
        <v>-25</v>
      </c>
      <c r="AL41" s="1450"/>
      <c r="AM41" s="1450"/>
      <c r="AN41" s="1450"/>
      <c r="AO41" s="1467"/>
      <c r="AP41" s="1468">
        <f t="shared" si="16"/>
        <v>-329</v>
      </c>
      <c r="BD41" s="164">
        <f t="shared" si="5"/>
        <v>5909.4208623582945</v>
      </c>
    </row>
    <row r="42" spans="1:56">
      <c r="A42" s="123">
        <v>2009</v>
      </c>
      <c r="B42" s="139">
        <v>39933</v>
      </c>
      <c r="C42" s="123">
        <v>18</v>
      </c>
      <c r="D42" s="346" t="str">
        <f t="shared" si="19"/>
        <v>Thu</v>
      </c>
      <c r="E42" s="133">
        <f>[7]MoCoinMW!F$236</f>
        <v>6818</v>
      </c>
      <c r="F42" s="133">
        <f>[7]MoCoinMW!G$236</f>
        <v>6112</v>
      </c>
      <c r="G42" s="164">
        <f>SUM([6]Hist!M$356:O$356)</f>
        <v>0</v>
      </c>
      <c r="H42" s="164">
        <f>[6]Hist!L$356</f>
        <v>0</v>
      </c>
      <c r="I42" s="164">
        <f>[6]Hist!P$356</f>
        <v>0</v>
      </c>
      <c r="J42" s="133">
        <f>SUM(F42:I42)</f>
        <v>6112</v>
      </c>
      <c r="K42" s="164">
        <f>[6]Hist!U$356</f>
        <v>386</v>
      </c>
      <c r="L42" s="164">
        <f>[6]Hist!V$356</f>
        <v>110</v>
      </c>
      <c r="M42" s="133">
        <f t="shared" si="21"/>
        <v>6498</v>
      </c>
      <c r="N42" s="164">
        <f>'Interruptible Forecast'!AK20</f>
        <v>274</v>
      </c>
      <c r="O42" s="1377">
        <f t="shared" si="8"/>
        <v>5728</v>
      </c>
      <c r="P42" s="132">
        <f>[8]FCST!$BF16</f>
        <v>1630363</v>
      </c>
      <c r="Q42" s="463">
        <f>[8]FCST!$DH16</f>
        <v>11719</v>
      </c>
      <c r="R42" s="558"/>
      <c r="S42" s="463">
        <f>[8]FCST!$CP16</f>
        <v>58975</v>
      </c>
      <c r="T42" s="387"/>
      <c r="U42" s="389">
        <f t="shared" si="22"/>
        <v>1625278</v>
      </c>
      <c r="V42" s="374">
        <f t="shared" ref="V42:V64" si="23">ROUND(V41*1.005,0)</f>
        <v>13636</v>
      </c>
      <c r="W42" s="132">
        <f t="shared" si="14"/>
        <v>-9705</v>
      </c>
      <c r="X42" s="339">
        <f>[5]Apr!$J37</f>
        <v>84.8</v>
      </c>
      <c r="Y42" s="307">
        <f>[5]Apr!$M37</f>
        <v>84.3</v>
      </c>
      <c r="AD42" s="1445">
        <f t="shared" si="3"/>
        <v>2009</v>
      </c>
      <c r="AE42" s="1446">
        <f t="shared" si="9"/>
        <v>5728</v>
      </c>
      <c r="AF42" s="1447">
        <f t="shared" si="4"/>
        <v>1625278</v>
      </c>
      <c r="AG42" s="1448">
        <f t="shared" si="10"/>
        <v>84.3</v>
      </c>
      <c r="AH42" s="1450">
        <v>0</v>
      </c>
      <c r="AI42" s="1469">
        <v>1</v>
      </c>
      <c r="AJ42" s="1450">
        <f t="shared" si="20"/>
        <v>5641</v>
      </c>
      <c r="AK42" s="1450">
        <f>AE42-AJ42</f>
        <v>87</v>
      </c>
      <c r="AL42" s="1450"/>
      <c r="AM42" s="1450"/>
      <c r="AN42" s="1450"/>
      <c r="AO42" s="1467"/>
      <c r="AP42" s="1468">
        <f t="shared" si="16"/>
        <v>-151</v>
      </c>
      <c r="BD42" s="164">
        <f t="shared" si="5"/>
        <v>5643.6504322911187</v>
      </c>
    </row>
    <row r="43" spans="1:56">
      <c r="A43" s="123">
        <v>2010</v>
      </c>
      <c r="B43" s="139">
        <v>40292</v>
      </c>
      <c r="C43" s="123">
        <v>18</v>
      </c>
      <c r="D43" s="915" t="str">
        <f>TEXT(WEEKDAY(B43),"ddd")</f>
        <v>Sat</v>
      </c>
      <c r="E43" s="133">
        <f>[7]MoCoinMW!F$248</f>
        <v>6183</v>
      </c>
      <c r="F43" s="133">
        <f>[7]MoCoinMW!G$248</f>
        <v>5761</v>
      </c>
      <c r="G43" s="164">
        <f>SUM([6]Hist!M$368:O$368)</f>
        <v>0</v>
      </c>
      <c r="H43" s="164">
        <f>[6]Hist!L$368</f>
        <v>0</v>
      </c>
      <c r="I43" s="164">
        <f>[6]Hist!P$368</f>
        <v>0</v>
      </c>
      <c r="J43" s="133">
        <f>SUM(F43:I43)</f>
        <v>5761</v>
      </c>
      <c r="K43" s="164">
        <f>[6]Hist!U$368</f>
        <v>416</v>
      </c>
      <c r="L43" s="164">
        <f>[6]Hist!V$368</f>
        <v>110</v>
      </c>
      <c r="M43" s="133">
        <f t="shared" si="21"/>
        <v>6177</v>
      </c>
      <c r="N43" s="164">
        <f>'Interruptible Forecast'!AK21</f>
        <v>299</v>
      </c>
      <c r="O43" s="1377">
        <f t="shared" si="8"/>
        <v>5352</v>
      </c>
      <c r="P43" s="132">
        <f>[8]FCST!$BF17</f>
        <v>1633207</v>
      </c>
      <c r="Q43" s="463">
        <f>[8]FCST!$DH17</f>
        <v>11917</v>
      </c>
      <c r="R43" s="558"/>
      <c r="S43" s="463">
        <f>[8]FCST!$CP17</f>
        <v>60808</v>
      </c>
      <c r="T43" s="387"/>
      <c r="U43" s="389">
        <f t="shared" si="22"/>
        <v>1627924</v>
      </c>
      <c r="V43" s="374">
        <f t="shared" si="23"/>
        <v>13704</v>
      </c>
      <c r="W43" s="132">
        <f t="shared" si="14"/>
        <v>2646</v>
      </c>
      <c r="X43" s="339">
        <f>[5]Apr!$J38</f>
        <v>84.4</v>
      </c>
      <c r="Y43" s="307">
        <f>[5]Apr!$M38</f>
        <v>83.3</v>
      </c>
      <c r="AD43" s="1445">
        <f t="shared" si="3"/>
        <v>2010</v>
      </c>
      <c r="AE43" s="1446">
        <f t="shared" si="9"/>
        <v>5352</v>
      </c>
      <c r="AF43" s="1447">
        <f t="shared" si="4"/>
        <v>1627924</v>
      </c>
      <c r="AG43" s="1448">
        <f t="shared" si="10"/>
        <v>83.3</v>
      </c>
      <c r="AH43" s="1450">
        <v>1</v>
      </c>
      <c r="AI43" s="1460">
        <v>0.25</v>
      </c>
      <c r="AJ43" s="1450">
        <f t="shared" si="20"/>
        <v>5512</v>
      </c>
      <c r="AK43" s="1450">
        <f>AE43-AJ43</f>
        <v>-160</v>
      </c>
      <c r="AL43" s="1450"/>
      <c r="AM43" s="1450"/>
      <c r="AN43" s="1450"/>
      <c r="AO43" s="1467"/>
      <c r="AP43" s="1468">
        <f t="shared" si="16"/>
        <v>-376</v>
      </c>
      <c r="BD43" s="164">
        <f t="shared" si="5"/>
        <v>5517.6248753912796</v>
      </c>
    </row>
    <row r="44" spans="1:56">
      <c r="A44" s="123">
        <v>2011</v>
      </c>
      <c r="B44" s="139">
        <v>40660</v>
      </c>
      <c r="C44" s="123">
        <v>17</v>
      </c>
      <c r="D44" s="341" t="str">
        <f t="shared" ref="D44" si="24">TEXT(WEEKDAY(B44),"ddd")</f>
        <v>Wed</v>
      </c>
      <c r="E44" s="133">
        <f>[7]MoCoinMW!F$260</f>
        <v>8187</v>
      </c>
      <c r="F44" s="133">
        <f>[7]MoCoinMW!G$260</f>
        <v>7356</v>
      </c>
      <c r="G44" s="164">
        <f>SUM([6]Hist!M$380:O$380)</f>
        <v>0</v>
      </c>
      <c r="H44" s="164">
        <f>[6]Hist!L$380</f>
        <v>0</v>
      </c>
      <c r="I44" s="164">
        <f>[6]Hist!P$380</f>
        <v>0</v>
      </c>
      <c r="J44" s="133">
        <f>SUM(F44:I44)</f>
        <v>7356</v>
      </c>
      <c r="K44" s="164">
        <f>[6]Hist!U$380</f>
        <v>460</v>
      </c>
      <c r="L44" s="164">
        <f>[6]Hist!V$380</f>
        <v>110</v>
      </c>
      <c r="M44" s="133">
        <f t="shared" si="21"/>
        <v>7816</v>
      </c>
      <c r="N44" s="164">
        <f>'Interruptible Forecast'!AK22</f>
        <v>245</v>
      </c>
      <c r="O44" s="1377">
        <f t="shared" si="8"/>
        <v>7001</v>
      </c>
      <c r="P44" s="132">
        <f>[8]FCST!$BF18</f>
        <v>1641165</v>
      </c>
      <c r="Q44" s="463">
        <f>[8]FCST!$DH18</f>
        <v>11887</v>
      </c>
      <c r="R44" s="558"/>
      <c r="S44" s="463">
        <f>[8]FCST!$CP18</f>
        <v>60193</v>
      </c>
      <c r="T44" s="387"/>
      <c r="U44" s="389">
        <f t="shared" si="22"/>
        <v>1635912</v>
      </c>
      <c r="V44" s="374">
        <f t="shared" si="23"/>
        <v>13773</v>
      </c>
      <c r="W44" s="132">
        <f t="shared" si="14"/>
        <v>7988</v>
      </c>
      <c r="X44" s="339">
        <f>[5]Apr!$J39</f>
        <v>90.1</v>
      </c>
      <c r="Y44" s="307">
        <f>[5]Apr!$M39</f>
        <v>89.5</v>
      </c>
      <c r="AD44" s="1445">
        <f t="shared" si="3"/>
        <v>2011</v>
      </c>
      <c r="AE44" s="1446">
        <f t="shared" si="9"/>
        <v>7001</v>
      </c>
      <c r="AF44" s="1447">
        <f t="shared" si="4"/>
        <v>1635912</v>
      </c>
      <c r="AG44" s="1448">
        <f t="shared" si="10"/>
        <v>89.5</v>
      </c>
      <c r="AH44" s="1450">
        <v>0</v>
      </c>
      <c r="AI44" s="1460">
        <v>0</v>
      </c>
      <c r="AJ44" s="1450">
        <f t="shared" si="20"/>
        <v>6566</v>
      </c>
      <c r="AK44" s="1450">
        <f>AE44-AJ44</f>
        <v>435</v>
      </c>
      <c r="AL44" s="1450"/>
      <c r="AM44" s="1450"/>
      <c r="AN44" s="1450"/>
      <c r="AO44" s="1467"/>
      <c r="AP44" s="1470">
        <f>AM44-AE43</f>
        <v>-5352</v>
      </c>
      <c r="BD44" s="164">
        <f t="shared" ref="BD44:BD46" si="25">$AV$19+$AU$19*AF44+$AT$19*$AG$53+$AS$19*AH44+$AR$19*AI44</f>
        <v>6555.9408694827061</v>
      </c>
    </row>
    <row r="45" spans="1:56">
      <c r="A45" s="123">
        <v>2012</v>
      </c>
      <c r="B45" s="139">
        <v>41002</v>
      </c>
      <c r="C45" s="123">
        <v>17</v>
      </c>
      <c r="D45" s="341" t="str">
        <f t="shared" ref="D45" si="26">TEXT(WEEKDAY(B45),"ddd")</f>
        <v>Tue</v>
      </c>
      <c r="E45" s="133">
        <f>[7]MoCoinMW!F$272</f>
        <v>7004</v>
      </c>
      <c r="F45" s="133">
        <f>[7]MoCoinMW!G$272</f>
        <v>6585</v>
      </c>
      <c r="G45" s="164">
        <f>SUM([6]Hist!M$392:O$392)</f>
        <v>0</v>
      </c>
      <c r="H45" s="164">
        <f>[6]Hist!L$392</f>
        <v>0</v>
      </c>
      <c r="I45" s="164">
        <f>[6]Hist!P$392</f>
        <v>0</v>
      </c>
      <c r="J45" s="133">
        <f>SUM(F45:I45)</f>
        <v>6585</v>
      </c>
      <c r="K45" s="164">
        <f>[6]Hist!U$392</f>
        <v>500</v>
      </c>
      <c r="L45" s="164">
        <f>[6]Hist!V$392</f>
        <v>110</v>
      </c>
      <c r="M45" s="133">
        <f t="shared" si="21"/>
        <v>7085</v>
      </c>
      <c r="N45" s="164">
        <f>'Interruptible Forecast'!AK23</f>
        <v>242</v>
      </c>
      <c r="O45" s="1377">
        <f t="shared" si="8"/>
        <v>6233</v>
      </c>
      <c r="P45" s="132">
        <f>[8]FCST!$BF19</f>
        <v>1653353</v>
      </c>
      <c r="Q45" s="463">
        <f>[8]FCST!$DH19</f>
        <v>12373</v>
      </c>
      <c r="R45" s="558"/>
      <c r="S45" s="463">
        <f>[8]FCST!$CP19</f>
        <v>60330</v>
      </c>
      <c r="T45" s="387"/>
      <c r="U45" s="389">
        <f t="shared" si="22"/>
        <v>1647614</v>
      </c>
      <c r="V45" s="374">
        <f t="shared" si="23"/>
        <v>13842</v>
      </c>
      <c r="W45" s="132">
        <f t="shared" si="14"/>
        <v>11702</v>
      </c>
      <c r="X45" s="339">
        <f>[5]Apr!$J40</f>
        <v>87.7</v>
      </c>
      <c r="Y45" s="307">
        <f>[5]Apr!$M40</f>
        <v>86.1</v>
      </c>
      <c r="AD45" s="1445">
        <f t="shared" si="3"/>
        <v>2012</v>
      </c>
      <c r="AE45" s="1446">
        <f t="shared" si="9"/>
        <v>6233</v>
      </c>
      <c r="AF45" s="1447">
        <f t="shared" si="4"/>
        <v>1647614</v>
      </c>
      <c r="AG45" s="1448">
        <f t="shared" si="10"/>
        <v>86.1</v>
      </c>
      <c r="AH45" s="1450">
        <v>0</v>
      </c>
      <c r="AI45" s="1460">
        <v>0</v>
      </c>
      <c r="AJ45" s="1450">
        <f t="shared" ref="AJ45:AJ46" si="27">ROUND($AV$19+$AU$19*AF45+$AT$19*AG45+$AS$19*AH45+$AR$19*AI45,0)</f>
        <v>6620</v>
      </c>
      <c r="AK45" s="1450">
        <f t="shared" ref="AK45:AK46" si="28">AE45-AJ45</f>
        <v>-387</v>
      </c>
      <c r="AL45" s="1450"/>
      <c r="AM45" s="1450"/>
      <c r="AN45" s="1450"/>
      <c r="AO45" s="1467"/>
      <c r="AP45" s="1470">
        <f t="shared" ref="AP45:AP53" si="29">AM45-AM44</f>
        <v>0</v>
      </c>
      <c r="BD45" s="164">
        <f t="shared" si="25"/>
        <v>6618.5449848083435</v>
      </c>
    </row>
    <row r="46" spans="1:56">
      <c r="A46" s="123">
        <v>2013</v>
      </c>
      <c r="B46" s="139">
        <v>41383</v>
      </c>
      <c r="C46" s="123">
        <v>16</v>
      </c>
      <c r="D46" s="341" t="str">
        <f t="shared" ref="D46" si="30">TEXT(WEEKDAY(B46),"ddd")</f>
        <v>Fri</v>
      </c>
      <c r="E46" s="133">
        <f>[7]MoCoinMW!F$284</f>
        <v>7153</v>
      </c>
      <c r="F46" s="133">
        <f>[7]MoCoinMW!G$284</f>
        <v>6496</v>
      </c>
      <c r="G46" s="164">
        <f>SUM([6]Hist!M$404:O$404)</f>
        <v>0</v>
      </c>
      <c r="H46" s="164">
        <f>[6]Hist!L$404</f>
        <v>0</v>
      </c>
      <c r="I46" s="164">
        <f>[6]Hist!P$404</f>
        <v>0</v>
      </c>
      <c r="J46" s="133">
        <f>SUM(F46:I46)</f>
        <v>6496</v>
      </c>
      <c r="K46" s="164">
        <f>[6]Hist!U$404</f>
        <v>535</v>
      </c>
      <c r="L46" s="164">
        <f>[6]Hist!V$404</f>
        <v>124</v>
      </c>
      <c r="M46" s="133">
        <f t="shared" si="21"/>
        <v>7031</v>
      </c>
      <c r="N46" s="164">
        <f>'Interruptible Forecast'!AK24</f>
        <v>226</v>
      </c>
      <c r="O46" s="1377">
        <f t="shared" si="8"/>
        <v>6146</v>
      </c>
      <c r="P46" s="132">
        <f>[8]FCST!$BF20</f>
        <v>1668142</v>
      </c>
      <c r="Q46" s="463">
        <f>[8]FCST!$DH20</f>
        <v>11682</v>
      </c>
      <c r="R46" s="558"/>
      <c r="S46" s="463">
        <f>[8]FCST!$CP20</f>
        <v>61364</v>
      </c>
      <c r="T46" s="387"/>
      <c r="U46" s="389">
        <f t="shared" si="22"/>
        <v>1663094</v>
      </c>
      <c r="V46" s="374">
        <f t="shared" si="23"/>
        <v>13911</v>
      </c>
      <c r="W46" s="132">
        <f t="shared" si="14"/>
        <v>15480</v>
      </c>
      <c r="X46" s="339">
        <f>[5]Apr!$J41</f>
        <v>87.4</v>
      </c>
      <c r="Y46" s="307">
        <f>[5]Apr!$M41</f>
        <v>85.5</v>
      </c>
      <c r="AD46" s="1445">
        <f t="shared" si="3"/>
        <v>2013</v>
      </c>
      <c r="AE46" s="1446">
        <f t="shared" si="9"/>
        <v>6146</v>
      </c>
      <c r="AF46" s="1447">
        <f t="shared" si="4"/>
        <v>1663094</v>
      </c>
      <c r="AG46" s="1448">
        <f t="shared" si="10"/>
        <v>85.5</v>
      </c>
      <c r="AH46" s="1450">
        <v>0</v>
      </c>
      <c r="AI46" s="1460">
        <v>0</v>
      </c>
      <c r="AJ46" s="1450">
        <f t="shared" si="27"/>
        <v>6702</v>
      </c>
      <c r="AK46" s="1450">
        <f t="shared" si="28"/>
        <v>-556</v>
      </c>
      <c r="AL46" s="1450"/>
      <c r="AM46" s="1450"/>
      <c r="AN46" s="1450"/>
      <c r="AO46" s="1467"/>
      <c r="AP46" s="1470">
        <f t="shared" si="29"/>
        <v>0</v>
      </c>
      <c r="BD46" s="164">
        <f t="shared" si="25"/>
        <v>6701.360888520604</v>
      </c>
    </row>
    <row r="47" spans="1:56">
      <c r="A47" s="123">
        <v>2014</v>
      </c>
      <c r="P47" s="132">
        <f>[8]FCST!$BF21</f>
        <v>1685920.25777379</v>
      </c>
      <c r="Q47" s="371">
        <f t="shared" ref="Q47:Q58" si="31">ROUND(R47*S47,0)</f>
        <v>12006</v>
      </c>
      <c r="R47" s="558">
        <f t="shared" ref="R47:R52" si="32">$R$4</f>
        <v>0.1915</v>
      </c>
      <c r="S47" s="371">
        <f>[8]FCST!$CP21</f>
        <v>62692.654826499187</v>
      </c>
      <c r="T47" s="387">
        <f>[8]FCST!$BX21</f>
        <v>1492682.25777379</v>
      </c>
      <c r="U47" s="621">
        <f t="shared" si="22"/>
        <v>1680548.25777379</v>
      </c>
      <c r="V47" s="374">
        <f t="shared" si="23"/>
        <v>13981</v>
      </c>
      <c r="W47" s="132">
        <f t="shared" si="14"/>
        <v>17454.257773790043</v>
      </c>
      <c r="X47" s="123"/>
      <c r="Y47" s="123"/>
      <c r="AD47" s="1445">
        <f t="shared" si="3"/>
        <v>2014</v>
      </c>
      <c r="AE47" s="1040"/>
      <c r="AF47" s="1447">
        <f t="shared" si="4"/>
        <v>1680548.25777379</v>
      </c>
      <c r="AG47" s="1458">
        <f t="shared" ref="AG47:AG63" si="33">$Y$74</f>
        <v>85.4</v>
      </c>
      <c r="AH47" s="1450">
        <v>0</v>
      </c>
      <c r="AI47" s="1460"/>
      <c r="AJ47" s="1450"/>
      <c r="AK47" s="1450"/>
      <c r="AL47" s="1450">
        <v>25</v>
      </c>
      <c r="AM47" s="1450">
        <f t="shared" ref="AM47:AM63" si="34">ROUND($AV$19+$AU$19*AF47+$AT$19*AG47+$AS$19*AH47+$AR$19*AI47,0)</f>
        <v>6795</v>
      </c>
      <c r="AN47" s="1450">
        <f>[11]Apr!$AM102</f>
        <v>7500</v>
      </c>
      <c r="AO47" s="1467">
        <f t="shared" ref="AO47:AO53" si="35">AM47-AN47</f>
        <v>-705</v>
      </c>
      <c r="AP47" s="1470">
        <f t="shared" si="29"/>
        <v>6795</v>
      </c>
    </row>
    <row r="48" spans="1:56">
      <c r="A48" s="123">
        <v>2015</v>
      </c>
      <c r="P48" s="132">
        <f>[8]FCST!$BF22</f>
        <v>1711782.68934495</v>
      </c>
      <c r="Q48" s="371">
        <f t="shared" si="31"/>
        <v>12193</v>
      </c>
      <c r="R48" s="558">
        <f t="shared" si="32"/>
        <v>0.1915</v>
      </c>
      <c r="S48" s="371">
        <f>[8]FCST!$CP22</f>
        <v>63668.668952487904</v>
      </c>
      <c r="T48" s="387">
        <f>[8]FCST!$BX22</f>
        <v>1515920.68934495</v>
      </c>
      <c r="U48" s="621">
        <f t="shared" si="22"/>
        <v>1706223.68934495</v>
      </c>
      <c r="V48" s="374">
        <f t="shared" si="23"/>
        <v>14051</v>
      </c>
      <c r="W48" s="132">
        <f t="shared" si="14"/>
        <v>25675.431571159977</v>
      </c>
      <c r="X48" s="123"/>
      <c r="Y48" s="123"/>
      <c r="AD48" s="1445">
        <f t="shared" si="3"/>
        <v>2015</v>
      </c>
      <c r="AE48" s="1040"/>
      <c r="AF48" s="1447">
        <f t="shared" si="4"/>
        <v>1706223.68934495</v>
      </c>
      <c r="AG48" s="1458">
        <f t="shared" si="33"/>
        <v>85.4</v>
      </c>
      <c r="AH48" s="1449">
        <v>0</v>
      </c>
      <c r="AI48" s="1445"/>
      <c r="AJ48" s="1449"/>
      <c r="AK48" s="1449"/>
      <c r="AL48" s="1449">
        <v>25</v>
      </c>
      <c r="AM48" s="1449">
        <f t="shared" si="34"/>
        <v>6932</v>
      </c>
      <c r="AN48" s="1449">
        <f>[11]Apr!$AM103</f>
        <v>7677</v>
      </c>
      <c r="AO48" s="1455">
        <f t="shared" si="35"/>
        <v>-745</v>
      </c>
      <c r="AP48" s="1457">
        <f t="shared" si="29"/>
        <v>137</v>
      </c>
    </row>
    <row r="49" spans="1:46">
      <c r="A49" s="123">
        <v>2016</v>
      </c>
      <c r="P49" s="132">
        <f>[8]FCST!$BF23</f>
        <v>1738250.27510297</v>
      </c>
      <c r="Q49" s="371">
        <f t="shared" si="31"/>
        <v>12384</v>
      </c>
      <c r="R49" s="558">
        <f t="shared" si="32"/>
        <v>0.1915</v>
      </c>
      <c r="S49" s="371">
        <f>[8]FCST!$CP23</f>
        <v>64666.02555432474</v>
      </c>
      <c r="T49" s="387">
        <f>[8]FCST!$BX23</f>
        <v>1539667.27510297</v>
      </c>
      <c r="U49" s="621">
        <f t="shared" si="22"/>
        <v>1732500.27510297</v>
      </c>
      <c r="V49" s="374">
        <f t="shared" si="23"/>
        <v>14121</v>
      </c>
      <c r="W49" s="132">
        <f t="shared" si="14"/>
        <v>26276.585758019937</v>
      </c>
      <c r="X49" s="123"/>
      <c r="Y49" s="123"/>
      <c r="AD49" s="1445">
        <f t="shared" si="3"/>
        <v>2016</v>
      </c>
      <c r="AE49" s="1040"/>
      <c r="AF49" s="1447">
        <f t="shared" si="4"/>
        <v>1732500.27510297</v>
      </c>
      <c r="AG49" s="1458">
        <f t="shared" si="33"/>
        <v>85.4</v>
      </c>
      <c r="AH49" s="1449">
        <v>0</v>
      </c>
      <c r="AI49" s="1445"/>
      <c r="AJ49" s="1449"/>
      <c r="AK49" s="1449"/>
      <c r="AL49" s="1449">
        <v>25</v>
      </c>
      <c r="AM49" s="1449">
        <f t="shared" si="34"/>
        <v>7073</v>
      </c>
      <c r="AN49" s="1449">
        <f>[11]Apr!$AM104</f>
        <v>7850</v>
      </c>
      <c r="AO49" s="1455">
        <f t="shared" si="35"/>
        <v>-777</v>
      </c>
      <c r="AP49" s="1457">
        <f t="shared" si="29"/>
        <v>141</v>
      </c>
    </row>
    <row r="50" spans="1:46">
      <c r="A50" s="123">
        <v>2017</v>
      </c>
      <c r="P50" s="132">
        <f>[8]FCST!$BF24</f>
        <v>1764849.63193587</v>
      </c>
      <c r="Q50" s="371">
        <f t="shared" si="31"/>
        <v>12576</v>
      </c>
      <c r="R50" s="558">
        <f t="shared" si="32"/>
        <v>0.1915</v>
      </c>
      <c r="S50" s="371">
        <f>[8]FCST!$CP24</f>
        <v>65669.88254130655</v>
      </c>
      <c r="T50" s="387">
        <f>[8]FCST!$BX24</f>
        <v>1563568.63193587</v>
      </c>
      <c r="U50" s="621">
        <f t="shared" si="22"/>
        <v>1758907.63193587</v>
      </c>
      <c r="V50" s="374">
        <f t="shared" si="23"/>
        <v>14192</v>
      </c>
      <c r="W50" s="132">
        <f t="shared" si="14"/>
        <v>26407.356832900085</v>
      </c>
      <c r="X50" s="123"/>
      <c r="Y50" s="123"/>
      <c r="AD50" s="1445">
        <f t="shared" si="3"/>
        <v>2017</v>
      </c>
      <c r="AE50" s="1040"/>
      <c r="AF50" s="1447">
        <f t="shared" si="4"/>
        <v>1758907.63193587</v>
      </c>
      <c r="AG50" s="1458">
        <f t="shared" si="33"/>
        <v>85.4</v>
      </c>
      <c r="AH50" s="1449">
        <v>0</v>
      </c>
      <c r="AI50" s="1445"/>
      <c r="AJ50" s="1449"/>
      <c r="AK50" s="1449"/>
      <c r="AL50" s="1449">
        <v>25</v>
      </c>
      <c r="AM50" s="1449">
        <f t="shared" si="34"/>
        <v>7214</v>
      </c>
      <c r="AN50" s="1449">
        <f>[11]Apr!$AM105</f>
        <v>8028</v>
      </c>
      <c r="AO50" s="1455">
        <f t="shared" si="35"/>
        <v>-814</v>
      </c>
      <c r="AP50" s="1457">
        <f t="shared" si="29"/>
        <v>141</v>
      </c>
    </row>
    <row r="51" spans="1:46">
      <c r="A51" s="123">
        <v>2018</v>
      </c>
      <c r="P51" s="132">
        <f>[8]FCST!$BF25</f>
        <v>1790598.4117912899</v>
      </c>
      <c r="Q51" s="371">
        <f t="shared" si="31"/>
        <v>12762</v>
      </c>
      <c r="R51" s="558">
        <f t="shared" si="32"/>
        <v>0.1915</v>
      </c>
      <c r="S51" s="371">
        <f>[8]FCST!$CP25</f>
        <v>66642.047295234181</v>
      </c>
      <c r="T51" s="387">
        <f>[8]FCST!$BX25</f>
        <v>1586715.4117912899</v>
      </c>
      <c r="U51" s="621">
        <f t="shared" si="22"/>
        <v>1784470.4117912899</v>
      </c>
      <c r="V51" s="374">
        <f t="shared" si="23"/>
        <v>14263</v>
      </c>
      <c r="W51" s="132">
        <f t="shared" si="14"/>
        <v>25562.779855419882</v>
      </c>
      <c r="X51" s="123"/>
      <c r="Y51" s="123"/>
      <c r="AD51" s="1445">
        <f t="shared" si="3"/>
        <v>2018</v>
      </c>
      <c r="AE51" s="1040"/>
      <c r="AF51" s="1447">
        <f t="shared" si="4"/>
        <v>1784470.4117912899</v>
      </c>
      <c r="AG51" s="1458">
        <f t="shared" si="33"/>
        <v>85.4</v>
      </c>
      <c r="AH51" s="1449">
        <v>0</v>
      </c>
      <c r="AI51" s="1445"/>
      <c r="AJ51" s="1449"/>
      <c r="AK51" s="1449"/>
      <c r="AL51" s="1449">
        <v>25</v>
      </c>
      <c r="AM51" s="1449">
        <f t="shared" si="34"/>
        <v>7351</v>
      </c>
      <c r="AN51" s="1449">
        <f>[11]Apr!$AM106</f>
        <v>8210</v>
      </c>
      <c r="AO51" s="1455">
        <f t="shared" si="35"/>
        <v>-859</v>
      </c>
      <c r="AP51" s="1457">
        <f t="shared" si="29"/>
        <v>137</v>
      </c>
    </row>
    <row r="52" spans="1:46">
      <c r="A52" s="123">
        <v>2019</v>
      </c>
      <c r="P52" s="132">
        <f>[8]FCST!$BF26</f>
        <v>1814775.8868969099</v>
      </c>
      <c r="Q52" s="371">
        <f t="shared" si="31"/>
        <v>12937</v>
      </c>
      <c r="R52" s="558">
        <f t="shared" si="32"/>
        <v>0.1915</v>
      </c>
      <c r="S52" s="371">
        <f>[8]FCST!$CP26</f>
        <v>67555.735249670222</v>
      </c>
      <c r="T52" s="387">
        <f>[8]FCST!$BX26</f>
        <v>1608469.8868969099</v>
      </c>
      <c r="U52" s="621">
        <f t="shared" si="22"/>
        <v>1808472.8868969099</v>
      </c>
      <c r="V52" s="374">
        <f t="shared" si="23"/>
        <v>14334</v>
      </c>
      <c r="W52" s="132">
        <f t="shared" si="14"/>
        <v>24002.475105619989</v>
      </c>
      <c r="X52" s="123"/>
      <c r="Y52" s="123"/>
      <c r="AD52" s="1445">
        <f t="shared" si="3"/>
        <v>2019</v>
      </c>
      <c r="AE52" s="1040"/>
      <c r="AF52" s="1447">
        <f t="shared" si="4"/>
        <v>1808472.8868969099</v>
      </c>
      <c r="AG52" s="1458">
        <f t="shared" si="33"/>
        <v>85.4</v>
      </c>
      <c r="AH52" s="1449">
        <v>0</v>
      </c>
      <c r="AI52" s="1445"/>
      <c r="AJ52" s="1449"/>
      <c r="AK52" s="1449"/>
      <c r="AL52" s="1449">
        <v>25</v>
      </c>
      <c r="AM52" s="1449">
        <f t="shared" si="34"/>
        <v>7479</v>
      </c>
      <c r="AN52" s="1449">
        <f>[11]Apr!$AM107</f>
        <v>8395</v>
      </c>
      <c r="AO52" s="1455">
        <f t="shared" si="35"/>
        <v>-916</v>
      </c>
      <c r="AP52" s="1457">
        <f t="shared" si="29"/>
        <v>128</v>
      </c>
    </row>
    <row r="53" spans="1:46">
      <c r="A53" s="123">
        <v>2020</v>
      </c>
      <c r="P53" s="132">
        <f>[8]FCST!$BF27</f>
        <v>1838371.18217368</v>
      </c>
      <c r="Q53" s="371">
        <f t="shared" si="31"/>
        <v>13108</v>
      </c>
      <c r="R53" s="558">
        <f t="shared" ref="R53:R73" si="36">$R$4</f>
        <v>0.1915</v>
      </c>
      <c r="S53" s="371">
        <f>[8]FCST!$CP27</f>
        <v>68448.667651294571</v>
      </c>
      <c r="T53" s="387">
        <f>[8]FCST!$BX27</f>
        <v>1629730.18217368</v>
      </c>
      <c r="U53" s="621">
        <f t="shared" si="22"/>
        <v>1831897.18217368</v>
      </c>
      <c r="V53" s="374">
        <f t="shared" si="23"/>
        <v>14406</v>
      </c>
      <c r="W53" s="132">
        <f t="shared" si="14"/>
        <v>23424.295276770135</v>
      </c>
      <c r="X53" s="123"/>
      <c r="Y53" s="123"/>
      <c r="AD53" s="1445">
        <f t="shared" si="3"/>
        <v>2020</v>
      </c>
      <c r="AE53" s="1040"/>
      <c r="AF53" s="1447">
        <f t="shared" si="4"/>
        <v>1831897.18217368</v>
      </c>
      <c r="AG53" s="1458">
        <f t="shared" si="33"/>
        <v>85.4</v>
      </c>
      <c r="AH53" s="1449">
        <v>0</v>
      </c>
      <c r="AI53" s="1445"/>
      <c r="AJ53" s="1449"/>
      <c r="AK53" s="1449"/>
      <c r="AL53" s="1449">
        <v>25</v>
      </c>
      <c r="AM53" s="1449">
        <f t="shared" si="34"/>
        <v>7604</v>
      </c>
      <c r="AN53" s="1449">
        <f>[11]Apr!$AM108</f>
        <v>8579</v>
      </c>
      <c r="AO53" s="1455">
        <f t="shared" si="35"/>
        <v>-975</v>
      </c>
      <c r="AP53" s="1457">
        <f t="shared" si="29"/>
        <v>125</v>
      </c>
    </row>
    <row r="54" spans="1:46">
      <c r="A54" s="123">
        <v>2021</v>
      </c>
      <c r="P54" s="132">
        <f>[8]FCST!$BF28</f>
        <v>1861191.15202482</v>
      </c>
      <c r="Q54" s="371">
        <f t="shared" si="31"/>
        <v>13273</v>
      </c>
      <c r="R54" s="558">
        <f t="shared" si="36"/>
        <v>0.1915</v>
      </c>
      <c r="S54" s="371">
        <f>[8]FCST!$CP28</f>
        <v>69312.774385042445</v>
      </c>
      <c r="T54" s="387">
        <f>[8]FCST!$BX28</f>
        <v>1650304.15202482</v>
      </c>
      <c r="U54" s="621">
        <f t="shared" si="22"/>
        <v>1854552.15202482</v>
      </c>
      <c r="V54" s="374">
        <f t="shared" si="23"/>
        <v>14478</v>
      </c>
      <c r="W54" s="132">
        <f t="shared" si="14"/>
        <v>22654.969851139933</v>
      </c>
      <c r="AD54" s="1445">
        <f t="shared" si="3"/>
        <v>2021</v>
      </c>
      <c r="AE54" s="1040"/>
      <c r="AF54" s="1447">
        <f t="shared" si="4"/>
        <v>1854552.15202482</v>
      </c>
      <c r="AG54" s="1458">
        <f t="shared" si="33"/>
        <v>85.4</v>
      </c>
      <c r="AH54" s="1449">
        <v>0</v>
      </c>
      <c r="AI54" s="1445"/>
      <c r="AJ54" s="1040"/>
      <c r="AK54" s="1040"/>
      <c r="AL54" s="1449">
        <v>25</v>
      </c>
      <c r="AM54" s="1449">
        <f t="shared" si="34"/>
        <v>7726</v>
      </c>
      <c r="AN54" s="1449">
        <f>[11]Apr!$AM109</f>
        <v>8760</v>
      </c>
      <c r="AO54" s="1455">
        <f t="shared" ref="AO54:AO63" si="37">AM54-AN54</f>
        <v>-1034</v>
      </c>
      <c r="AP54" s="1457">
        <f t="shared" ref="AP54:AP63" si="38">AM54-AM53</f>
        <v>122</v>
      </c>
    </row>
    <row r="55" spans="1:46">
      <c r="A55" s="123">
        <v>2022</v>
      </c>
      <c r="P55" s="132">
        <f>[8]FCST!$BF29</f>
        <v>1883454.0888992299</v>
      </c>
      <c r="Q55" s="371">
        <f t="shared" si="31"/>
        <v>13435</v>
      </c>
      <c r="R55" s="558">
        <f t="shared" si="36"/>
        <v>0.1915</v>
      </c>
      <c r="S55" s="371">
        <f>[8]FCST!$CP29</f>
        <v>70156.719733767663</v>
      </c>
      <c r="T55" s="387">
        <f>[8]FCST!$BX29</f>
        <v>1670398.0888992299</v>
      </c>
      <c r="U55" s="621">
        <f t="shared" si="22"/>
        <v>1876653.0888992299</v>
      </c>
      <c r="V55" s="374">
        <f t="shared" si="23"/>
        <v>14550</v>
      </c>
      <c r="W55" s="132">
        <f t="shared" si="14"/>
        <v>22100.936874409905</v>
      </c>
      <c r="AD55" s="1445">
        <f t="shared" si="3"/>
        <v>2022</v>
      </c>
      <c r="AE55" s="1040"/>
      <c r="AF55" s="1447">
        <f t="shared" si="4"/>
        <v>1876653.0888992299</v>
      </c>
      <c r="AG55" s="1458">
        <f t="shared" si="33"/>
        <v>85.4</v>
      </c>
      <c r="AH55" s="1449">
        <v>0</v>
      </c>
      <c r="AI55" s="1445"/>
      <c r="AJ55" s="1040"/>
      <c r="AK55" s="1040"/>
      <c r="AL55" s="1449">
        <v>25</v>
      </c>
      <c r="AM55" s="1449">
        <f t="shared" si="34"/>
        <v>7844</v>
      </c>
      <c r="AN55" s="1449">
        <f>[11]Apr!$AM110</f>
        <v>8939</v>
      </c>
      <c r="AO55" s="1455">
        <f t="shared" si="37"/>
        <v>-1095</v>
      </c>
      <c r="AP55" s="1457">
        <f t="shared" si="38"/>
        <v>118</v>
      </c>
    </row>
    <row r="56" spans="1:46">
      <c r="A56" s="123">
        <v>2023</v>
      </c>
      <c r="P56" s="132">
        <f>[8]FCST!$BF30</f>
        <v>1904419.5766956799</v>
      </c>
      <c r="Q56" s="371">
        <f t="shared" si="31"/>
        <v>13587</v>
      </c>
      <c r="R56" s="558">
        <f t="shared" si="36"/>
        <v>0.1915</v>
      </c>
      <c r="S56" s="371">
        <f>[8]FCST!$CP30</f>
        <v>70951.968221218558</v>
      </c>
      <c r="T56" s="387">
        <f>[8]FCST!$BX30</f>
        <v>1689332.5766956799</v>
      </c>
      <c r="U56" s="621">
        <f t="shared" si="22"/>
        <v>1897466.5766956799</v>
      </c>
      <c r="V56" s="374">
        <f t="shared" si="23"/>
        <v>14623</v>
      </c>
      <c r="W56" s="132">
        <f t="shared" si="14"/>
        <v>20813.487796450034</v>
      </c>
      <c r="AD56" s="1445">
        <f t="shared" si="3"/>
        <v>2023</v>
      </c>
      <c r="AE56" s="1040"/>
      <c r="AF56" s="1447">
        <f t="shared" si="4"/>
        <v>1897466.5766956799</v>
      </c>
      <c r="AG56" s="1458">
        <f t="shared" si="33"/>
        <v>85.4</v>
      </c>
      <c r="AH56" s="1449">
        <v>0</v>
      </c>
      <c r="AI56" s="1445"/>
      <c r="AJ56" s="1040"/>
      <c r="AK56" s="1040"/>
      <c r="AL56" s="1449">
        <v>25</v>
      </c>
      <c r="AM56" s="1449">
        <f t="shared" si="34"/>
        <v>7955</v>
      </c>
      <c r="AN56" s="1449">
        <f>[11]Apr!$AM111</f>
        <v>9115</v>
      </c>
      <c r="AO56" s="1455">
        <f t="shared" si="37"/>
        <v>-1160</v>
      </c>
      <c r="AP56" s="1457">
        <f t="shared" si="38"/>
        <v>111</v>
      </c>
      <c r="AS56" s="474"/>
      <c r="AT56" s="474"/>
    </row>
    <row r="57" spans="1:46">
      <c r="A57" s="123">
        <v>2024</v>
      </c>
      <c r="P57" s="132">
        <f>[8]FCST!$BF31</f>
        <v>1924682.3736728199</v>
      </c>
      <c r="Q57" s="371">
        <f t="shared" si="31"/>
        <v>13735</v>
      </c>
      <c r="R57" s="558">
        <f t="shared" si="36"/>
        <v>0.1915</v>
      </c>
      <c r="S57" s="371">
        <f>[8]FCST!$CP31</f>
        <v>71721.693694258443</v>
      </c>
      <c r="T57" s="387">
        <f>[8]FCST!$BX31</f>
        <v>1707659.3736728199</v>
      </c>
      <c r="U57" s="621">
        <f t="shared" si="22"/>
        <v>1917581.3736728199</v>
      </c>
      <c r="V57" s="374">
        <f t="shared" si="23"/>
        <v>14696</v>
      </c>
      <c r="W57" s="132">
        <f t="shared" si="14"/>
        <v>20114.796977140009</v>
      </c>
      <c r="AD57" s="1445">
        <f t="shared" si="3"/>
        <v>2024</v>
      </c>
      <c r="AE57" s="1040"/>
      <c r="AF57" s="1447">
        <f t="shared" si="4"/>
        <v>1917581.3736728199</v>
      </c>
      <c r="AG57" s="1458">
        <f t="shared" si="33"/>
        <v>85.4</v>
      </c>
      <c r="AH57" s="1449">
        <v>0</v>
      </c>
      <c r="AI57" s="1040"/>
      <c r="AJ57" s="1040"/>
      <c r="AK57" s="1040"/>
      <c r="AL57" s="1449">
        <v>25</v>
      </c>
      <c r="AM57" s="1449">
        <f t="shared" si="34"/>
        <v>8063</v>
      </c>
      <c r="AN57" s="1449">
        <f>[11]Apr!$AM112</f>
        <v>9288</v>
      </c>
      <c r="AO57" s="1455">
        <f t="shared" si="37"/>
        <v>-1225</v>
      </c>
      <c r="AP57" s="1457">
        <f t="shared" si="38"/>
        <v>108</v>
      </c>
    </row>
    <row r="58" spans="1:46">
      <c r="A58" s="123">
        <v>2025</v>
      </c>
      <c r="P58" s="132">
        <f>[8]FCST!$BF32</f>
        <v>1944114.18986615</v>
      </c>
      <c r="Q58" s="371">
        <f t="shared" si="31"/>
        <v>13876</v>
      </c>
      <c r="R58" s="558">
        <f t="shared" si="36"/>
        <v>0.1915</v>
      </c>
      <c r="S58" s="371">
        <f>[8]FCST!$CP32</f>
        <v>72460.423974378311</v>
      </c>
      <c r="T58" s="387">
        <f>[8]FCST!$BX32</f>
        <v>1725248.18986615</v>
      </c>
      <c r="U58" s="621">
        <f t="shared" si="22"/>
        <v>1936872.18986615</v>
      </c>
      <c r="V58" s="374">
        <f t="shared" si="23"/>
        <v>14769</v>
      </c>
      <c r="W58" s="132">
        <f t="shared" si="14"/>
        <v>19290.816193330102</v>
      </c>
      <c r="AD58" s="1445">
        <f t="shared" si="3"/>
        <v>2025</v>
      </c>
      <c r="AE58" s="1040"/>
      <c r="AF58" s="1447">
        <f t="shared" si="4"/>
        <v>1936872.18986615</v>
      </c>
      <c r="AG58" s="1458">
        <f t="shared" si="33"/>
        <v>85.4</v>
      </c>
      <c r="AH58" s="1449">
        <v>0</v>
      </c>
      <c r="AI58" s="1040"/>
      <c r="AJ58" s="1040"/>
      <c r="AK58" s="1040"/>
      <c r="AL58" s="1449">
        <v>25</v>
      </c>
      <c r="AM58" s="1449">
        <f t="shared" si="34"/>
        <v>8166</v>
      </c>
      <c r="AN58" s="1449">
        <f>[11]Apr!$AM113</f>
        <v>9461</v>
      </c>
      <c r="AO58" s="1455">
        <f t="shared" si="37"/>
        <v>-1295</v>
      </c>
      <c r="AP58" s="1457">
        <f t="shared" si="38"/>
        <v>103</v>
      </c>
    </row>
    <row r="59" spans="1:46">
      <c r="A59" s="123">
        <v>2026</v>
      </c>
      <c r="P59" s="132">
        <f>[8]FCST!$BF33</f>
        <v>1962559.7871304201</v>
      </c>
      <c r="Q59" s="371">
        <f>ROUND(R59*S59,0)</f>
        <v>14011</v>
      </c>
      <c r="R59" s="558">
        <f t="shared" si="36"/>
        <v>0.1915</v>
      </c>
      <c r="S59" s="371">
        <f>[8]FCST!$CP33</f>
        <v>73162.521059477644</v>
      </c>
      <c r="T59" s="387">
        <f>[8]FCST!$BX33</f>
        <v>1741964.7871304201</v>
      </c>
      <c r="U59" s="621">
        <f>P59-Q59+S$31</f>
        <v>1955182.7871304201</v>
      </c>
      <c r="V59" s="374">
        <f t="shared" si="23"/>
        <v>14843</v>
      </c>
      <c r="W59" s="132">
        <f>U59-U58</f>
        <v>18310.597264270065</v>
      </c>
      <c r="Y59" s="771"/>
      <c r="AD59" s="1445">
        <f>A59</f>
        <v>2026</v>
      </c>
      <c r="AE59" s="1040"/>
      <c r="AF59" s="1447">
        <f>U59</f>
        <v>1955182.7871304201</v>
      </c>
      <c r="AG59" s="1458">
        <f t="shared" si="33"/>
        <v>85.4</v>
      </c>
      <c r="AH59" s="1449">
        <v>0</v>
      </c>
      <c r="AI59" s="1040"/>
      <c r="AJ59" s="1040"/>
      <c r="AK59" s="1040"/>
      <c r="AL59" s="1449">
        <v>25</v>
      </c>
      <c r="AM59" s="1449">
        <f t="shared" si="34"/>
        <v>8264</v>
      </c>
      <c r="AN59" s="1449">
        <f>[11]Apr!$AM114</f>
        <v>9632</v>
      </c>
      <c r="AO59" s="1455">
        <f t="shared" si="37"/>
        <v>-1368</v>
      </c>
      <c r="AP59" s="1457">
        <f t="shared" si="38"/>
        <v>98</v>
      </c>
    </row>
    <row r="60" spans="1:46">
      <c r="A60" s="123">
        <v>2027</v>
      </c>
      <c r="P60" s="132">
        <f>[8]FCST!$BF34</f>
        <v>1980481.80820567</v>
      </c>
      <c r="Q60" s="371">
        <f>ROUND(R60*S60,0)</f>
        <v>14141</v>
      </c>
      <c r="R60" s="558">
        <f t="shared" si="36"/>
        <v>0.1915</v>
      </c>
      <c r="S60" s="371">
        <f>[8]FCST!$CP34</f>
        <v>73845.483944638137</v>
      </c>
      <c r="T60" s="387">
        <f>[8]FCST!$BX34</f>
        <v>1758225.80820567</v>
      </c>
      <c r="U60" s="621">
        <f>P60-Q60+S$31</f>
        <v>1972974.80820567</v>
      </c>
      <c r="V60" s="374">
        <f t="shared" si="23"/>
        <v>14917</v>
      </c>
      <c r="W60" s="132">
        <f>U60-U59</f>
        <v>17792.021075249882</v>
      </c>
      <c r="Y60" s="771"/>
      <c r="AD60" s="1445">
        <f>A60</f>
        <v>2027</v>
      </c>
      <c r="AE60" s="1040"/>
      <c r="AF60" s="1447">
        <f>U60</f>
        <v>1972974.80820567</v>
      </c>
      <c r="AG60" s="1458">
        <f t="shared" si="33"/>
        <v>85.4</v>
      </c>
      <c r="AH60" s="1449">
        <v>0</v>
      </c>
      <c r="AI60" s="1040"/>
      <c r="AJ60" s="1040"/>
      <c r="AK60" s="1040"/>
      <c r="AL60" s="1449">
        <v>25</v>
      </c>
      <c r="AM60" s="1449">
        <f t="shared" si="34"/>
        <v>8359</v>
      </c>
      <c r="AN60" s="1449">
        <f>[11]Apr!$AM115</f>
        <v>9801</v>
      </c>
      <c r="AO60" s="1455">
        <f t="shared" si="37"/>
        <v>-1442</v>
      </c>
      <c r="AP60" s="1457">
        <f t="shared" si="38"/>
        <v>95</v>
      </c>
    </row>
    <row r="61" spans="1:46">
      <c r="A61" s="123">
        <v>2028</v>
      </c>
      <c r="P61" s="132">
        <f>[8]FCST!$BF35</f>
        <v>1998030.50419196</v>
      </c>
      <c r="Q61" s="371">
        <f>ROUND(R61*S61,0)</f>
        <v>14270</v>
      </c>
      <c r="R61" s="558">
        <f t="shared" si="36"/>
        <v>0.1915</v>
      </c>
      <c r="S61" s="371">
        <f>[8]FCST!$CP35</f>
        <v>74514.909176062327</v>
      </c>
      <c r="T61" s="387">
        <f>[8]FCST!$BX35</f>
        <v>1774164.50419196</v>
      </c>
      <c r="U61" s="621">
        <f>P61-Q61+S$31</f>
        <v>1990394.50419196</v>
      </c>
      <c r="V61" s="374">
        <f t="shared" si="23"/>
        <v>14992</v>
      </c>
      <c r="W61" s="132">
        <f>U61-U60</f>
        <v>17419.695986289997</v>
      </c>
      <c r="Y61" s="771"/>
      <c r="AD61" s="1445">
        <f>A61</f>
        <v>2028</v>
      </c>
      <c r="AE61" s="1040"/>
      <c r="AF61" s="1447">
        <f>U61</f>
        <v>1990394.50419196</v>
      </c>
      <c r="AG61" s="1458">
        <f t="shared" si="33"/>
        <v>85.4</v>
      </c>
      <c r="AH61" s="1449">
        <v>0</v>
      </c>
      <c r="AI61" s="1040"/>
      <c r="AJ61" s="1040"/>
      <c r="AK61" s="1040"/>
      <c r="AL61" s="1449">
        <v>25</v>
      </c>
      <c r="AM61" s="1449">
        <f t="shared" si="34"/>
        <v>8452</v>
      </c>
      <c r="AN61" s="1449">
        <f>[11]Apr!$AM116</f>
        <v>9970</v>
      </c>
      <c r="AO61" s="1455">
        <f t="shared" si="37"/>
        <v>-1518</v>
      </c>
      <c r="AP61" s="1457">
        <f t="shared" si="38"/>
        <v>93</v>
      </c>
    </row>
    <row r="62" spans="1:46">
      <c r="A62" s="123">
        <v>2029</v>
      </c>
      <c r="P62" s="132">
        <f>[8]FCST!$BF36</f>
        <v>2015201.75938443</v>
      </c>
      <c r="Q62" s="371">
        <f>ROUND(R62*S62,0)</f>
        <v>14395</v>
      </c>
      <c r="R62" s="558">
        <f t="shared" si="36"/>
        <v>0.1915</v>
      </c>
      <c r="S62" s="371">
        <f>[8]FCST!$CP36</f>
        <v>75170.455894146071</v>
      </c>
      <c r="T62" s="387">
        <f>[8]FCST!$BX36</f>
        <v>1789772.75938443</v>
      </c>
      <c r="U62" s="621">
        <f>P62-Q62+S$31</f>
        <v>2007440.75938443</v>
      </c>
      <c r="V62" s="374">
        <f t="shared" si="23"/>
        <v>15067</v>
      </c>
      <c r="W62" s="132">
        <f>U62-U61</f>
        <v>17046.255192470038</v>
      </c>
      <c r="Y62" s="771"/>
      <c r="AD62" s="1445">
        <f>A62</f>
        <v>2029</v>
      </c>
      <c r="AE62" s="1040"/>
      <c r="AF62" s="1447">
        <f>U62</f>
        <v>2007440.75938443</v>
      </c>
      <c r="AG62" s="1458">
        <f t="shared" si="33"/>
        <v>85.4</v>
      </c>
      <c r="AH62" s="1449">
        <v>0</v>
      </c>
      <c r="AI62" s="1040"/>
      <c r="AJ62" s="1040"/>
      <c r="AK62" s="1040"/>
      <c r="AL62" s="1449">
        <v>25</v>
      </c>
      <c r="AM62" s="1449">
        <f t="shared" si="34"/>
        <v>8544</v>
      </c>
      <c r="AN62" s="1449">
        <f>[11]Apr!$AM117</f>
        <v>10137</v>
      </c>
      <c r="AO62" s="1455">
        <f t="shared" si="37"/>
        <v>-1593</v>
      </c>
      <c r="AP62" s="1457">
        <f t="shared" si="38"/>
        <v>92</v>
      </c>
    </row>
    <row r="63" spans="1:46">
      <c r="A63" s="123">
        <v>2030</v>
      </c>
      <c r="P63" s="132">
        <f>[8]FCST!$BF37</f>
        <v>2031489.44923562</v>
      </c>
      <c r="Q63" s="371">
        <f>ROUND(R63*S63,0)</f>
        <v>14514</v>
      </c>
      <c r="R63" s="558">
        <f t="shared" si="36"/>
        <v>0.1915</v>
      </c>
      <c r="S63" s="371">
        <f>[8]FCST!$CP37</f>
        <v>75792.966867896044</v>
      </c>
      <c r="T63" s="387">
        <f>[8]FCST!$BX37</f>
        <v>1804594.44923562</v>
      </c>
      <c r="U63" s="621">
        <f>P63-Q63+S$31</f>
        <v>2023609.44923562</v>
      </c>
      <c r="V63" s="374">
        <f t="shared" si="23"/>
        <v>15142</v>
      </c>
      <c r="W63" s="132">
        <f>U63-U62</f>
        <v>16168.689851189964</v>
      </c>
      <c r="AD63" s="1445">
        <f>A63</f>
        <v>2030</v>
      </c>
      <c r="AE63" s="1040"/>
      <c r="AF63" s="1447">
        <f>U63</f>
        <v>2023609.44923562</v>
      </c>
      <c r="AG63" s="1458">
        <f t="shared" si="33"/>
        <v>85.4</v>
      </c>
      <c r="AH63" s="1449">
        <v>0</v>
      </c>
      <c r="AI63" s="1040"/>
      <c r="AJ63" s="1040"/>
      <c r="AK63" s="1040"/>
      <c r="AL63" s="1449">
        <v>25</v>
      </c>
      <c r="AM63" s="1449">
        <f t="shared" si="34"/>
        <v>8630</v>
      </c>
      <c r="AN63" s="1449">
        <f>[11]Apr!$AM118</f>
        <v>10302</v>
      </c>
      <c r="AO63" s="1455">
        <f t="shared" si="37"/>
        <v>-1672</v>
      </c>
      <c r="AP63" s="1457">
        <f t="shared" si="38"/>
        <v>86</v>
      </c>
    </row>
    <row r="64" spans="1:46">
      <c r="A64" s="123">
        <v>2031</v>
      </c>
      <c r="P64" s="132">
        <f>[8]FCST!$BF38</f>
        <v>2047199.8427589999</v>
      </c>
      <c r="Q64" s="371">
        <f t="shared" ref="Q64:Q73" si="39">ROUND(R64*S64,0)</f>
        <v>14630</v>
      </c>
      <c r="R64" s="558">
        <f t="shared" si="36"/>
        <v>0.1915</v>
      </c>
      <c r="S64" s="371">
        <f>[8]FCST!$CP38</f>
        <v>76394.381395877994</v>
      </c>
      <c r="T64" s="387">
        <f>[8]FCST!$BX38</f>
        <v>1818913.8427589999</v>
      </c>
      <c r="U64" s="621">
        <f t="shared" ref="U64:U73" si="40">P64-Q64+S$31</f>
        <v>2039203.8427589999</v>
      </c>
      <c r="V64" s="374">
        <f t="shared" si="23"/>
        <v>15218</v>
      </c>
      <c r="W64" s="132">
        <f t="shared" ref="W64:W73" si="41">U64-U63</f>
        <v>15594.393523379928</v>
      </c>
      <c r="AD64" s="1040"/>
      <c r="AE64" s="1040"/>
      <c r="AF64" s="1040"/>
      <c r="AG64" s="1040"/>
      <c r="AH64" s="1040"/>
      <c r="AI64" s="1040"/>
      <c r="AJ64" s="1040"/>
      <c r="AK64" s="1040"/>
      <c r="AL64" s="1040"/>
      <c r="AM64" s="1040"/>
      <c r="AN64" s="1040"/>
      <c r="AO64" s="1040"/>
      <c r="AP64" s="1459">
        <f>AVERAGE(AP37:AP53)</f>
        <v>83.041176470588226</v>
      </c>
    </row>
    <row r="65" spans="1:61">
      <c r="A65" s="123">
        <v>2032</v>
      </c>
      <c r="P65" s="132">
        <f>[8]FCST!$BF39</f>
        <v>2062508.0934492799</v>
      </c>
      <c r="Q65" s="371">
        <f t="shared" si="39"/>
        <v>14742</v>
      </c>
      <c r="R65" s="558">
        <f t="shared" si="36"/>
        <v>0.1915</v>
      </c>
      <c r="S65" s="371">
        <f>[8]FCST!$CP39</f>
        <v>76980.963924869764</v>
      </c>
      <c r="T65" s="387">
        <f>[8]FCST!$BX39</f>
        <v>1832880.0934492799</v>
      </c>
      <c r="U65" s="621">
        <f t="shared" si="40"/>
        <v>2054400.0934492799</v>
      </c>
      <c r="W65" s="132">
        <f t="shared" si="41"/>
        <v>15196.250690279994</v>
      </c>
      <c r="AX65" s="129"/>
    </row>
    <row r="66" spans="1:61">
      <c r="A66" s="123">
        <v>2033</v>
      </c>
      <c r="P66" s="132">
        <f>[8]FCST!$BF40</f>
        <v>2077418.09766796</v>
      </c>
      <c r="Q66" s="371">
        <f t="shared" si="39"/>
        <v>14851</v>
      </c>
      <c r="R66" s="558">
        <f t="shared" si="36"/>
        <v>0.1915</v>
      </c>
      <c r="S66" s="371">
        <f>[8]FCST!$CP40</f>
        <v>77553.04610205433</v>
      </c>
      <c r="T66" s="387">
        <f>[8]FCST!$BX40</f>
        <v>1846501.09766796</v>
      </c>
      <c r="U66" s="621">
        <f t="shared" si="40"/>
        <v>2069201.09766796</v>
      </c>
      <c r="W66" s="132">
        <f t="shared" si="41"/>
        <v>14801.004218680086</v>
      </c>
      <c r="AD66" s="692" t="s">
        <v>406</v>
      </c>
      <c r="AX66" s="129"/>
    </row>
    <row r="67" spans="1:61">
      <c r="A67" s="123">
        <v>2034</v>
      </c>
      <c r="P67" s="132">
        <f>[8]FCST!$BF41</f>
        <v>2091944.3001349601</v>
      </c>
      <c r="Q67" s="371">
        <f t="shared" si="39"/>
        <v>14958</v>
      </c>
      <c r="R67" s="558">
        <f t="shared" si="36"/>
        <v>0.1915</v>
      </c>
      <c r="S67" s="371">
        <f>[8]FCST!$CP41</f>
        <v>78110.982605668323</v>
      </c>
      <c r="T67" s="387">
        <f>[8]FCST!$BX41</f>
        <v>1859785.3001349601</v>
      </c>
      <c r="U67" s="621">
        <f t="shared" si="40"/>
        <v>2083620.3001349601</v>
      </c>
      <c r="W67" s="132">
        <f t="shared" si="41"/>
        <v>14419.202467000112</v>
      </c>
      <c r="AD67" s="974" t="s">
        <v>444</v>
      </c>
      <c r="AX67" s="129"/>
    </row>
    <row r="68" spans="1:61">
      <c r="A68" s="123">
        <v>2035</v>
      </c>
      <c r="P68" s="132">
        <f>[8]FCST!$BF42</f>
        <v>2106092.0358985099</v>
      </c>
      <c r="Q68" s="371">
        <f t="shared" si="39"/>
        <v>15062</v>
      </c>
      <c r="R68" s="558">
        <f t="shared" si="36"/>
        <v>0.1915</v>
      </c>
      <c r="S68" s="371">
        <f>[8]FCST!$CP42</f>
        <v>78655.123507737415</v>
      </c>
      <c r="T68" s="387">
        <f>[8]FCST!$BX42</f>
        <v>1872741.0358985099</v>
      </c>
      <c r="U68" s="621">
        <f t="shared" si="40"/>
        <v>2097664.0358985099</v>
      </c>
      <c r="W68" s="132">
        <f t="shared" si="41"/>
        <v>14043.735763549805</v>
      </c>
      <c r="AE68" s="265" t="s">
        <v>18</v>
      </c>
      <c r="AG68" s="265" t="s">
        <v>294</v>
      </c>
      <c r="AI68" s="265"/>
      <c r="AX68" s="129"/>
    </row>
    <row r="69" spans="1:61" ht="13.5" thickBot="1">
      <c r="A69" s="123">
        <v>2036</v>
      </c>
      <c r="P69" s="132">
        <f>[8]FCST!$BF43</f>
        <v>2119878.5493231397</v>
      </c>
      <c r="Q69" s="371">
        <f t="shared" si="39"/>
        <v>15164</v>
      </c>
      <c r="R69" s="558">
        <f t="shared" si="36"/>
        <v>0.1915</v>
      </c>
      <c r="S69" s="371">
        <f>[8]FCST!$CP43</f>
        <v>79186.109071571889</v>
      </c>
      <c r="T69" s="387">
        <f>[8]FCST!$BX43</f>
        <v>1885383.5493231399</v>
      </c>
      <c r="U69" s="621">
        <f t="shared" si="40"/>
        <v>2111348.5493231397</v>
      </c>
      <c r="W69" s="132">
        <f t="shared" si="41"/>
        <v>13684.513424629811</v>
      </c>
      <c r="AD69" s="121" t="s">
        <v>9</v>
      </c>
      <c r="AE69" s="128" t="s">
        <v>179</v>
      </c>
      <c r="AF69" s="121" t="s">
        <v>97</v>
      </c>
      <c r="AG69" s="128" t="s">
        <v>170</v>
      </c>
      <c r="AH69" s="178" t="s">
        <v>130</v>
      </c>
      <c r="AI69" s="1012" t="s">
        <v>244</v>
      </c>
      <c r="AJ69" s="121" t="s">
        <v>98</v>
      </c>
      <c r="AK69" s="121" t="s">
        <v>99</v>
      </c>
      <c r="AL69" s="121" t="s">
        <v>100</v>
      </c>
      <c r="AM69" s="178" t="str">
        <f>AM6</f>
        <v>Fall'13</v>
      </c>
      <c r="AN69" s="178" t="str">
        <f>AN6</f>
        <v>TYSP'13</v>
      </c>
      <c r="AO69" s="178" t="str">
        <f>AO6</f>
        <v>Diff</v>
      </c>
      <c r="AP69" s="178" t="str">
        <f>AP6</f>
        <v>Yr-Yr Growth</v>
      </c>
      <c r="AX69" s="129"/>
    </row>
    <row r="70" spans="1:61">
      <c r="A70" s="123">
        <v>2037</v>
      </c>
      <c r="P70" s="132">
        <f>[8]FCST!$BF44</f>
        <v>2134401.8916276898</v>
      </c>
      <c r="Q70" s="371">
        <f t="shared" si="39"/>
        <v>15271</v>
      </c>
      <c r="R70" s="558">
        <f t="shared" si="36"/>
        <v>0.1915</v>
      </c>
      <c r="S70" s="371">
        <f>[8]FCST!$CP44</f>
        <v>79745.731448362989</v>
      </c>
      <c r="T70" s="387">
        <f>[8]FCST!$BX44</f>
        <v>1898707.8916276901</v>
      </c>
      <c r="U70" s="621">
        <f t="shared" si="40"/>
        <v>2125764.8916276898</v>
      </c>
      <c r="W70" s="132">
        <f t="shared" si="41"/>
        <v>14416.342304550111</v>
      </c>
      <c r="AD70" s="123">
        <v>1980</v>
      </c>
      <c r="AE70" s="133">
        <f t="shared" ref="AE70:AE76" si="42">O13</f>
        <v>2092</v>
      </c>
      <c r="AF70" s="132">
        <f t="shared" ref="AF70:AF76" si="43">P13</f>
        <v>770749</v>
      </c>
      <c r="AG70" s="140">
        <f t="shared" ref="AG70:AG76" si="44">Y13</f>
        <v>82.1</v>
      </c>
      <c r="AH70" s="134">
        <v>0</v>
      </c>
      <c r="AI70" s="123">
        <v>0</v>
      </c>
      <c r="AJ70" s="134"/>
      <c r="AK70" s="134"/>
      <c r="AR70" s="673" t="s">
        <v>334</v>
      </c>
      <c r="AS70" s="908"/>
      <c r="AX70" s="129"/>
    </row>
    <row r="71" spans="1:61">
      <c r="A71" s="123">
        <v>2038</v>
      </c>
      <c r="P71" s="132">
        <f>[8]FCST!$BF45</f>
        <v>2149592.31854067</v>
      </c>
      <c r="Q71" s="371">
        <f t="shared" si="39"/>
        <v>15383</v>
      </c>
      <c r="R71" s="558">
        <f t="shared" si="36"/>
        <v>0.1915</v>
      </c>
      <c r="S71" s="371">
        <f>[8]FCST!$CP45</f>
        <v>80330.683378708141</v>
      </c>
      <c r="T71" s="387">
        <f>[8]FCST!$BX45</f>
        <v>1912635.31854067</v>
      </c>
      <c r="U71" s="621">
        <f t="shared" si="40"/>
        <v>2140843.31854067</v>
      </c>
      <c r="W71" s="132">
        <f t="shared" si="41"/>
        <v>15078.426912980154</v>
      </c>
      <c r="AD71" s="123">
        <v>1981</v>
      </c>
      <c r="AE71" s="133">
        <f t="shared" si="42"/>
        <v>2138</v>
      </c>
      <c r="AF71" s="132">
        <f t="shared" si="43"/>
        <v>800651</v>
      </c>
      <c r="AG71" s="140">
        <f t="shared" si="44"/>
        <v>86.1</v>
      </c>
      <c r="AH71" s="134">
        <v>0</v>
      </c>
      <c r="AI71" s="123">
        <v>0</v>
      </c>
      <c r="AJ71" s="134"/>
      <c r="AK71" s="134"/>
      <c r="AP71" s="138">
        <f t="shared" ref="AP71:AP90" si="45">AE71-AE70</f>
        <v>46</v>
      </c>
      <c r="AR71" s="129"/>
      <c r="AS71" s="129"/>
      <c r="AT71" s="129"/>
      <c r="AU71" s="129"/>
      <c r="AV71" s="129"/>
      <c r="AW71" s="580"/>
      <c r="AX71" s="129"/>
    </row>
    <row r="72" spans="1:61" ht="13.5" thickBot="1">
      <c r="A72" s="123">
        <v>2039</v>
      </c>
      <c r="P72" s="132">
        <f>[8]FCST!$BF46</f>
        <v>2164287.4524936099</v>
      </c>
      <c r="Q72" s="371">
        <f t="shared" si="39"/>
        <v>15492</v>
      </c>
      <c r="R72" s="558">
        <f t="shared" si="36"/>
        <v>0.1915</v>
      </c>
      <c r="S72" s="371">
        <f>[8]FCST!$CP46</f>
        <v>80897.017004731635</v>
      </c>
      <c r="T72" s="387">
        <f>[8]FCST!$BX46</f>
        <v>1926119.4524936101</v>
      </c>
      <c r="U72" s="621">
        <f t="shared" si="40"/>
        <v>2155429.4524936099</v>
      </c>
      <c r="W72" s="132">
        <f t="shared" si="41"/>
        <v>14586.133952939883</v>
      </c>
      <c r="AD72" s="121">
        <v>1982</v>
      </c>
      <c r="AE72" s="910">
        <f t="shared" si="42"/>
        <v>2544</v>
      </c>
      <c r="AF72" s="898">
        <f t="shared" si="43"/>
        <v>830644</v>
      </c>
      <c r="AG72" s="911">
        <f t="shared" si="44"/>
        <v>88.1</v>
      </c>
      <c r="AH72" s="898">
        <v>0</v>
      </c>
      <c r="AI72" s="121">
        <v>0</v>
      </c>
      <c r="AJ72" s="898"/>
      <c r="AK72" s="898"/>
      <c r="AL72" s="122"/>
      <c r="AM72" s="122"/>
      <c r="AN72" s="122"/>
      <c r="AO72" s="122"/>
      <c r="AP72" s="1485">
        <f t="shared" si="45"/>
        <v>406</v>
      </c>
      <c r="AR72" s="832" t="s">
        <v>573</v>
      </c>
      <c r="AS72" s="473"/>
      <c r="AT72" s="473"/>
      <c r="BC72" s="121" t="s">
        <v>9</v>
      </c>
      <c r="BD72" s="481" t="s">
        <v>232</v>
      </c>
      <c r="BE72" s="482" t="s">
        <v>231</v>
      </c>
      <c r="BF72" s="482" t="s">
        <v>230</v>
      </c>
      <c r="BG72" s="479" t="s">
        <v>233</v>
      </c>
      <c r="BH72" s="483" t="s">
        <v>229</v>
      </c>
      <c r="BI72" s="484"/>
    </row>
    <row r="73" spans="1:61">
      <c r="A73" s="123">
        <v>2040</v>
      </c>
      <c r="P73" s="132">
        <f>[8]FCST!$BF47</f>
        <v>2179254.3338996801</v>
      </c>
      <c r="Q73" s="371">
        <f t="shared" si="39"/>
        <v>15602</v>
      </c>
      <c r="R73" s="558">
        <f t="shared" si="36"/>
        <v>0.1915</v>
      </c>
      <c r="S73" s="371">
        <f>[8]FCST!$CP47</f>
        <v>81474.470023786562</v>
      </c>
      <c r="T73" s="387">
        <f>[8]FCST!$BX47</f>
        <v>1939868.3338996801</v>
      </c>
      <c r="U73" s="621">
        <f t="shared" si="40"/>
        <v>2170286.3338996801</v>
      </c>
      <c r="W73" s="132">
        <f t="shared" si="41"/>
        <v>14856.881406070199</v>
      </c>
      <c r="AD73" s="844">
        <v>1983</v>
      </c>
      <c r="AE73" s="133">
        <f t="shared" si="42"/>
        <v>2226</v>
      </c>
      <c r="AF73" s="132">
        <f t="shared" si="43"/>
        <v>861030</v>
      </c>
      <c r="AG73" s="1144">
        <f>Y16+2</f>
        <v>85</v>
      </c>
      <c r="AH73" s="136">
        <v>0</v>
      </c>
      <c r="AI73" s="1069">
        <v>0</v>
      </c>
      <c r="AJ73" s="134">
        <f t="shared" ref="AJ73:AJ101" si="46">ROUND($AW$75+$AV$75*$AF73+$AU$75*$AG73+$AT$75*$AH73+$AS$75*$AI73,0)</f>
        <v>2048</v>
      </c>
      <c r="AK73" s="134">
        <f t="shared" ref="AK73:AK83" si="47">AE73-AJ73</f>
        <v>178</v>
      </c>
      <c r="AP73" s="138">
        <f t="shared" si="45"/>
        <v>-318</v>
      </c>
      <c r="AR73" s="974" t="s">
        <v>545</v>
      </c>
      <c r="BC73" s="123">
        <v>1983</v>
      </c>
      <c r="BD73" s="134">
        <f t="shared" ref="BD73:BD101" si="48">ROUND($AW$75+$AV$75*$AF73+$AU$75*$AG$118+$AT$75*$AH73+$AS$75*$AI73,0)</f>
        <v>2087</v>
      </c>
      <c r="BE73" s="138">
        <f t="shared" ref="BE73:BE95" si="49">AE73</f>
        <v>2226</v>
      </c>
      <c r="BF73" s="480">
        <f t="shared" ref="BF73:BF95" si="50">BE73-BD73</f>
        <v>139</v>
      </c>
      <c r="BG73" s="133">
        <f t="shared" ref="BG73:BG95" si="51">AJ73</f>
        <v>2048</v>
      </c>
      <c r="BH73" s="464">
        <f t="shared" ref="BH73:BH95" si="52">BD73-BG73</f>
        <v>39</v>
      </c>
      <c r="BI73" s="102"/>
    </row>
    <row r="74" spans="1:61">
      <c r="X74" s="771">
        <f>ROUND(AVERAGE(X12:X19, X21:X25,X27:X43),1)</f>
        <v>85.1</v>
      </c>
      <c r="Y74" s="674">
        <f>ROUND(AVERAGE(Y12:Y19, Y21:Y25,Y27:Y43),1)</f>
        <v>85.4</v>
      </c>
      <c r="AD74" s="844">
        <v>1984</v>
      </c>
      <c r="AE74" s="133">
        <f t="shared" si="42"/>
        <v>2462</v>
      </c>
      <c r="AF74" s="132">
        <f t="shared" si="43"/>
        <v>899397</v>
      </c>
      <c r="AG74" s="140">
        <f t="shared" si="44"/>
        <v>85.5</v>
      </c>
      <c r="AH74" s="136">
        <v>0</v>
      </c>
      <c r="AI74" s="1069">
        <v>0</v>
      </c>
      <c r="AJ74" s="134">
        <f t="shared" si="46"/>
        <v>2326</v>
      </c>
      <c r="AK74" s="134">
        <f t="shared" si="47"/>
        <v>136</v>
      </c>
      <c r="AP74" s="138">
        <f t="shared" si="45"/>
        <v>236</v>
      </c>
      <c r="AR74" s="245" t="s">
        <v>171</v>
      </c>
      <c r="AS74" s="246" t="s">
        <v>244</v>
      </c>
      <c r="AT74" s="246" t="s">
        <v>245</v>
      </c>
      <c r="AU74" s="246" t="s">
        <v>419</v>
      </c>
      <c r="AV74" s="247" t="s">
        <v>169</v>
      </c>
      <c r="AW74" s="247" t="s">
        <v>22</v>
      </c>
      <c r="BC74" s="123">
        <v>1984</v>
      </c>
      <c r="BD74" s="134">
        <f t="shared" si="48"/>
        <v>2316</v>
      </c>
      <c r="BE74" s="138">
        <f t="shared" si="49"/>
        <v>2462</v>
      </c>
      <c r="BF74" s="480">
        <f t="shared" si="50"/>
        <v>146</v>
      </c>
      <c r="BG74" s="133">
        <f t="shared" si="51"/>
        <v>2326</v>
      </c>
      <c r="BH74" s="464">
        <f t="shared" si="52"/>
        <v>-10</v>
      </c>
      <c r="BI74" s="102"/>
    </row>
    <row r="75" spans="1:61">
      <c r="Y75" s="384" t="s">
        <v>403</v>
      </c>
      <c r="AD75" s="844">
        <v>1985</v>
      </c>
      <c r="AE75" s="133">
        <f t="shared" si="42"/>
        <v>2568</v>
      </c>
      <c r="AF75" s="132">
        <f t="shared" si="43"/>
        <v>940945</v>
      </c>
      <c r="AG75" s="140">
        <f t="shared" si="44"/>
        <v>86.3</v>
      </c>
      <c r="AH75" s="136">
        <v>0</v>
      </c>
      <c r="AI75" s="1069">
        <v>0</v>
      </c>
      <c r="AJ75" s="134">
        <f t="shared" si="46"/>
        <v>2653</v>
      </c>
      <c r="AK75" s="134">
        <f t="shared" si="47"/>
        <v>-85</v>
      </c>
      <c r="AP75" s="138">
        <f t="shared" si="45"/>
        <v>106</v>
      </c>
      <c r="AR75" s="248" t="s">
        <v>172</v>
      </c>
      <c r="AS75" s="249">
        <f t="array" ref="AS75:AW80">LINEST(AE73:AE101,AF73:AI101,TRUE,TRUE)</f>
        <v>-691.26738744572788</v>
      </c>
      <c r="AT75" s="250">
        <v>-610.85593528407549</v>
      </c>
      <c r="AU75" s="294">
        <v>97.859434023094636</v>
      </c>
      <c r="AV75" s="294">
        <v>5.9747726388018748E-3</v>
      </c>
      <c r="AW75" s="1060">
        <v>-11414.557441783481</v>
      </c>
      <c r="BC75" s="123">
        <v>1985</v>
      </c>
      <c r="BD75" s="134">
        <f t="shared" si="48"/>
        <v>2565</v>
      </c>
      <c r="BE75" s="138">
        <f t="shared" si="49"/>
        <v>2568</v>
      </c>
      <c r="BF75" s="480">
        <f t="shared" si="50"/>
        <v>3</v>
      </c>
      <c r="BG75" s="133">
        <f t="shared" si="51"/>
        <v>2653</v>
      </c>
      <c r="BH75" s="464">
        <f t="shared" si="52"/>
        <v>-88</v>
      </c>
      <c r="BI75" s="102"/>
    </row>
    <row r="76" spans="1:61">
      <c r="Y76" s="1028" t="s">
        <v>447</v>
      </c>
      <c r="Z76" s="572" t="s">
        <v>448</v>
      </c>
      <c r="AD76" s="844">
        <v>1986</v>
      </c>
      <c r="AE76" s="133">
        <f t="shared" si="42"/>
        <v>2646</v>
      </c>
      <c r="AF76" s="132">
        <f t="shared" si="43"/>
        <v>979863</v>
      </c>
      <c r="AG76" s="140">
        <f t="shared" si="44"/>
        <v>88.3</v>
      </c>
      <c r="AH76" s="136">
        <v>0</v>
      </c>
      <c r="AI76" s="1069">
        <v>0</v>
      </c>
      <c r="AJ76" s="134">
        <f t="shared" si="46"/>
        <v>3081</v>
      </c>
      <c r="AK76" s="134">
        <f t="shared" si="47"/>
        <v>-435</v>
      </c>
      <c r="AP76" s="138">
        <f t="shared" si="45"/>
        <v>78</v>
      </c>
      <c r="AR76" s="253" t="s">
        <v>173</v>
      </c>
      <c r="AS76" s="487">
        <v>128.18308857985411</v>
      </c>
      <c r="AT76" s="486">
        <v>112.78045864213965</v>
      </c>
      <c r="AU76" s="486">
        <v>18.536339597993237</v>
      </c>
      <c r="AV76" s="486">
        <v>1.7221735824852471E-4</v>
      </c>
      <c r="AW76" s="1013">
        <v>1623.8891346561225</v>
      </c>
      <c r="BC76" s="123">
        <v>1986</v>
      </c>
      <c r="BD76" s="134">
        <f t="shared" si="48"/>
        <v>2797</v>
      </c>
      <c r="BE76" s="138">
        <f t="shared" si="49"/>
        <v>2646</v>
      </c>
      <c r="BF76" s="480">
        <f t="shared" si="50"/>
        <v>-151</v>
      </c>
      <c r="BG76" s="133">
        <f t="shared" si="51"/>
        <v>3081</v>
      </c>
      <c r="BH76" s="464">
        <f t="shared" si="52"/>
        <v>-284</v>
      </c>
      <c r="BI76" s="102"/>
    </row>
    <row r="77" spans="1:61">
      <c r="AD77" s="845">
        <v>1988</v>
      </c>
      <c r="AE77" s="133">
        <f t="shared" ref="AE77:AF81" si="53">O21</f>
        <v>3090</v>
      </c>
      <c r="AF77" s="132">
        <f t="shared" si="53"/>
        <v>1060125</v>
      </c>
      <c r="AG77" s="140">
        <f>Y21</f>
        <v>84.5</v>
      </c>
      <c r="AH77" s="136">
        <v>0</v>
      </c>
      <c r="AI77" s="1069">
        <v>0</v>
      </c>
      <c r="AJ77" s="134">
        <f t="shared" si="46"/>
        <v>3189</v>
      </c>
      <c r="AK77" s="134">
        <f t="shared" si="47"/>
        <v>-99</v>
      </c>
      <c r="AP77" s="138">
        <f t="shared" si="45"/>
        <v>444</v>
      </c>
      <c r="AR77" s="253" t="s">
        <v>174</v>
      </c>
      <c r="AS77" s="257">
        <v>0.982700791012176</v>
      </c>
      <c r="AT77" s="258">
        <v>194.59961196863898</v>
      </c>
      <c r="AU77" s="259" t="e">
        <v>#N/A</v>
      </c>
      <c r="AV77" s="259" t="e">
        <v>#N/A</v>
      </c>
      <c r="AW77" s="1014" t="e">
        <v>#N/A</v>
      </c>
      <c r="BC77" s="388">
        <v>1988</v>
      </c>
      <c r="BD77" s="134">
        <f t="shared" si="48"/>
        <v>3277</v>
      </c>
      <c r="BE77" s="138">
        <f t="shared" si="49"/>
        <v>3090</v>
      </c>
      <c r="BF77" s="480">
        <f t="shared" si="50"/>
        <v>-187</v>
      </c>
      <c r="BG77" s="133">
        <f t="shared" si="51"/>
        <v>3189</v>
      </c>
      <c r="BH77" s="464">
        <f t="shared" si="52"/>
        <v>88</v>
      </c>
      <c r="BI77" s="102"/>
    </row>
    <row r="78" spans="1:61">
      <c r="AD78" s="844">
        <v>1989</v>
      </c>
      <c r="AE78" s="133">
        <f t="shared" si="53"/>
        <v>3589</v>
      </c>
      <c r="AF78" s="132">
        <f t="shared" si="53"/>
        <v>1102284</v>
      </c>
      <c r="AG78" s="140">
        <f>Y22</f>
        <v>87.4</v>
      </c>
      <c r="AH78" s="136">
        <v>0</v>
      </c>
      <c r="AI78" s="1069">
        <v>0</v>
      </c>
      <c r="AJ78" s="134">
        <f t="shared" si="46"/>
        <v>3724</v>
      </c>
      <c r="AK78" s="134">
        <f t="shared" si="47"/>
        <v>-135</v>
      </c>
      <c r="AP78" s="138">
        <f t="shared" si="45"/>
        <v>499</v>
      </c>
      <c r="AR78" s="260" t="s">
        <v>175</v>
      </c>
      <c r="AS78" s="255">
        <v>340.83666774724077</v>
      </c>
      <c r="AT78" s="261">
        <v>24</v>
      </c>
      <c r="AU78" s="259" t="e">
        <v>#N/A</v>
      </c>
      <c r="AV78" s="259" t="e">
        <v>#N/A</v>
      </c>
      <c r="AW78" s="1014" t="e">
        <v>#N/A</v>
      </c>
      <c r="BC78" s="123">
        <v>1989</v>
      </c>
      <c r="BD78" s="134">
        <f t="shared" si="48"/>
        <v>3529</v>
      </c>
      <c r="BE78" s="138">
        <f t="shared" si="49"/>
        <v>3589</v>
      </c>
      <c r="BF78" s="480">
        <f t="shared" si="50"/>
        <v>60</v>
      </c>
      <c r="BG78" s="133">
        <f t="shared" si="51"/>
        <v>3724</v>
      </c>
      <c r="BH78" s="464">
        <f t="shared" si="52"/>
        <v>-195</v>
      </c>
      <c r="BI78" s="102"/>
    </row>
    <row r="79" spans="1:61">
      <c r="AD79" s="844">
        <v>1990</v>
      </c>
      <c r="AE79" s="133">
        <f t="shared" si="53"/>
        <v>3851.4783978607138</v>
      </c>
      <c r="AF79" s="132">
        <f t="shared" si="53"/>
        <v>1137544</v>
      </c>
      <c r="AG79" s="140">
        <f>Y23</f>
        <v>87.2</v>
      </c>
      <c r="AH79" s="136">
        <v>0</v>
      </c>
      <c r="AI79" s="1069">
        <v>0</v>
      </c>
      <c r="AJ79" s="134">
        <f t="shared" si="46"/>
        <v>3915</v>
      </c>
      <c r="AK79" s="134">
        <f t="shared" si="47"/>
        <v>-63.521602139286188</v>
      </c>
      <c r="AP79" s="138">
        <f t="shared" si="45"/>
        <v>262.47839786071381</v>
      </c>
      <c r="AR79" s="260" t="s">
        <v>176</v>
      </c>
      <c r="AS79" s="846">
        <v>51628587.32427761</v>
      </c>
      <c r="AT79" s="846">
        <v>908856.21548027662</v>
      </c>
      <c r="AU79" s="259" t="e">
        <v>#N/A</v>
      </c>
      <c r="AV79" s="259" t="e">
        <v>#N/A</v>
      </c>
      <c r="AW79" s="1014" t="e">
        <v>#N/A</v>
      </c>
      <c r="BC79" s="123">
        <v>1990</v>
      </c>
      <c r="BD79" s="134">
        <f t="shared" si="48"/>
        <v>3739</v>
      </c>
      <c r="BE79" s="138">
        <f t="shared" si="49"/>
        <v>3851.4783978607138</v>
      </c>
      <c r="BF79" s="480">
        <f t="shared" si="50"/>
        <v>112.47839786071381</v>
      </c>
      <c r="BG79" s="133">
        <f t="shared" si="51"/>
        <v>3915</v>
      </c>
      <c r="BH79" s="464">
        <f t="shared" si="52"/>
        <v>-176</v>
      </c>
      <c r="BI79" s="102"/>
    </row>
    <row r="80" spans="1:61">
      <c r="AD80" s="844">
        <v>1991</v>
      </c>
      <c r="AE80" s="133">
        <f t="shared" si="53"/>
        <v>4553.0998256016737</v>
      </c>
      <c r="AF80" s="132">
        <f t="shared" si="53"/>
        <v>1162344</v>
      </c>
      <c r="AG80" s="140">
        <f>Y24</f>
        <v>89</v>
      </c>
      <c r="AH80" s="136">
        <v>0</v>
      </c>
      <c r="AI80" s="1069">
        <v>0</v>
      </c>
      <c r="AJ80" s="134">
        <f t="shared" si="46"/>
        <v>4240</v>
      </c>
      <c r="AK80" s="134">
        <f t="shared" si="47"/>
        <v>313.09982560167373</v>
      </c>
      <c r="AP80" s="138">
        <f t="shared" si="45"/>
        <v>701.62142774095992</v>
      </c>
      <c r="AR80" s="262" t="s">
        <v>177</v>
      </c>
      <c r="AS80" s="263" t="e">
        <v>#N/A</v>
      </c>
      <c r="AT80" s="263" t="e">
        <v>#N/A</v>
      </c>
      <c r="AU80" s="263" t="e">
        <v>#N/A</v>
      </c>
      <c r="AV80" s="263" t="e">
        <v>#N/A</v>
      </c>
      <c r="AW80" s="843" t="e">
        <v>#N/A</v>
      </c>
      <c r="BC80" s="123">
        <v>1991</v>
      </c>
      <c r="BD80" s="134">
        <f t="shared" si="48"/>
        <v>3887</v>
      </c>
      <c r="BE80" s="138">
        <f t="shared" si="49"/>
        <v>4553.0998256016737</v>
      </c>
      <c r="BF80" s="480">
        <f t="shared" si="50"/>
        <v>666.09982560167373</v>
      </c>
      <c r="BG80" s="133">
        <f t="shared" si="51"/>
        <v>4240</v>
      </c>
      <c r="BH80" s="464">
        <f t="shared" si="52"/>
        <v>-353</v>
      </c>
      <c r="BI80" s="102"/>
    </row>
    <row r="81" spans="30:61">
      <c r="AD81" s="844">
        <v>1992</v>
      </c>
      <c r="AE81" s="133">
        <f t="shared" si="53"/>
        <v>3781.498622792381</v>
      </c>
      <c r="AF81" s="132">
        <f t="shared" si="53"/>
        <v>1183281</v>
      </c>
      <c r="AG81" s="140">
        <f>Y25</f>
        <v>84.3</v>
      </c>
      <c r="AH81" s="136">
        <v>0</v>
      </c>
      <c r="AI81" s="1069">
        <v>0</v>
      </c>
      <c r="AJ81" s="134">
        <f t="shared" si="46"/>
        <v>3905</v>
      </c>
      <c r="AK81" s="134">
        <f t="shared" si="47"/>
        <v>-123.50137720761904</v>
      </c>
      <c r="AP81" s="138">
        <f t="shared" si="45"/>
        <v>-771.60120280929277</v>
      </c>
      <c r="AS81" s="1378">
        <f>AS75/AS76</f>
        <v>-5.3928126955303437</v>
      </c>
      <c r="AT81" s="1378">
        <f t="shared" ref="AT81:AW81" si="54">AT75/AT76</f>
        <v>-5.4163278163495017</v>
      </c>
      <c r="AU81" s="1378">
        <f t="shared" si="54"/>
        <v>5.2793289368570369</v>
      </c>
      <c r="AV81" s="1378">
        <f t="shared" si="54"/>
        <v>34.693208045728788</v>
      </c>
      <c r="AW81" s="1378">
        <f t="shared" si="54"/>
        <v>-7.0291482332016759</v>
      </c>
      <c r="BC81" s="123">
        <v>1992</v>
      </c>
      <c r="BD81" s="134">
        <f t="shared" si="48"/>
        <v>4012</v>
      </c>
      <c r="BE81" s="138">
        <f t="shared" si="49"/>
        <v>3781.498622792381</v>
      </c>
      <c r="BF81" s="480">
        <f t="shared" si="50"/>
        <v>-230.50137720761904</v>
      </c>
      <c r="BG81" s="133">
        <f t="shared" si="51"/>
        <v>3905</v>
      </c>
      <c r="BH81" s="464">
        <f t="shared" si="52"/>
        <v>107</v>
      </c>
      <c r="BI81" s="102"/>
    </row>
    <row r="82" spans="30:61">
      <c r="AD82" s="845">
        <v>1994</v>
      </c>
      <c r="AE82" s="133">
        <f t="shared" ref="AE82:AE97" si="55">O27</f>
        <v>4475.6097547505906</v>
      </c>
      <c r="AF82" s="132">
        <f t="shared" ref="AF82:AF128" si="56">P27</f>
        <v>1245767</v>
      </c>
      <c r="AG82" s="140">
        <f t="shared" ref="AG82:AG101" si="57">Y27</f>
        <v>87.7</v>
      </c>
      <c r="AH82" s="136">
        <v>0</v>
      </c>
      <c r="AI82" s="1069">
        <v>0</v>
      </c>
      <c r="AJ82" s="134">
        <f t="shared" si="46"/>
        <v>4611</v>
      </c>
      <c r="AK82" s="134">
        <f t="shared" si="47"/>
        <v>-135.39024524940942</v>
      </c>
      <c r="AP82" s="138">
        <f t="shared" si="45"/>
        <v>694.11113195820963</v>
      </c>
      <c r="BC82" s="388">
        <v>1994</v>
      </c>
      <c r="BD82" s="134">
        <f t="shared" si="48"/>
        <v>4386</v>
      </c>
      <c r="BE82" s="138">
        <f t="shared" si="49"/>
        <v>4475.6097547505906</v>
      </c>
      <c r="BF82" s="480">
        <f t="shared" si="50"/>
        <v>89.609754750590582</v>
      </c>
      <c r="BG82" s="133">
        <f t="shared" si="51"/>
        <v>4611</v>
      </c>
      <c r="BH82" s="464">
        <f t="shared" si="52"/>
        <v>-225</v>
      </c>
      <c r="BI82" s="102"/>
    </row>
    <row r="83" spans="30:61">
      <c r="AD83" s="844">
        <v>1995</v>
      </c>
      <c r="AE83" s="133">
        <f t="shared" si="55"/>
        <v>4687.452250303716</v>
      </c>
      <c r="AF83" s="132">
        <f t="shared" si="56"/>
        <v>1270827</v>
      </c>
      <c r="AG83" s="140">
        <f t="shared" si="57"/>
        <v>87.1</v>
      </c>
      <c r="AH83" s="136">
        <v>0</v>
      </c>
      <c r="AI83" s="1069">
        <v>0</v>
      </c>
      <c r="AJ83" s="134">
        <f t="shared" si="46"/>
        <v>4702</v>
      </c>
      <c r="AK83" s="134">
        <f t="shared" si="47"/>
        <v>-14.547749696283972</v>
      </c>
      <c r="AP83" s="138">
        <f t="shared" si="45"/>
        <v>211.84249555312545</v>
      </c>
      <c r="BC83" s="123">
        <v>1995</v>
      </c>
      <c r="BD83" s="134">
        <f t="shared" si="48"/>
        <v>4536</v>
      </c>
      <c r="BE83" s="138">
        <f t="shared" si="49"/>
        <v>4687.452250303716</v>
      </c>
      <c r="BF83" s="480">
        <f t="shared" si="50"/>
        <v>151.45225030371603</v>
      </c>
      <c r="BG83" s="133">
        <f t="shared" si="51"/>
        <v>4702</v>
      </c>
      <c r="BH83" s="464">
        <f t="shared" si="52"/>
        <v>-166</v>
      </c>
      <c r="BI83" s="102"/>
    </row>
    <row r="84" spans="30:61">
      <c r="AD84" s="844">
        <v>1996</v>
      </c>
      <c r="AE84" s="133">
        <f t="shared" si="55"/>
        <v>4862.0584679155045</v>
      </c>
      <c r="AF84" s="132">
        <f t="shared" si="56"/>
        <v>1294332</v>
      </c>
      <c r="AG84" s="140">
        <f t="shared" si="57"/>
        <v>87.9</v>
      </c>
      <c r="AH84" s="136">
        <v>0</v>
      </c>
      <c r="AI84" s="1069">
        <v>0</v>
      </c>
      <c r="AJ84" s="134">
        <f t="shared" si="46"/>
        <v>4921</v>
      </c>
      <c r="AK84" s="134">
        <f t="shared" ref="AK84:AK91" si="58">AE84-AJ84</f>
        <v>-58.94153208449552</v>
      </c>
      <c r="AP84" s="138">
        <f t="shared" si="45"/>
        <v>174.60621761178845</v>
      </c>
      <c r="BC84" s="123">
        <v>1996</v>
      </c>
      <c r="BD84" s="134">
        <f t="shared" si="48"/>
        <v>4676</v>
      </c>
      <c r="BE84" s="138">
        <f t="shared" si="49"/>
        <v>4862.0584679155045</v>
      </c>
      <c r="BF84" s="480">
        <f t="shared" si="50"/>
        <v>186.05846791550448</v>
      </c>
      <c r="BG84" s="133">
        <f t="shared" si="51"/>
        <v>4921</v>
      </c>
      <c r="BH84" s="464">
        <f t="shared" si="52"/>
        <v>-245</v>
      </c>
      <c r="BI84" s="102"/>
    </row>
    <row r="85" spans="30:61">
      <c r="AD85" s="844">
        <v>1997</v>
      </c>
      <c r="AE85" s="133">
        <f t="shared" si="55"/>
        <v>4413.2365175219602</v>
      </c>
      <c r="AF85" s="132">
        <f t="shared" si="56"/>
        <v>1317095</v>
      </c>
      <c r="AG85" s="140">
        <f t="shared" si="57"/>
        <v>85.3</v>
      </c>
      <c r="AH85" s="136">
        <v>1</v>
      </c>
      <c r="AI85" s="1069">
        <v>0</v>
      </c>
      <c r="AJ85" s="134">
        <f t="shared" si="46"/>
        <v>4191</v>
      </c>
      <c r="AK85" s="134">
        <f t="shared" si="58"/>
        <v>222.2365175219602</v>
      </c>
      <c r="AP85" s="138">
        <f t="shared" si="45"/>
        <v>-448.82195039354428</v>
      </c>
      <c r="BC85" s="123">
        <v>1997</v>
      </c>
      <c r="BD85" s="134">
        <f t="shared" si="48"/>
        <v>4201</v>
      </c>
      <c r="BE85" s="138">
        <f t="shared" si="49"/>
        <v>4413.2365175219602</v>
      </c>
      <c r="BF85" s="480">
        <f t="shared" si="50"/>
        <v>212.2365175219602</v>
      </c>
      <c r="BG85" s="133">
        <f t="shared" si="51"/>
        <v>4191</v>
      </c>
      <c r="BH85" s="464">
        <f t="shared" si="52"/>
        <v>10</v>
      </c>
      <c r="BI85" s="102"/>
    </row>
    <row r="86" spans="30:61">
      <c r="AD86" s="844">
        <v>1998</v>
      </c>
      <c r="AE86" s="133">
        <f t="shared" si="55"/>
        <v>4835.7974178978857</v>
      </c>
      <c r="AF86" s="132">
        <f t="shared" si="56"/>
        <v>1339426</v>
      </c>
      <c r="AG86" s="140">
        <f t="shared" si="57"/>
        <v>84</v>
      </c>
      <c r="AH86" s="136">
        <v>0</v>
      </c>
      <c r="AI86" s="1069">
        <v>0</v>
      </c>
      <c r="AJ86" s="134">
        <f t="shared" si="46"/>
        <v>4808</v>
      </c>
      <c r="AK86" s="134">
        <f t="shared" si="58"/>
        <v>27.79741789788568</v>
      </c>
      <c r="AP86" s="138">
        <f t="shared" si="45"/>
        <v>422.56090037592548</v>
      </c>
      <c r="BC86" s="123">
        <v>1998</v>
      </c>
      <c r="BD86" s="134">
        <f t="shared" si="48"/>
        <v>4945</v>
      </c>
      <c r="BE86" s="138">
        <f t="shared" si="49"/>
        <v>4835.7974178978857</v>
      </c>
      <c r="BF86" s="480">
        <f t="shared" si="50"/>
        <v>-109.20258210211432</v>
      </c>
      <c r="BG86" s="133">
        <f t="shared" si="51"/>
        <v>4808</v>
      </c>
      <c r="BH86" s="464">
        <f t="shared" si="52"/>
        <v>137</v>
      </c>
      <c r="BI86" s="102"/>
    </row>
    <row r="87" spans="30:61">
      <c r="AD87" s="844">
        <v>1999</v>
      </c>
      <c r="AE87" s="133">
        <f t="shared" si="55"/>
        <v>5588.6102094905327</v>
      </c>
      <c r="AF87" s="132">
        <f t="shared" si="56"/>
        <v>1368451</v>
      </c>
      <c r="AG87" s="140">
        <f t="shared" si="57"/>
        <v>86.1</v>
      </c>
      <c r="AH87" s="136">
        <v>0</v>
      </c>
      <c r="AI87" s="1069">
        <v>0</v>
      </c>
      <c r="AJ87" s="134">
        <f t="shared" si="46"/>
        <v>5187</v>
      </c>
      <c r="AK87" s="134">
        <f t="shared" si="58"/>
        <v>401.61020949053272</v>
      </c>
      <c r="AP87" s="138">
        <f t="shared" si="45"/>
        <v>752.81279159264705</v>
      </c>
      <c r="BC87" s="123">
        <v>1999</v>
      </c>
      <c r="BD87" s="134">
        <f t="shared" si="48"/>
        <v>5119</v>
      </c>
      <c r="BE87" s="138">
        <f t="shared" si="49"/>
        <v>5588.6102094905327</v>
      </c>
      <c r="BF87" s="480">
        <f t="shared" si="50"/>
        <v>469.61020949053272</v>
      </c>
      <c r="BG87" s="133">
        <f t="shared" si="51"/>
        <v>5187</v>
      </c>
      <c r="BH87" s="464">
        <f t="shared" si="52"/>
        <v>-68</v>
      </c>
      <c r="BI87" s="102"/>
    </row>
    <row r="88" spans="30:61">
      <c r="AD88" s="844">
        <v>2000</v>
      </c>
      <c r="AE88" s="133">
        <f t="shared" si="55"/>
        <v>4912.25</v>
      </c>
      <c r="AF88" s="132">
        <f t="shared" si="56"/>
        <v>1402357</v>
      </c>
      <c r="AG88" s="140">
        <f t="shared" si="57"/>
        <v>81.7</v>
      </c>
      <c r="AH88" s="136">
        <v>0</v>
      </c>
      <c r="AI88" s="1069">
        <v>0</v>
      </c>
      <c r="AJ88" s="134">
        <f t="shared" si="46"/>
        <v>4959</v>
      </c>
      <c r="AK88" s="134">
        <f t="shared" si="58"/>
        <v>-46.75</v>
      </c>
      <c r="AP88" s="138">
        <f t="shared" si="45"/>
        <v>-676.36020949053272</v>
      </c>
      <c r="BC88" s="123">
        <v>2000</v>
      </c>
      <c r="BD88" s="134">
        <f t="shared" si="48"/>
        <v>5321</v>
      </c>
      <c r="BE88" s="138">
        <f t="shared" si="49"/>
        <v>4912.25</v>
      </c>
      <c r="BF88" s="480">
        <f t="shared" si="50"/>
        <v>-408.75</v>
      </c>
      <c r="BG88" s="133">
        <f t="shared" si="51"/>
        <v>4959</v>
      </c>
      <c r="BH88" s="464">
        <f t="shared" si="52"/>
        <v>362</v>
      </c>
      <c r="BI88" s="102"/>
    </row>
    <row r="89" spans="30:61">
      <c r="AD89" s="844">
        <v>2001</v>
      </c>
      <c r="AE89" s="133">
        <f t="shared" si="55"/>
        <v>5736.35</v>
      </c>
      <c r="AF89" s="132">
        <f t="shared" si="56"/>
        <v>1439173</v>
      </c>
      <c r="AG89" s="140">
        <f t="shared" si="57"/>
        <v>87</v>
      </c>
      <c r="AH89" s="136">
        <v>0</v>
      </c>
      <c r="AI89" s="1069">
        <v>0</v>
      </c>
      <c r="AJ89" s="134">
        <f t="shared" si="46"/>
        <v>5698</v>
      </c>
      <c r="AK89" s="134">
        <f t="shared" si="58"/>
        <v>38.350000000000364</v>
      </c>
      <c r="AP89" s="138">
        <f t="shared" si="45"/>
        <v>824.10000000000036</v>
      </c>
      <c r="BC89" s="123">
        <v>2001</v>
      </c>
      <c r="BD89" s="134">
        <f t="shared" si="48"/>
        <v>5541</v>
      </c>
      <c r="BE89" s="138">
        <f t="shared" si="49"/>
        <v>5736.35</v>
      </c>
      <c r="BF89" s="480">
        <f t="shared" si="50"/>
        <v>195.35000000000036</v>
      </c>
      <c r="BG89" s="133">
        <f t="shared" si="51"/>
        <v>5698</v>
      </c>
      <c r="BH89" s="464">
        <f t="shared" si="52"/>
        <v>-157</v>
      </c>
      <c r="BI89" s="102"/>
    </row>
    <row r="90" spans="30:61">
      <c r="AD90" s="844">
        <v>2002</v>
      </c>
      <c r="AE90" s="133">
        <f t="shared" si="55"/>
        <v>6193.4</v>
      </c>
      <c r="AF90" s="132">
        <f t="shared" si="56"/>
        <v>1468056</v>
      </c>
      <c r="AG90" s="140">
        <f t="shared" si="57"/>
        <v>87.3</v>
      </c>
      <c r="AH90" s="136">
        <v>0</v>
      </c>
      <c r="AI90" s="1069">
        <v>0</v>
      </c>
      <c r="AJ90" s="134">
        <f t="shared" si="46"/>
        <v>5900</v>
      </c>
      <c r="AK90" s="134">
        <f t="shared" si="58"/>
        <v>293.39999999999964</v>
      </c>
      <c r="AP90" s="138">
        <f t="shared" si="45"/>
        <v>457.04999999999927</v>
      </c>
      <c r="BC90" s="123">
        <v>2002</v>
      </c>
      <c r="BD90" s="134">
        <f t="shared" si="48"/>
        <v>5714</v>
      </c>
      <c r="BE90" s="138">
        <f t="shared" si="49"/>
        <v>6193.4</v>
      </c>
      <c r="BF90" s="480">
        <f t="shared" si="50"/>
        <v>479.39999999999964</v>
      </c>
      <c r="BG90" s="133">
        <f t="shared" si="51"/>
        <v>5900</v>
      </c>
      <c r="BH90" s="464">
        <f t="shared" si="52"/>
        <v>-186</v>
      </c>
      <c r="BI90" s="102"/>
    </row>
    <row r="91" spans="30:61">
      <c r="AD91" s="844">
        <v>2003</v>
      </c>
      <c r="AE91" s="133">
        <f t="shared" si="55"/>
        <v>6192.3</v>
      </c>
      <c r="AF91" s="132">
        <f t="shared" si="56"/>
        <v>1505532</v>
      </c>
      <c r="AG91" s="140">
        <f t="shared" si="57"/>
        <v>85.3</v>
      </c>
      <c r="AH91" s="136">
        <v>0</v>
      </c>
      <c r="AI91" s="1069">
        <v>0</v>
      </c>
      <c r="AJ91" s="134">
        <f t="shared" si="46"/>
        <v>5928</v>
      </c>
      <c r="AK91" s="134">
        <f t="shared" si="58"/>
        <v>264.30000000000018</v>
      </c>
      <c r="AL91" s="474"/>
      <c r="AM91" s="134"/>
      <c r="AN91" s="134"/>
      <c r="AO91" s="138"/>
      <c r="AP91" s="138">
        <f t="shared" ref="AP91:AP99" si="59">AE91-AE90</f>
        <v>-1.0999999999994543</v>
      </c>
      <c r="BC91" s="123">
        <v>2003</v>
      </c>
      <c r="BD91" s="134">
        <f t="shared" si="48"/>
        <v>5938</v>
      </c>
      <c r="BE91" s="138">
        <f t="shared" si="49"/>
        <v>6192.3</v>
      </c>
      <c r="BF91" s="480">
        <f t="shared" si="50"/>
        <v>254.30000000000018</v>
      </c>
      <c r="BG91" s="133">
        <f t="shared" si="51"/>
        <v>5928</v>
      </c>
      <c r="BH91" s="464">
        <f t="shared" si="52"/>
        <v>10</v>
      </c>
      <c r="BI91" s="102"/>
    </row>
    <row r="92" spans="30:61">
      <c r="AD92" s="844">
        <v>2004</v>
      </c>
      <c r="AE92" s="133">
        <f t="shared" si="55"/>
        <v>5843.1</v>
      </c>
      <c r="AF92" s="132">
        <f t="shared" si="56"/>
        <v>1540555</v>
      </c>
      <c r="AG92" s="140">
        <f t="shared" si="57"/>
        <v>83.3</v>
      </c>
      <c r="AH92" s="1069">
        <v>0</v>
      </c>
      <c r="AI92" s="1069">
        <v>0</v>
      </c>
      <c r="AJ92" s="134">
        <f t="shared" si="46"/>
        <v>5942</v>
      </c>
      <c r="AK92" s="134">
        <f t="shared" ref="AK92:AK97" si="60">AE92-AJ92</f>
        <v>-98.899999999999636</v>
      </c>
      <c r="AL92" s="569"/>
      <c r="AM92" s="581"/>
      <c r="AN92" s="134"/>
      <c r="AO92" s="138"/>
      <c r="AP92" s="138">
        <f t="shared" si="59"/>
        <v>-349.19999999999982</v>
      </c>
      <c r="AZ92" s="123"/>
      <c r="BC92" s="123">
        <v>2004</v>
      </c>
      <c r="BD92" s="134">
        <f t="shared" si="48"/>
        <v>6147</v>
      </c>
      <c r="BE92" s="138">
        <f t="shared" si="49"/>
        <v>5843.1</v>
      </c>
      <c r="BF92" s="480">
        <f t="shared" si="50"/>
        <v>-303.89999999999964</v>
      </c>
      <c r="BG92" s="133">
        <f t="shared" si="51"/>
        <v>5942</v>
      </c>
      <c r="BH92" s="464">
        <f t="shared" si="52"/>
        <v>205</v>
      </c>
      <c r="BI92" s="102"/>
    </row>
    <row r="93" spans="30:61">
      <c r="AD93" s="844">
        <v>2005</v>
      </c>
      <c r="AE93" s="133">
        <f t="shared" si="55"/>
        <v>5832.2</v>
      </c>
      <c r="AF93" s="132">
        <f t="shared" si="56"/>
        <v>1575300</v>
      </c>
      <c r="AG93" s="140">
        <f t="shared" si="57"/>
        <v>81.400000000000006</v>
      </c>
      <c r="AH93" s="1069">
        <v>0</v>
      </c>
      <c r="AI93" s="1069">
        <v>0</v>
      </c>
      <c r="AJ93" s="134">
        <f t="shared" si="46"/>
        <v>5963</v>
      </c>
      <c r="AK93" s="134">
        <f t="shared" si="60"/>
        <v>-130.80000000000018</v>
      </c>
      <c r="AL93" s="569"/>
      <c r="AM93" s="581"/>
      <c r="AN93" s="134"/>
      <c r="AO93" s="138"/>
      <c r="AP93" s="138">
        <f t="shared" si="59"/>
        <v>-10.900000000000546</v>
      </c>
      <c r="AZ93" s="123"/>
      <c r="BC93" s="123">
        <v>2005</v>
      </c>
      <c r="BD93" s="134">
        <f t="shared" si="48"/>
        <v>6355</v>
      </c>
      <c r="BE93" s="138">
        <f t="shared" si="49"/>
        <v>5832.2</v>
      </c>
      <c r="BF93" s="480">
        <f t="shared" si="50"/>
        <v>-522.80000000000018</v>
      </c>
      <c r="BG93" s="133">
        <f t="shared" si="51"/>
        <v>5963</v>
      </c>
      <c r="BH93" s="464">
        <f t="shared" si="52"/>
        <v>392</v>
      </c>
    </row>
    <row r="94" spans="30:61">
      <c r="AD94" s="844">
        <v>2006</v>
      </c>
      <c r="AE94" s="133">
        <f t="shared" si="55"/>
        <v>6749.5</v>
      </c>
      <c r="AF94" s="132">
        <f t="shared" si="56"/>
        <v>1607083</v>
      </c>
      <c r="AG94" s="140">
        <f t="shared" si="57"/>
        <v>88.4</v>
      </c>
      <c r="AH94" s="1069">
        <v>0</v>
      </c>
      <c r="AI94" s="1069">
        <v>0</v>
      </c>
      <c r="AJ94" s="134">
        <f t="shared" si="46"/>
        <v>6838</v>
      </c>
      <c r="AK94" s="134">
        <f t="shared" si="60"/>
        <v>-88.5</v>
      </c>
      <c r="AL94" s="569"/>
      <c r="AM94" s="581"/>
      <c r="AN94" s="134"/>
      <c r="AO94" s="138"/>
      <c r="AP94" s="138">
        <f t="shared" si="59"/>
        <v>917.30000000000018</v>
      </c>
      <c r="AZ94" s="123"/>
      <c r="BC94" s="123">
        <v>2006</v>
      </c>
      <c r="BD94" s="134">
        <f t="shared" si="48"/>
        <v>6545</v>
      </c>
      <c r="BE94" s="138">
        <f t="shared" si="49"/>
        <v>6749.5</v>
      </c>
      <c r="BF94" s="480">
        <f t="shared" si="50"/>
        <v>204.5</v>
      </c>
      <c r="BG94" s="133">
        <f t="shared" si="51"/>
        <v>6838</v>
      </c>
      <c r="BH94" s="464">
        <f t="shared" si="52"/>
        <v>-293</v>
      </c>
    </row>
    <row r="95" spans="30:61">
      <c r="AD95" s="844">
        <v>2007</v>
      </c>
      <c r="AE95" s="133">
        <f t="shared" si="55"/>
        <v>6208</v>
      </c>
      <c r="AF95" s="132">
        <f t="shared" si="56"/>
        <v>1635775</v>
      </c>
      <c r="AG95" s="140">
        <f t="shared" si="57"/>
        <v>86.3</v>
      </c>
      <c r="AH95" s="1069">
        <v>0</v>
      </c>
      <c r="AI95" s="1069">
        <v>1</v>
      </c>
      <c r="AJ95" s="134">
        <f t="shared" si="46"/>
        <v>6113</v>
      </c>
      <c r="AK95" s="134">
        <f t="shared" si="60"/>
        <v>95</v>
      </c>
      <c r="AL95" s="569"/>
      <c r="AM95" s="581"/>
      <c r="AN95" s="134"/>
      <c r="AO95" s="138"/>
      <c r="AP95" s="138">
        <f t="shared" si="59"/>
        <v>-541.5</v>
      </c>
      <c r="AZ95" s="123"/>
      <c r="BC95" s="123">
        <v>2007</v>
      </c>
      <c r="BD95" s="134">
        <f t="shared" si="48"/>
        <v>6025</v>
      </c>
      <c r="BE95" s="138">
        <f t="shared" si="49"/>
        <v>6208</v>
      </c>
      <c r="BF95" s="480">
        <f t="shared" si="50"/>
        <v>183</v>
      </c>
      <c r="BG95" s="133">
        <f t="shared" si="51"/>
        <v>6113</v>
      </c>
      <c r="BH95" s="464">
        <f t="shared" si="52"/>
        <v>-88</v>
      </c>
    </row>
    <row r="96" spans="30:61">
      <c r="AD96" s="844">
        <v>2008</v>
      </c>
      <c r="AE96" s="133">
        <f t="shared" si="55"/>
        <v>5879</v>
      </c>
      <c r="AF96" s="132">
        <f t="shared" si="56"/>
        <v>1638638</v>
      </c>
      <c r="AG96" s="140">
        <f t="shared" si="57"/>
        <v>83</v>
      </c>
      <c r="AH96" s="1069">
        <v>0</v>
      </c>
      <c r="AI96" s="1069">
        <v>1</v>
      </c>
      <c r="AJ96" s="134">
        <f t="shared" si="46"/>
        <v>5807</v>
      </c>
      <c r="AK96" s="134">
        <f t="shared" si="60"/>
        <v>72</v>
      </c>
      <c r="AL96" s="569"/>
      <c r="AM96" s="581"/>
      <c r="AN96" s="134"/>
      <c r="AO96" s="138"/>
      <c r="AP96" s="138">
        <f t="shared" si="59"/>
        <v>-329</v>
      </c>
      <c r="AZ96" s="123"/>
      <c r="BC96" s="123">
        <v>2008</v>
      </c>
      <c r="BD96" s="134">
        <f t="shared" si="48"/>
        <v>6042</v>
      </c>
      <c r="BE96" s="138">
        <f>AE96</f>
        <v>5879</v>
      </c>
      <c r="BF96" s="480">
        <f>BE96-BD96</f>
        <v>-163</v>
      </c>
      <c r="BG96" s="133">
        <f>AJ96</f>
        <v>5807</v>
      </c>
      <c r="BH96" s="464">
        <f>BD96-BG96</f>
        <v>235</v>
      </c>
    </row>
    <row r="97" spans="30:60">
      <c r="AD97" s="844">
        <v>2009</v>
      </c>
      <c r="AE97" s="133">
        <f t="shared" si="55"/>
        <v>5728</v>
      </c>
      <c r="AF97" s="132">
        <f t="shared" si="56"/>
        <v>1630363</v>
      </c>
      <c r="AG97" s="140">
        <f t="shared" si="57"/>
        <v>84.3</v>
      </c>
      <c r="AH97" s="1069">
        <v>0</v>
      </c>
      <c r="AI97" s="1069">
        <v>1</v>
      </c>
      <c r="AJ97" s="134">
        <f t="shared" si="46"/>
        <v>5885</v>
      </c>
      <c r="AK97" s="134">
        <f t="shared" si="60"/>
        <v>-157</v>
      </c>
      <c r="AL97" s="569"/>
      <c r="AM97" s="581"/>
      <c r="AN97" s="134"/>
      <c r="AO97" s="138"/>
      <c r="AP97" s="138">
        <f t="shared" si="59"/>
        <v>-151</v>
      </c>
      <c r="AZ97" s="123"/>
      <c r="BC97" s="123">
        <v>2009</v>
      </c>
      <c r="BD97" s="134">
        <f t="shared" si="48"/>
        <v>5992</v>
      </c>
      <c r="BE97" s="138">
        <f>AE97</f>
        <v>5728</v>
      </c>
      <c r="BF97" s="480">
        <f>BE97-BD97</f>
        <v>-264</v>
      </c>
      <c r="BG97" s="133">
        <f>AJ97</f>
        <v>5885</v>
      </c>
      <c r="BH97" s="464">
        <f>BD97-BG97</f>
        <v>107</v>
      </c>
    </row>
    <row r="98" spans="30:60">
      <c r="AD98" s="844">
        <v>2010</v>
      </c>
      <c r="AE98" s="133">
        <f>O43</f>
        <v>5352</v>
      </c>
      <c r="AF98" s="132">
        <f t="shared" si="56"/>
        <v>1633207</v>
      </c>
      <c r="AG98" s="140">
        <f t="shared" si="57"/>
        <v>83.3</v>
      </c>
      <c r="AH98" s="1069">
        <v>1</v>
      </c>
      <c r="AI98" s="1069">
        <v>0.75</v>
      </c>
      <c r="AJ98" s="134">
        <f t="shared" si="46"/>
        <v>5366</v>
      </c>
      <c r="AK98" s="134">
        <f>AE98-AJ98</f>
        <v>-14</v>
      </c>
      <c r="AL98" s="569"/>
      <c r="AM98" s="581"/>
      <c r="AN98" s="134"/>
      <c r="AO98" s="138"/>
      <c r="AP98" s="138">
        <f t="shared" si="59"/>
        <v>-376</v>
      </c>
      <c r="AZ98" s="123"/>
      <c r="BC98" s="123">
        <v>2010</v>
      </c>
      <c r="BD98" s="134">
        <f t="shared" si="48"/>
        <v>5571</v>
      </c>
      <c r="BE98" s="138">
        <f>AE98</f>
        <v>5352</v>
      </c>
      <c r="BF98" s="480">
        <f>BE98-BD98</f>
        <v>-219</v>
      </c>
      <c r="BG98" s="133">
        <f>AJ98</f>
        <v>5366</v>
      </c>
      <c r="BH98" s="464">
        <f>BD98-BG98</f>
        <v>205</v>
      </c>
    </row>
    <row r="99" spans="30:60">
      <c r="AD99" s="844">
        <v>2011</v>
      </c>
      <c r="AE99" s="133">
        <f>O44</f>
        <v>7001</v>
      </c>
      <c r="AF99" s="132">
        <f t="shared" si="56"/>
        <v>1641165</v>
      </c>
      <c r="AG99" s="140">
        <f t="shared" si="57"/>
        <v>89.5</v>
      </c>
      <c r="AH99" s="1069">
        <v>0</v>
      </c>
      <c r="AI99" s="1069">
        <v>0</v>
      </c>
      <c r="AJ99" s="134">
        <f t="shared" si="46"/>
        <v>7149</v>
      </c>
      <c r="AK99" s="134">
        <f>AE99-AJ99</f>
        <v>-148</v>
      </c>
      <c r="AL99" s="569"/>
      <c r="AM99" s="577"/>
      <c r="AN99" s="134"/>
      <c r="AO99" s="138"/>
      <c r="AP99" s="138">
        <f t="shared" si="59"/>
        <v>1649</v>
      </c>
      <c r="AZ99" s="123"/>
      <c r="BC99" s="123">
        <v>2011</v>
      </c>
      <c r="BD99" s="134">
        <f t="shared" si="48"/>
        <v>6748</v>
      </c>
      <c r="BE99" s="138">
        <f t="shared" ref="BE99:BE100" si="61">AE99</f>
        <v>7001</v>
      </c>
      <c r="BF99" s="480">
        <f t="shared" ref="BF99:BF100" si="62">BE99-BD99</f>
        <v>253</v>
      </c>
      <c r="BG99" s="133">
        <f t="shared" ref="BG99:BG100" si="63">AJ99</f>
        <v>7149</v>
      </c>
      <c r="BH99" s="464">
        <f t="shared" ref="BH99:BH100" si="64">BD99-BG99</f>
        <v>-401</v>
      </c>
    </row>
    <row r="100" spans="30:60">
      <c r="AD100" s="844">
        <v>2012</v>
      </c>
      <c r="AE100" s="133">
        <f t="shared" ref="AE100:AE101" si="65">O45</f>
        <v>6233</v>
      </c>
      <c r="AF100" s="132">
        <f t="shared" si="56"/>
        <v>1653353</v>
      </c>
      <c r="AG100" s="140">
        <f t="shared" si="57"/>
        <v>86.1</v>
      </c>
      <c r="AH100" s="1069">
        <v>1</v>
      </c>
      <c r="AI100" s="1069">
        <v>0</v>
      </c>
      <c r="AJ100" s="134">
        <f t="shared" si="46"/>
        <v>6279</v>
      </c>
      <c r="AK100" s="134">
        <f t="shared" ref="AK100:AK101" si="66">AE100-AJ100</f>
        <v>-46</v>
      </c>
      <c r="AL100" s="569"/>
      <c r="AM100" s="577"/>
      <c r="AN100" s="134"/>
      <c r="AO100" s="138"/>
      <c r="AP100" s="138">
        <f>AM100-AE99</f>
        <v>-7001</v>
      </c>
      <c r="BC100" s="123">
        <v>2012</v>
      </c>
      <c r="BD100" s="134">
        <f t="shared" si="48"/>
        <v>6210</v>
      </c>
      <c r="BE100" s="138">
        <f t="shared" si="61"/>
        <v>6233</v>
      </c>
      <c r="BF100" s="480">
        <f t="shared" si="62"/>
        <v>23</v>
      </c>
      <c r="BG100" s="133">
        <f t="shared" si="63"/>
        <v>6279</v>
      </c>
      <c r="BH100" s="464">
        <f t="shared" si="64"/>
        <v>-69</v>
      </c>
    </row>
    <row r="101" spans="30:60">
      <c r="AD101" s="844">
        <v>2013</v>
      </c>
      <c r="AE101" s="133">
        <f t="shared" si="65"/>
        <v>6146</v>
      </c>
      <c r="AF101" s="132">
        <f t="shared" si="56"/>
        <v>1668142</v>
      </c>
      <c r="AG101" s="140">
        <f t="shared" si="57"/>
        <v>85.5</v>
      </c>
      <c r="AH101" s="1069">
        <v>1</v>
      </c>
      <c r="AI101" s="1069">
        <v>0</v>
      </c>
      <c r="AJ101" s="134">
        <f t="shared" si="46"/>
        <v>6308</v>
      </c>
      <c r="AK101" s="134">
        <f t="shared" si="66"/>
        <v>-162</v>
      </c>
      <c r="AL101" s="569"/>
      <c r="AM101" s="577"/>
      <c r="AN101" s="134"/>
      <c r="AO101" s="138"/>
      <c r="AP101" s="138">
        <f t="shared" ref="AP101:AP113" si="67">AM101-AM100</f>
        <v>0</v>
      </c>
      <c r="BC101" s="123">
        <v>2013</v>
      </c>
      <c r="BD101" s="134">
        <f t="shared" si="48"/>
        <v>6299</v>
      </c>
      <c r="BE101" s="138">
        <f t="shared" ref="BE101" si="68">AE101</f>
        <v>6146</v>
      </c>
      <c r="BF101" s="480">
        <f t="shared" ref="BF101" si="69">BE101-BD101</f>
        <v>-153</v>
      </c>
      <c r="BG101" s="133">
        <f t="shared" ref="BG101" si="70">AJ101</f>
        <v>6308</v>
      </c>
      <c r="BH101" s="464">
        <f t="shared" ref="BH101" si="71">BD101-BG101</f>
        <v>-9</v>
      </c>
    </row>
    <row r="102" spans="30:60">
      <c r="AD102" s="123">
        <v>2014</v>
      </c>
      <c r="AF102" s="132">
        <f t="shared" si="56"/>
        <v>1685920.25777379</v>
      </c>
      <c r="AG102" s="375">
        <f t="shared" ref="AG102:AG128" si="72">$Y$74</f>
        <v>85.4</v>
      </c>
      <c r="AH102" s="1326">
        <v>0.8</v>
      </c>
      <c r="AI102" s="1069">
        <v>0</v>
      </c>
      <c r="AL102" s="469">
        <v>25</v>
      </c>
      <c r="AM102" s="577">
        <f>ROUND($AW$75+$AV$75*$AF102+$AU$75*$AG102+$AT$75*$AH102+$AS$75*$AI102,0)-AL102</f>
        <v>6502</v>
      </c>
      <c r="AN102" s="134">
        <f>[11]Apr!$AM102</f>
        <v>7500</v>
      </c>
      <c r="AO102" s="138">
        <f t="shared" ref="AO102:AO118" si="73">AM102-AN102</f>
        <v>-998</v>
      </c>
      <c r="AP102" s="138">
        <f t="shared" si="67"/>
        <v>6502</v>
      </c>
    </row>
    <row r="103" spans="30:60">
      <c r="AD103" s="123">
        <v>2015</v>
      </c>
      <c r="AF103" s="132">
        <f t="shared" si="56"/>
        <v>1711782.68934495</v>
      </c>
      <c r="AG103" s="375">
        <f t="shared" si="72"/>
        <v>85.4</v>
      </c>
      <c r="AH103" s="1326">
        <v>0.6</v>
      </c>
      <c r="AI103" s="1069">
        <v>0</v>
      </c>
      <c r="AL103" s="469">
        <v>25</v>
      </c>
      <c r="AM103" s="577">
        <f t="shared" ref="AM103:AM118" si="74">ROUND($AW$75+$AV$75*$AF103+$AU$75*$AG103+$AT$75*$AH103+$AS$75*$AI103,0)-AL103</f>
        <v>6779</v>
      </c>
      <c r="AN103" s="134">
        <f>[11]Apr!$AM103</f>
        <v>7677</v>
      </c>
      <c r="AO103" s="138">
        <f t="shared" si="73"/>
        <v>-898</v>
      </c>
      <c r="AP103" s="138">
        <f t="shared" si="67"/>
        <v>277</v>
      </c>
    </row>
    <row r="104" spans="30:60">
      <c r="AD104" s="123">
        <v>2016</v>
      </c>
      <c r="AF104" s="132">
        <f t="shared" si="56"/>
        <v>1738250.27510297</v>
      </c>
      <c r="AG104" s="375">
        <f t="shared" si="72"/>
        <v>85.4</v>
      </c>
      <c r="AH104" s="1326">
        <v>0.4</v>
      </c>
      <c r="AI104" s="1069">
        <v>0</v>
      </c>
      <c r="AL104" s="469">
        <v>25</v>
      </c>
      <c r="AM104" s="577">
        <f t="shared" si="74"/>
        <v>7059</v>
      </c>
      <c r="AN104" s="134">
        <f>[11]Apr!$AM104</f>
        <v>7850</v>
      </c>
      <c r="AO104" s="138">
        <f t="shared" si="73"/>
        <v>-791</v>
      </c>
      <c r="AP104" s="138">
        <f t="shared" si="67"/>
        <v>280</v>
      </c>
    </row>
    <row r="105" spans="30:60">
      <c r="AD105" s="123">
        <v>2017</v>
      </c>
      <c r="AF105" s="132">
        <f t="shared" si="56"/>
        <v>1764849.63193587</v>
      </c>
      <c r="AG105" s="375">
        <f t="shared" si="72"/>
        <v>85.4</v>
      </c>
      <c r="AH105" s="1326">
        <v>0.2</v>
      </c>
      <c r="AI105" s="1069">
        <v>0</v>
      </c>
      <c r="AL105" s="469">
        <v>25</v>
      </c>
      <c r="AM105" s="577">
        <f t="shared" si="74"/>
        <v>7340</v>
      </c>
      <c r="AN105" s="134">
        <f>[11]Apr!$AM105</f>
        <v>8028</v>
      </c>
      <c r="AO105" s="138">
        <f t="shared" si="73"/>
        <v>-688</v>
      </c>
      <c r="AP105" s="138">
        <f t="shared" si="67"/>
        <v>281</v>
      </c>
    </row>
    <row r="106" spans="30:60">
      <c r="AD106" s="123">
        <v>2018</v>
      </c>
      <c r="AF106" s="132">
        <f t="shared" si="56"/>
        <v>1790598.4117912899</v>
      </c>
      <c r="AG106" s="375">
        <f t="shared" si="72"/>
        <v>85.4</v>
      </c>
      <c r="AH106" s="1069">
        <v>0</v>
      </c>
      <c r="AI106" s="1069">
        <v>0</v>
      </c>
      <c r="AL106" s="469">
        <v>25</v>
      </c>
      <c r="AM106" s="577">
        <f t="shared" si="74"/>
        <v>7616</v>
      </c>
      <c r="AN106" s="134">
        <f>[11]Apr!$AM106</f>
        <v>8210</v>
      </c>
      <c r="AO106" s="138">
        <f t="shared" si="73"/>
        <v>-594</v>
      </c>
      <c r="AP106" s="138">
        <f t="shared" si="67"/>
        <v>276</v>
      </c>
    </row>
    <row r="107" spans="30:60">
      <c r="AD107" s="123">
        <v>2019</v>
      </c>
      <c r="AF107" s="132">
        <f t="shared" si="56"/>
        <v>1814775.8868969099</v>
      </c>
      <c r="AG107" s="375">
        <f t="shared" si="72"/>
        <v>85.4</v>
      </c>
      <c r="AH107" s="1069">
        <v>0</v>
      </c>
      <c r="AI107" s="1069">
        <v>0</v>
      </c>
      <c r="AL107" s="469">
        <v>25</v>
      </c>
      <c r="AM107" s="577">
        <f t="shared" si="74"/>
        <v>7761</v>
      </c>
      <c r="AN107" s="134">
        <f>[11]Apr!$AM107</f>
        <v>8395</v>
      </c>
      <c r="AO107" s="138">
        <f t="shared" si="73"/>
        <v>-634</v>
      </c>
      <c r="AP107" s="138">
        <f t="shared" si="67"/>
        <v>145</v>
      </c>
    </row>
    <row r="108" spans="30:60">
      <c r="AD108" s="123">
        <v>2020</v>
      </c>
      <c r="AF108" s="132">
        <f t="shared" si="56"/>
        <v>1838371.18217368</v>
      </c>
      <c r="AG108" s="375">
        <f t="shared" si="72"/>
        <v>85.4</v>
      </c>
      <c r="AH108" s="1069">
        <v>0</v>
      </c>
      <c r="AI108" s="1069">
        <v>0</v>
      </c>
      <c r="AL108" s="469">
        <v>25</v>
      </c>
      <c r="AM108" s="577">
        <f t="shared" si="74"/>
        <v>7901</v>
      </c>
      <c r="AN108" s="134">
        <f>[11]Apr!$AM108</f>
        <v>8579</v>
      </c>
      <c r="AO108" s="138">
        <f t="shared" si="73"/>
        <v>-678</v>
      </c>
      <c r="AP108" s="138">
        <f t="shared" si="67"/>
        <v>140</v>
      </c>
    </row>
    <row r="109" spans="30:60">
      <c r="AD109" s="123">
        <v>2021</v>
      </c>
      <c r="AF109" s="132">
        <f t="shared" si="56"/>
        <v>1861191.15202482</v>
      </c>
      <c r="AG109" s="375">
        <f t="shared" si="72"/>
        <v>85.4</v>
      </c>
      <c r="AH109" s="1069">
        <v>0</v>
      </c>
      <c r="AI109" s="1069">
        <v>0</v>
      </c>
      <c r="AL109" s="469">
        <v>25</v>
      </c>
      <c r="AM109" s="577">
        <f t="shared" si="74"/>
        <v>8038</v>
      </c>
      <c r="AN109" s="134">
        <f>[11]Apr!$AM109</f>
        <v>8760</v>
      </c>
      <c r="AO109" s="138">
        <f t="shared" si="73"/>
        <v>-722</v>
      </c>
      <c r="AP109" s="138">
        <f t="shared" si="67"/>
        <v>137</v>
      </c>
    </row>
    <row r="110" spans="30:60">
      <c r="AD110" s="123">
        <v>2022</v>
      </c>
      <c r="AF110" s="132">
        <f t="shared" si="56"/>
        <v>1883454.0888992299</v>
      </c>
      <c r="AG110" s="375">
        <f t="shared" si="72"/>
        <v>85.4</v>
      </c>
      <c r="AH110" s="1069">
        <v>0</v>
      </c>
      <c r="AI110" s="1069">
        <v>0</v>
      </c>
      <c r="AL110" s="469">
        <v>25</v>
      </c>
      <c r="AM110" s="577">
        <f t="shared" si="74"/>
        <v>8171</v>
      </c>
      <c r="AN110" s="134">
        <f>[11]Apr!$AM110</f>
        <v>8939</v>
      </c>
      <c r="AO110" s="138">
        <f t="shared" si="73"/>
        <v>-768</v>
      </c>
      <c r="AP110" s="138">
        <f t="shared" si="67"/>
        <v>133</v>
      </c>
    </row>
    <row r="111" spans="30:60">
      <c r="AD111" s="123">
        <v>2023</v>
      </c>
      <c r="AF111" s="132">
        <f t="shared" si="56"/>
        <v>1904419.5766956799</v>
      </c>
      <c r="AG111" s="375">
        <f t="shared" si="72"/>
        <v>85.4</v>
      </c>
      <c r="AH111" s="1069">
        <v>0</v>
      </c>
      <c r="AI111" s="1069">
        <v>0</v>
      </c>
      <c r="AL111" s="469">
        <v>25</v>
      </c>
      <c r="AM111" s="577">
        <f t="shared" si="74"/>
        <v>8296</v>
      </c>
      <c r="AN111" s="134">
        <f>[11]Apr!$AM111</f>
        <v>9115</v>
      </c>
      <c r="AO111" s="138">
        <f t="shared" si="73"/>
        <v>-819</v>
      </c>
      <c r="AP111" s="138">
        <f t="shared" si="67"/>
        <v>125</v>
      </c>
    </row>
    <row r="112" spans="30:60">
      <c r="AD112" s="123">
        <v>2024</v>
      </c>
      <c r="AF112" s="132">
        <f t="shared" si="56"/>
        <v>1924682.3736728199</v>
      </c>
      <c r="AG112" s="375">
        <f t="shared" si="72"/>
        <v>85.4</v>
      </c>
      <c r="AH112" s="1069">
        <v>0</v>
      </c>
      <c r="AI112" s="1069">
        <v>0</v>
      </c>
      <c r="AL112" s="469">
        <v>25</v>
      </c>
      <c r="AM112" s="577">
        <f t="shared" si="74"/>
        <v>8417</v>
      </c>
      <c r="AN112" s="134">
        <f>[11]Apr!$AM112</f>
        <v>9288</v>
      </c>
      <c r="AO112" s="138">
        <f t="shared" si="73"/>
        <v>-871</v>
      </c>
      <c r="AP112" s="138">
        <f t="shared" si="67"/>
        <v>121</v>
      </c>
    </row>
    <row r="113" spans="30:42">
      <c r="AD113" s="123">
        <v>2025</v>
      </c>
      <c r="AF113" s="132">
        <f t="shared" si="56"/>
        <v>1944114.18986615</v>
      </c>
      <c r="AG113" s="375">
        <f t="shared" si="72"/>
        <v>85.4</v>
      </c>
      <c r="AH113" s="1069">
        <v>0</v>
      </c>
      <c r="AI113" s="1069">
        <v>0</v>
      </c>
      <c r="AL113" s="469">
        <v>25</v>
      </c>
      <c r="AM113" s="577">
        <f t="shared" si="74"/>
        <v>8533</v>
      </c>
      <c r="AN113" s="134">
        <f>[11]Apr!$AM113</f>
        <v>9461</v>
      </c>
      <c r="AO113" s="138">
        <f t="shared" si="73"/>
        <v>-928</v>
      </c>
      <c r="AP113" s="138">
        <f t="shared" si="67"/>
        <v>116</v>
      </c>
    </row>
    <row r="114" spans="30:42">
      <c r="AD114" s="123">
        <v>2026</v>
      </c>
      <c r="AF114" s="132">
        <f t="shared" si="56"/>
        <v>1962559.7871304201</v>
      </c>
      <c r="AG114" s="375">
        <f t="shared" si="72"/>
        <v>85.4</v>
      </c>
      <c r="AH114" s="1069">
        <v>0</v>
      </c>
      <c r="AI114" s="1069">
        <v>0</v>
      </c>
      <c r="AL114" s="469">
        <v>25</v>
      </c>
      <c r="AM114" s="577">
        <f t="shared" si="74"/>
        <v>8643</v>
      </c>
      <c r="AN114" s="134">
        <f>[11]Apr!$AM114</f>
        <v>9632</v>
      </c>
      <c r="AO114" s="138">
        <f t="shared" si="73"/>
        <v>-989</v>
      </c>
      <c r="AP114" s="138">
        <f>AM114-AM113</f>
        <v>110</v>
      </c>
    </row>
    <row r="115" spans="30:42">
      <c r="AD115" s="123">
        <v>2027</v>
      </c>
      <c r="AF115" s="132">
        <f t="shared" si="56"/>
        <v>1980481.80820567</v>
      </c>
      <c r="AG115" s="375">
        <f t="shared" si="72"/>
        <v>85.4</v>
      </c>
      <c r="AH115" s="1069">
        <v>0</v>
      </c>
      <c r="AI115" s="1069">
        <v>0</v>
      </c>
      <c r="AL115" s="469">
        <v>25</v>
      </c>
      <c r="AM115" s="577">
        <f t="shared" si="74"/>
        <v>8751</v>
      </c>
      <c r="AN115" s="134">
        <f>[11]Apr!$AM115</f>
        <v>9801</v>
      </c>
      <c r="AO115" s="138">
        <f t="shared" si="73"/>
        <v>-1050</v>
      </c>
      <c r="AP115" s="138">
        <f>AM115-AM114</f>
        <v>108</v>
      </c>
    </row>
    <row r="116" spans="30:42">
      <c r="AD116" s="123">
        <v>2028</v>
      </c>
      <c r="AF116" s="132">
        <f t="shared" si="56"/>
        <v>1998030.50419196</v>
      </c>
      <c r="AG116" s="375">
        <f t="shared" si="72"/>
        <v>85.4</v>
      </c>
      <c r="AH116" s="1069">
        <v>0</v>
      </c>
      <c r="AI116" s="1069">
        <v>0</v>
      </c>
      <c r="AL116" s="469">
        <v>25</v>
      </c>
      <c r="AM116" s="577">
        <f t="shared" si="74"/>
        <v>8855</v>
      </c>
      <c r="AN116" s="134">
        <f>[11]Apr!$AM116</f>
        <v>9970</v>
      </c>
      <c r="AO116" s="138">
        <f t="shared" si="73"/>
        <v>-1115</v>
      </c>
      <c r="AP116" s="138">
        <f>AM116-AM115</f>
        <v>104</v>
      </c>
    </row>
    <row r="117" spans="30:42">
      <c r="AD117" s="123">
        <v>2029</v>
      </c>
      <c r="AF117" s="132">
        <f t="shared" si="56"/>
        <v>2015201.75938443</v>
      </c>
      <c r="AG117" s="375">
        <f t="shared" si="72"/>
        <v>85.4</v>
      </c>
      <c r="AH117" s="1069">
        <v>0</v>
      </c>
      <c r="AI117" s="1069">
        <v>0</v>
      </c>
      <c r="AL117" s="469">
        <v>25</v>
      </c>
      <c r="AM117" s="577">
        <f t="shared" si="74"/>
        <v>8958</v>
      </c>
      <c r="AN117" s="134">
        <f>[11]Apr!$AM117</f>
        <v>10137</v>
      </c>
      <c r="AO117" s="138">
        <f t="shared" si="73"/>
        <v>-1179</v>
      </c>
      <c r="AP117" s="138">
        <f>AM117-AM116</f>
        <v>103</v>
      </c>
    </row>
    <row r="118" spans="30:42">
      <c r="AD118" s="123">
        <v>2030</v>
      </c>
      <c r="AF118" s="132">
        <f t="shared" si="56"/>
        <v>2031489.44923562</v>
      </c>
      <c r="AG118" s="375">
        <f t="shared" si="72"/>
        <v>85.4</v>
      </c>
      <c r="AH118" s="1069">
        <v>0</v>
      </c>
      <c r="AI118" s="1069">
        <v>0</v>
      </c>
      <c r="AL118" s="469">
        <v>25</v>
      </c>
      <c r="AM118" s="577">
        <f t="shared" si="74"/>
        <v>9055</v>
      </c>
      <c r="AN118" s="134">
        <f>[11]Apr!$AM118</f>
        <v>10302</v>
      </c>
      <c r="AO118" s="138">
        <f t="shared" si="73"/>
        <v>-1247</v>
      </c>
      <c r="AP118" s="138">
        <f>AM118-AM117</f>
        <v>97</v>
      </c>
    </row>
    <row r="119" spans="30:42">
      <c r="AD119" s="123">
        <v>2031</v>
      </c>
      <c r="AF119" s="132">
        <f t="shared" si="56"/>
        <v>2047199.8427589999</v>
      </c>
      <c r="AG119" s="375">
        <f t="shared" si="72"/>
        <v>85.4</v>
      </c>
      <c r="AH119" s="1069">
        <v>0</v>
      </c>
      <c r="AI119" s="1069">
        <v>0</v>
      </c>
      <c r="AL119" s="469">
        <v>25</v>
      </c>
      <c r="AM119" s="577">
        <f t="shared" ref="AM119:AM128" si="75">ROUND($AW$75+$AV$75*$AF119+$AU$75*$AG119+$AT$75*$AH119+$AS$75*$AI119,0)-AL119</f>
        <v>9149</v>
      </c>
      <c r="AP119" s="138">
        <f t="shared" ref="AP119:AP128" si="76">AM119-AM118</f>
        <v>94</v>
      </c>
    </row>
    <row r="120" spans="30:42">
      <c r="AD120" s="123">
        <v>2032</v>
      </c>
      <c r="AF120" s="132">
        <f t="shared" si="56"/>
        <v>2062508.0934492799</v>
      </c>
      <c r="AG120" s="375">
        <f t="shared" si="72"/>
        <v>85.4</v>
      </c>
      <c r="AH120" s="1069">
        <v>0</v>
      </c>
      <c r="AI120" s="1069">
        <v>0</v>
      </c>
      <c r="AL120" s="469">
        <v>25</v>
      </c>
      <c r="AM120" s="577">
        <f t="shared" si="75"/>
        <v>9241</v>
      </c>
      <c r="AP120" s="138">
        <f t="shared" si="76"/>
        <v>92</v>
      </c>
    </row>
    <row r="121" spans="30:42">
      <c r="AD121" s="123">
        <v>2033</v>
      </c>
      <c r="AF121" s="132">
        <f t="shared" si="56"/>
        <v>2077418.09766796</v>
      </c>
      <c r="AG121" s="375">
        <f t="shared" si="72"/>
        <v>85.4</v>
      </c>
      <c r="AH121" s="1069">
        <v>0</v>
      </c>
      <c r="AI121" s="1069">
        <v>0</v>
      </c>
      <c r="AL121" s="469">
        <v>25</v>
      </c>
      <c r="AM121" s="577">
        <f t="shared" si="75"/>
        <v>9330</v>
      </c>
      <c r="AP121" s="138">
        <f t="shared" si="76"/>
        <v>89</v>
      </c>
    </row>
    <row r="122" spans="30:42">
      <c r="AD122" s="123">
        <v>2034</v>
      </c>
      <c r="AF122" s="132">
        <f t="shared" si="56"/>
        <v>2091944.3001349601</v>
      </c>
      <c r="AG122" s="375">
        <f t="shared" si="72"/>
        <v>85.4</v>
      </c>
      <c r="AH122" s="1069">
        <v>0</v>
      </c>
      <c r="AI122" s="1069">
        <v>0</v>
      </c>
      <c r="AL122" s="469">
        <v>25</v>
      </c>
      <c r="AM122" s="577">
        <f t="shared" si="75"/>
        <v>9417</v>
      </c>
      <c r="AP122" s="138">
        <f t="shared" si="76"/>
        <v>87</v>
      </c>
    </row>
    <row r="123" spans="30:42">
      <c r="AD123" s="123">
        <v>2035</v>
      </c>
      <c r="AF123" s="132">
        <f t="shared" si="56"/>
        <v>2106092.0358985099</v>
      </c>
      <c r="AG123" s="375">
        <f t="shared" si="72"/>
        <v>85.4</v>
      </c>
      <c r="AH123" s="1069">
        <v>0</v>
      </c>
      <c r="AI123" s="1069">
        <v>0</v>
      </c>
      <c r="AL123" s="469">
        <v>25</v>
      </c>
      <c r="AM123" s="577">
        <f t="shared" si="75"/>
        <v>9501</v>
      </c>
      <c r="AP123" s="138">
        <f t="shared" si="76"/>
        <v>84</v>
      </c>
    </row>
    <row r="124" spans="30:42">
      <c r="AD124" s="123">
        <v>2036</v>
      </c>
      <c r="AF124" s="132">
        <f t="shared" si="56"/>
        <v>2119878.5493231397</v>
      </c>
      <c r="AG124" s="375">
        <f t="shared" si="72"/>
        <v>85.4</v>
      </c>
      <c r="AH124" s="1069">
        <v>0</v>
      </c>
      <c r="AI124" s="1069">
        <v>0</v>
      </c>
      <c r="AL124" s="469">
        <v>25</v>
      </c>
      <c r="AM124" s="577">
        <f t="shared" si="75"/>
        <v>9583</v>
      </c>
      <c r="AP124" s="138">
        <f t="shared" si="76"/>
        <v>82</v>
      </c>
    </row>
    <row r="125" spans="30:42">
      <c r="AD125" s="123">
        <v>2037</v>
      </c>
      <c r="AF125" s="132">
        <f t="shared" si="56"/>
        <v>2134401.8916276898</v>
      </c>
      <c r="AG125" s="375">
        <f t="shared" si="72"/>
        <v>85.4</v>
      </c>
      <c r="AH125" s="1069">
        <v>0</v>
      </c>
      <c r="AI125" s="1069">
        <v>0</v>
      </c>
      <c r="AL125" s="469">
        <v>25</v>
      </c>
      <c r="AM125" s="577">
        <f t="shared" si="75"/>
        <v>9670</v>
      </c>
      <c r="AP125" s="138">
        <f t="shared" si="76"/>
        <v>87</v>
      </c>
    </row>
    <row r="126" spans="30:42">
      <c r="AD126" s="123">
        <v>2038</v>
      </c>
      <c r="AF126" s="132">
        <f t="shared" si="56"/>
        <v>2149592.31854067</v>
      </c>
      <c r="AG126" s="375">
        <f t="shared" si="72"/>
        <v>85.4</v>
      </c>
      <c r="AH126" s="1069">
        <v>0</v>
      </c>
      <c r="AI126" s="1069">
        <v>0</v>
      </c>
      <c r="AL126" s="469">
        <v>25</v>
      </c>
      <c r="AM126" s="577">
        <f t="shared" si="75"/>
        <v>9761</v>
      </c>
      <c r="AP126" s="138">
        <f t="shared" si="76"/>
        <v>91</v>
      </c>
    </row>
    <row r="127" spans="30:42">
      <c r="AD127" s="123">
        <v>2039</v>
      </c>
      <c r="AF127" s="132">
        <f t="shared" si="56"/>
        <v>2164287.4524936099</v>
      </c>
      <c r="AG127" s="375">
        <f t="shared" si="72"/>
        <v>85.4</v>
      </c>
      <c r="AH127" s="1069">
        <v>0</v>
      </c>
      <c r="AI127" s="1069">
        <v>0</v>
      </c>
      <c r="AL127" s="469">
        <v>25</v>
      </c>
      <c r="AM127" s="577">
        <f t="shared" si="75"/>
        <v>9849</v>
      </c>
      <c r="AP127" s="138">
        <f t="shared" si="76"/>
        <v>88</v>
      </c>
    </row>
    <row r="128" spans="30:42">
      <c r="AD128" s="123">
        <v>2040</v>
      </c>
      <c r="AF128" s="132">
        <f t="shared" si="56"/>
        <v>2179254.3338996801</v>
      </c>
      <c r="AG128" s="375">
        <f t="shared" si="72"/>
        <v>85.4</v>
      </c>
      <c r="AH128" s="1069">
        <v>0</v>
      </c>
      <c r="AI128" s="1069">
        <v>0</v>
      </c>
      <c r="AL128" s="469">
        <v>25</v>
      </c>
      <c r="AM128" s="577">
        <f t="shared" si="75"/>
        <v>9938</v>
      </c>
      <c r="AP128" s="138">
        <f t="shared" si="76"/>
        <v>89</v>
      </c>
    </row>
    <row r="130" spans="30:43" ht="12.75" customHeight="1">
      <c r="AD130" s="1476"/>
      <c r="AE130" s="701"/>
      <c r="AF130" s="690"/>
      <c r="AG130" s="688"/>
      <c r="AH130" s="688"/>
      <c r="AI130" s="690"/>
      <c r="AJ130" s="103"/>
      <c r="AK130" s="701"/>
      <c r="AL130" s="769"/>
      <c r="AM130" s="690"/>
      <c r="AN130" s="103"/>
      <c r="AO130" s="103"/>
      <c r="AP130" s="103"/>
      <c r="AQ130" s="103"/>
    </row>
    <row r="131" spans="30:43" ht="12.75" customHeight="1">
      <c r="AD131" s="1476"/>
      <c r="AE131" s="701"/>
      <c r="AF131" s="690"/>
      <c r="AG131" s="689"/>
      <c r="AH131" s="689"/>
      <c r="AI131" s="690"/>
      <c r="AJ131" s="103"/>
      <c r="AK131" s="118"/>
      <c r="AL131" s="93"/>
      <c r="AM131" s="690"/>
      <c r="AN131" s="690"/>
      <c r="AO131" s="690"/>
      <c r="AP131" s="690"/>
      <c r="AQ131" s="103"/>
    </row>
  </sheetData>
  <mergeCells count="1">
    <mergeCell ref="AD1:AU1"/>
  </mergeCells>
  <phoneticPr fontId="52" type="noConversion"/>
  <printOptions horizontalCentered="1"/>
  <pageMargins left="0.25" right="0.25" top="0.5" bottom="0.75" header="0" footer="0.25"/>
  <pageSetup scale="66" orientation="landscape" verticalDpi="300" r:id="rId1"/>
  <headerFooter alignWithMargins="0">
    <oddFooter>&amp;LLoad Forecasting : &amp;D&amp;R14LGBRA-NRGPOD1-6-DOC 38
14BGBRA-STAFFROG1-19A-DOC 38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94"/>
  <sheetViews>
    <sheetView tabSelected="1" zoomScale="75" workbookViewId="0">
      <pane xSplit="4" ySplit="6" topLeftCell="N31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"/>
  <cols>
    <col min="1" max="1" width="6.28515625" style="1213" bestFit="1" customWidth="1"/>
    <col min="2" max="2" width="9.28515625" style="1213" bestFit="1" customWidth="1"/>
    <col min="3" max="3" width="4" style="1213" bestFit="1" customWidth="1"/>
    <col min="4" max="4" width="5.5703125" style="1213" bestFit="1" customWidth="1"/>
    <col min="5" max="5" width="8" style="1213" bestFit="1" customWidth="1"/>
    <col min="6" max="6" width="10.42578125" style="1213" bestFit="1" customWidth="1"/>
    <col min="7" max="7" width="11.140625" style="1213" bestFit="1" customWidth="1"/>
    <col min="8" max="8" width="8.28515625" style="1213" bestFit="1" customWidth="1"/>
    <col min="9" max="9" width="9.42578125" style="1213" bestFit="1" customWidth="1"/>
    <col min="10" max="10" width="8.7109375" style="1213" bestFit="1" customWidth="1"/>
    <col min="11" max="11" width="10" style="1213" bestFit="1" customWidth="1"/>
    <col min="12" max="12" width="7.7109375" style="1213" bestFit="1" customWidth="1"/>
    <col min="13" max="13" width="11.42578125" style="1213" bestFit="1" customWidth="1"/>
    <col min="14" max="14" width="7.140625" style="1213" bestFit="1" customWidth="1"/>
    <col min="15" max="15" width="7.7109375" style="1213" bestFit="1" customWidth="1"/>
    <col min="16" max="16" width="12.7109375" style="1213" bestFit="1" customWidth="1"/>
    <col min="17" max="17" width="12.7109375" style="1213" customWidth="1"/>
    <col min="18" max="18" width="11.140625" style="1213" customWidth="1"/>
    <col min="19" max="19" width="10.28515625" style="1213" bestFit="1" customWidth="1"/>
    <col min="20" max="20" width="13.85546875" style="1213" bestFit="1" customWidth="1"/>
    <col min="21" max="21" width="14.42578125" style="1213" bestFit="1" customWidth="1"/>
    <col min="22" max="22" width="9.85546875" style="1216" bestFit="1" customWidth="1"/>
    <col min="23" max="23" width="9.140625" style="1216"/>
    <col min="24" max="24" width="10.85546875" style="1216" bestFit="1" customWidth="1"/>
    <col min="25" max="31" width="9.140625" style="1216"/>
    <col min="32" max="32" width="10.28515625" style="1216" bestFit="1" customWidth="1"/>
    <col min="33" max="33" width="9.140625" style="1216"/>
    <col min="34" max="34" width="14.140625" style="1216" bestFit="1" customWidth="1"/>
    <col min="35" max="35" width="13.7109375" style="1216" bestFit="1" customWidth="1"/>
    <col min="36" max="40" width="9.140625" style="1216"/>
    <col min="41" max="41" width="7.28515625" style="1216" customWidth="1"/>
    <col min="42" max="42" width="11.7109375" style="1216" bestFit="1" customWidth="1"/>
    <col min="43" max="43" width="15.7109375" style="1216" customWidth="1"/>
    <col min="44" max="47" width="12.7109375" style="1216" customWidth="1"/>
    <col min="48" max="48" width="9.42578125" style="1216" bestFit="1" customWidth="1"/>
    <col min="49" max="16384" width="9.140625" style="1216"/>
  </cols>
  <sheetData>
    <row r="1" spans="1:60" s="1212" customFormat="1" ht="13.5" thickBot="1">
      <c r="A1" s="1584" t="s">
        <v>108</v>
      </c>
      <c r="B1" s="1585"/>
      <c r="C1" s="1585"/>
      <c r="D1" s="1585"/>
      <c r="E1" s="1585"/>
      <c r="F1" s="1585"/>
      <c r="G1" s="1585"/>
      <c r="H1" s="1585"/>
      <c r="I1" s="1585"/>
      <c r="J1" s="1585"/>
      <c r="K1" s="1582" t="s">
        <v>634</v>
      </c>
      <c r="L1" s="1585"/>
      <c r="M1" s="1585"/>
      <c r="N1" s="1585"/>
      <c r="O1" s="1585"/>
      <c r="P1" s="1585"/>
      <c r="Q1" s="1582" t="s">
        <v>634</v>
      </c>
      <c r="R1" s="1582" t="s">
        <v>634</v>
      </c>
      <c r="S1" s="1582" t="s">
        <v>634</v>
      </c>
      <c r="T1" s="1582" t="s">
        <v>634</v>
      </c>
      <c r="U1" s="1582" t="s">
        <v>634</v>
      </c>
      <c r="V1" s="1582" t="s">
        <v>634</v>
      </c>
      <c r="W1" s="1582" t="s">
        <v>634</v>
      </c>
      <c r="AD1" s="1605" t="s">
        <v>111</v>
      </c>
      <c r="AE1" s="1605"/>
      <c r="AF1" s="1605"/>
      <c r="AG1" s="1605"/>
      <c r="AH1" s="1605"/>
      <c r="AI1" s="1605"/>
      <c r="AJ1" s="1605"/>
      <c r="AK1" s="1605"/>
      <c r="AL1" s="1605"/>
      <c r="AM1" s="1605"/>
      <c r="AN1" s="1605"/>
      <c r="AO1" s="1605"/>
      <c r="AP1" s="1605"/>
      <c r="AQ1" s="1605"/>
      <c r="AR1" s="1605"/>
      <c r="AS1" s="1605"/>
      <c r="AT1" s="1605"/>
      <c r="AU1" s="1605"/>
    </row>
    <row r="2" spans="1:60">
      <c r="P2" s="1214" t="str">
        <f>Feb!P2</f>
        <v>CF_201309</v>
      </c>
      <c r="R2" s="1214" t="str">
        <f>Feb!R2</f>
        <v>13_EDB_Adjmt.xlsx</v>
      </c>
      <c r="S2" s="1215"/>
      <c r="T2" s="1214" t="str">
        <f>P2</f>
        <v>CF_201309</v>
      </c>
    </row>
    <row r="3" spans="1:60">
      <c r="J3" s="1213" t="s">
        <v>21</v>
      </c>
      <c r="M3" s="1213" t="s">
        <v>58</v>
      </c>
      <c r="Q3" s="1217"/>
      <c r="R3" s="1217"/>
      <c r="S3" s="1217"/>
      <c r="T3" s="1217"/>
    </row>
    <row r="4" spans="1:60">
      <c r="J4" s="1213" t="s">
        <v>6</v>
      </c>
      <c r="M4" s="1213" t="s">
        <v>6</v>
      </c>
      <c r="O4" s="1213" t="s">
        <v>1</v>
      </c>
      <c r="Q4" s="1218" t="s">
        <v>186</v>
      </c>
      <c r="R4" s="1219">
        <f>[2]ssr!$K$176</f>
        <v>0.41470000000000001</v>
      </c>
      <c r="S4" s="1220"/>
      <c r="T4" s="1217"/>
      <c r="U4" s="1221" t="s">
        <v>396</v>
      </c>
      <c r="AD4" s="1222" t="s">
        <v>199</v>
      </c>
    </row>
    <row r="5" spans="1:60">
      <c r="H5" s="1213" t="s">
        <v>66</v>
      </c>
      <c r="I5" s="1213" t="s">
        <v>206</v>
      </c>
      <c r="J5" s="1213" t="s">
        <v>61</v>
      </c>
      <c r="L5" s="1213" t="s">
        <v>87</v>
      </c>
      <c r="M5" s="1213" t="s">
        <v>61</v>
      </c>
      <c r="N5" s="1213" t="s">
        <v>0</v>
      </c>
      <c r="O5" s="1213" t="s">
        <v>6</v>
      </c>
      <c r="P5" s="1221" t="s">
        <v>396</v>
      </c>
      <c r="Q5" s="1223" t="s">
        <v>187</v>
      </c>
      <c r="R5" s="1224" t="s">
        <v>189</v>
      </c>
      <c r="S5" s="1224" t="s">
        <v>21</v>
      </c>
      <c r="T5" s="1217"/>
      <c r="U5" s="1221" t="s">
        <v>315</v>
      </c>
      <c r="V5" s="1223" t="s">
        <v>346</v>
      </c>
      <c r="W5" s="1224" t="s">
        <v>194</v>
      </c>
      <c r="X5" s="1213"/>
      <c r="Y5" s="1213"/>
      <c r="AE5" s="1213"/>
      <c r="AG5" s="1213" t="s">
        <v>294</v>
      </c>
    </row>
    <row r="6" spans="1:60" s="1233" customFormat="1" ht="12.75" thickBot="1">
      <c r="A6" s="1225" t="s">
        <v>9</v>
      </c>
      <c r="B6" s="1225" t="s">
        <v>88</v>
      </c>
      <c r="C6" s="1225" t="s">
        <v>89</v>
      </c>
      <c r="D6" s="1225" t="s">
        <v>90</v>
      </c>
      <c r="E6" s="1225" t="s">
        <v>91</v>
      </c>
      <c r="F6" s="1225" t="s">
        <v>92</v>
      </c>
      <c r="G6" s="1225" t="s">
        <v>93</v>
      </c>
      <c r="H6" s="1225" t="s">
        <v>205</v>
      </c>
      <c r="I6" s="1225" t="s">
        <v>207</v>
      </c>
      <c r="J6" s="1225" t="s">
        <v>62</v>
      </c>
      <c r="K6" s="1225" t="s">
        <v>57</v>
      </c>
      <c r="L6" s="1225" t="s">
        <v>77</v>
      </c>
      <c r="M6" s="1225" t="s">
        <v>59</v>
      </c>
      <c r="N6" s="1226" t="s">
        <v>66</v>
      </c>
      <c r="O6" s="1323" t="s">
        <v>574</v>
      </c>
      <c r="P6" s="1226" t="s">
        <v>197</v>
      </c>
      <c r="Q6" s="1227" t="s">
        <v>226</v>
      </c>
      <c r="R6" s="1227" t="s">
        <v>190</v>
      </c>
      <c r="S6" s="1228" t="s">
        <v>188</v>
      </c>
      <c r="T6" s="1229" t="s">
        <v>246</v>
      </c>
      <c r="U6" s="1230" t="s">
        <v>316</v>
      </c>
      <c r="V6" s="1231" t="s">
        <v>345</v>
      </c>
      <c r="W6" s="1232" t="s">
        <v>169</v>
      </c>
      <c r="X6" s="1225" t="s">
        <v>301</v>
      </c>
      <c r="Y6" s="1225" t="s">
        <v>96</v>
      </c>
      <c r="AD6" s="1225" t="s">
        <v>9</v>
      </c>
      <c r="AE6" s="1225" t="s">
        <v>179</v>
      </c>
      <c r="AF6" s="1225" t="s">
        <v>97</v>
      </c>
      <c r="AG6" s="1225" t="s">
        <v>170</v>
      </c>
      <c r="AH6" s="1225" t="s">
        <v>129</v>
      </c>
      <c r="AI6" s="1226" t="s">
        <v>130</v>
      </c>
      <c r="AJ6" s="1225" t="s">
        <v>98</v>
      </c>
      <c r="AK6" s="1225" t="s">
        <v>99</v>
      </c>
      <c r="AL6" s="1225" t="s">
        <v>100</v>
      </c>
      <c r="AM6" s="1226" t="str">
        <f>Apr!AM6</f>
        <v>Fall'13</v>
      </c>
      <c r="AN6" s="1226" t="str">
        <f>Apr!AN6</f>
        <v>TYSP'13</v>
      </c>
      <c r="AO6" s="1226" t="str">
        <f>Apr!AO6</f>
        <v>Diff</v>
      </c>
      <c r="AP6" s="1226" t="str">
        <f>Apr!AP6</f>
        <v>Yr-Yr Growth</v>
      </c>
    </row>
    <row r="7" spans="1:60">
      <c r="V7" s="1213"/>
      <c r="W7" s="1213"/>
      <c r="X7" s="1213"/>
      <c r="Y7" s="1213"/>
    </row>
    <row r="8" spans="1:60">
      <c r="A8" s="1213">
        <v>1975</v>
      </c>
      <c r="B8" s="1234">
        <v>27545</v>
      </c>
      <c r="C8" s="1213">
        <v>17</v>
      </c>
      <c r="D8" s="1235" t="str">
        <f>TEXT(WEEKDAY(B8),"ddd")</f>
        <v>Sat</v>
      </c>
      <c r="E8" s="1236">
        <v>2739</v>
      </c>
      <c r="P8" s="1236">
        <f>[4]Data!$I139</f>
        <v>613527</v>
      </c>
      <c r="U8" s="1213">
        <f t="shared" ref="U8:U29" si="0">P8-Q8</f>
        <v>613527</v>
      </c>
      <c r="V8" s="1213"/>
      <c r="X8" s="1237"/>
      <c r="Y8" s="1237"/>
    </row>
    <row r="9" spans="1:60">
      <c r="A9" s="1213">
        <v>1976</v>
      </c>
      <c r="B9" s="1234">
        <v>27887</v>
      </c>
      <c r="C9" s="1213">
        <v>17</v>
      </c>
      <c r="D9" s="1235" t="str">
        <f>TEXT(WEEKDAY(B9),"ddd")</f>
        <v>Fri</v>
      </c>
      <c r="E9" s="1236">
        <v>2453</v>
      </c>
      <c r="P9" s="1236">
        <f>[4]Data!$I140</f>
        <v>635360</v>
      </c>
      <c r="U9" s="1213">
        <f t="shared" si="0"/>
        <v>635360</v>
      </c>
      <c r="V9" s="1213"/>
      <c r="W9" s="1238">
        <f t="shared" ref="W9:W26" si="1">U9-U8</f>
        <v>21833</v>
      </c>
      <c r="X9" s="1237">
        <f>[5]May!$I4</f>
        <v>86.65</v>
      </c>
      <c r="Y9" s="1237">
        <f>[5]May!$M4</f>
        <v>87.6</v>
      </c>
      <c r="AP9" s="1239">
        <f>AVERAGE(AP14:AP36)</f>
        <v>190.79565217391306</v>
      </c>
    </row>
    <row r="10" spans="1:60">
      <c r="A10" s="1213">
        <v>1977</v>
      </c>
      <c r="B10" s="1234">
        <v>28258</v>
      </c>
      <c r="C10" s="1213">
        <v>17</v>
      </c>
      <c r="D10" s="1235" t="str">
        <f>TEXT(WEEKDAY(B10),"ddd")</f>
        <v>Fri</v>
      </c>
      <c r="E10" s="1236">
        <v>2583</v>
      </c>
      <c r="P10" s="1236">
        <f>[4]Data!$I141</f>
        <v>660010</v>
      </c>
      <c r="U10" s="1213">
        <f t="shared" si="0"/>
        <v>660010</v>
      </c>
      <c r="V10" s="1213"/>
      <c r="W10" s="1238">
        <f t="shared" si="1"/>
        <v>24650</v>
      </c>
      <c r="X10" s="1237">
        <f>[5]May!$I5</f>
        <v>80.349999999999994</v>
      </c>
      <c r="Y10" s="1237">
        <f>[5]May!$M5</f>
        <v>84.2</v>
      </c>
      <c r="AQ10" s="1477" t="s">
        <v>575</v>
      </c>
      <c r="AR10" s="1478"/>
      <c r="AS10" s="1240"/>
      <c r="AT10" s="1240"/>
      <c r="AU10" s="1240"/>
      <c r="AV10" s="1240"/>
    </row>
    <row r="11" spans="1:60">
      <c r="A11" s="1213">
        <v>1978</v>
      </c>
      <c r="B11" s="1234">
        <v>28636</v>
      </c>
      <c r="C11" s="1241">
        <v>17</v>
      </c>
      <c r="D11" s="1235" t="str">
        <f t="shared" ref="D11:D34" si="2">TEXT(WEEKDAY(B11),"ddd")</f>
        <v>Fri</v>
      </c>
      <c r="E11" s="1238">
        <v>3071</v>
      </c>
      <c r="F11" s="1238"/>
      <c r="G11" s="1238"/>
      <c r="H11" s="1238"/>
      <c r="I11" s="1238"/>
      <c r="J11" s="1242"/>
      <c r="K11" s="1238"/>
      <c r="L11" s="1242"/>
      <c r="M11" s="1242"/>
      <c r="N11" s="1242"/>
      <c r="O11" s="1242"/>
      <c r="P11" s="1236">
        <f>[4]Data!$I142</f>
        <v>698227</v>
      </c>
      <c r="U11" s="1213">
        <f t="shared" si="0"/>
        <v>698227</v>
      </c>
      <c r="V11" s="1238"/>
      <c r="W11" s="1238">
        <f t="shared" si="1"/>
        <v>38217</v>
      </c>
      <c r="X11" s="1237">
        <f>[5]May!$I6</f>
        <v>89.45</v>
      </c>
      <c r="Y11" s="1237">
        <f>[5]May!$M6</f>
        <v>90.4</v>
      </c>
      <c r="AQ11" s="1243"/>
      <c r="AR11" s="1243"/>
      <c r="AS11" s="1240"/>
      <c r="AT11" s="1240"/>
      <c r="AU11" s="1240"/>
      <c r="AV11" s="1240"/>
    </row>
    <row r="12" spans="1:60" ht="12.75" thickBot="1">
      <c r="A12" s="1213">
        <v>1979</v>
      </c>
      <c r="B12" s="1234">
        <v>29006</v>
      </c>
      <c r="C12" s="1241">
        <v>18</v>
      </c>
      <c r="D12" s="1235" t="str">
        <f t="shared" si="2"/>
        <v>Thu</v>
      </c>
      <c r="E12" s="1238">
        <v>3062</v>
      </c>
      <c r="F12" s="1238"/>
      <c r="G12" s="1238"/>
      <c r="H12" s="1238"/>
      <c r="I12" s="1238"/>
      <c r="J12" s="1242"/>
      <c r="K12" s="1238"/>
      <c r="L12" s="1242"/>
      <c r="M12" s="1242"/>
      <c r="N12" s="1242"/>
      <c r="O12" s="1242"/>
      <c r="P12" s="1236">
        <f>[4]Data!$I143</f>
        <v>724894</v>
      </c>
      <c r="U12" s="1213">
        <f t="shared" si="0"/>
        <v>724894</v>
      </c>
      <c r="V12" s="1238"/>
      <c r="W12" s="1238">
        <f t="shared" si="1"/>
        <v>26667</v>
      </c>
      <c r="X12" s="1237">
        <f>[5]May!$I7</f>
        <v>85.4</v>
      </c>
      <c r="Y12" s="1237">
        <f>[5]May!$M7</f>
        <v>87.6</v>
      </c>
      <c r="AQ12" s="1244" t="s">
        <v>171</v>
      </c>
      <c r="AR12" s="1244" t="s">
        <v>167</v>
      </c>
      <c r="AS12" s="1244" t="s">
        <v>168</v>
      </c>
      <c r="AT12" s="1245" t="s">
        <v>170</v>
      </c>
      <c r="AU12" s="1245" t="s">
        <v>169</v>
      </c>
      <c r="AV12" s="1245" t="s">
        <v>22</v>
      </c>
      <c r="BB12" s="1225" t="s">
        <v>9</v>
      </c>
      <c r="BC12" s="1246" t="s">
        <v>232</v>
      </c>
      <c r="BD12" s="1247" t="s">
        <v>231</v>
      </c>
      <c r="BE12" s="1247" t="s">
        <v>230</v>
      </c>
      <c r="BF12" s="1229" t="s">
        <v>233</v>
      </c>
      <c r="BG12" s="1248" t="s">
        <v>229</v>
      </c>
      <c r="BH12" s="1249"/>
    </row>
    <row r="13" spans="1:60">
      <c r="A13" s="1213">
        <v>1980</v>
      </c>
      <c r="B13" s="1234">
        <v>29360</v>
      </c>
      <c r="C13" s="1241">
        <v>18</v>
      </c>
      <c r="D13" s="1235" t="str">
        <f t="shared" si="2"/>
        <v>Mon</v>
      </c>
      <c r="E13" s="1250">
        <f>[6]Hist!G9</f>
        <v>3377</v>
      </c>
      <c r="F13" s="1250">
        <f>[6]Hist!H9</f>
        <v>2761</v>
      </c>
      <c r="G13" s="1251">
        <f>SUM([6]Hist!M9:O9)</f>
        <v>0</v>
      </c>
      <c r="H13" s="1251">
        <f>[6]Hist!L9</f>
        <v>0</v>
      </c>
      <c r="I13" s="1251">
        <f>[6]Hist!P9</f>
        <v>0</v>
      </c>
      <c r="J13" s="1242">
        <f t="shared" ref="J13:J34" si="3">SUM(F13:I13)</f>
        <v>2761</v>
      </c>
      <c r="K13" s="1251">
        <f>[6]Hist!U9</f>
        <v>0</v>
      </c>
      <c r="L13" s="1251">
        <f>[6]Hist!V9</f>
        <v>0</v>
      </c>
      <c r="M13" s="1242">
        <f>SUM(J13:K13)</f>
        <v>2761</v>
      </c>
      <c r="N13" s="1252">
        <v>170</v>
      </c>
      <c r="O13" s="1379">
        <f>J13-N13-L13</f>
        <v>2591</v>
      </c>
      <c r="P13" s="1236">
        <f>[4]Data!$I144</f>
        <v>763420</v>
      </c>
      <c r="U13" s="1213">
        <f t="shared" si="0"/>
        <v>763420</v>
      </c>
      <c r="V13" s="1238"/>
      <c r="W13" s="1238">
        <f t="shared" si="1"/>
        <v>38526</v>
      </c>
      <c r="X13" s="1237">
        <f>[5]May!$I8</f>
        <v>85.95</v>
      </c>
      <c r="Y13" s="1237">
        <f>[5]May!$M8</f>
        <v>88</v>
      </c>
      <c r="AD13" s="1213">
        <f t="shared" ref="AD13:AD58" si="4">A13</f>
        <v>1980</v>
      </c>
      <c r="AE13" s="1242">
        <f>O13</f>
        <v>2591</v>
      </c>
      <c r="AF13" s="1238">
        <f>P13</f>
        <v>763420</v>
      </c>
      <c r="AG13" s="1253">
        <f t="shared" ref="AG13:AG40" si="5">Y13</f>
        <v>88</v>
      </c>
      <c r="AH13" s="1250">
        <v>0</v>
      </c>
      <c r="AI13" s="1250">
        <v>0</v>
      </c>
      <c r="AJ13" s="1250">
        <f t="shared" ref="AJ13:AJ35" si="6">ROUND($AV$13+$AU$13*AF13+$AT$13*AG13+$AS$13*AH13+$AR$13*AI13,0)</f>
        <v>1975</v>
      </c>
      <c r="AK13" s="1250">
        <f t="shared" ref="AK13:AK33" si="7">AE13-AJ13</f>
        <v>616</v>
      </c>
      <c r="AQ13" s="1254" t="s">
        <v>172</v>
      </c>
      <c r="AR13" s="1255">
        <f t="array" ref="AR13:AV18">LINEST(AE25:AE46,AF25:AI46,TRUE,TRUE)</f>
        <v>-511.05700175631398</v>
      </c>
      <c r="AS13" s="1256">
        <v>-857.42949881023355</v>
      </c>
      <c r="AT13" s="1257">
        <v>87.68077097167874</v>
      </c>
      <c r="AU13" s="1258">
        <v>6.557582061312745E-3</v>
      </c>
      <c r="AV13" s="1259">
        <v>-10746.894237539324</v>
      </c>
      <c r="BB13" s="1213">
        <v>1980</v>
      </c>
      <c r="BC13" s="1260">
        <f t="shared" ref="BC13:BC39" si="8">$AV$13+$AU$13*AF13+$AT$13*$AG$63+$AS$13*AH13+$AR$13*AI13</f>
        <v>2141.7963700619721</v>
      </c>
      <c r="BD13" s="1261">
        <f t="shared" ref="BD13:BD40" si="9">AE13</f>
        <v>2591</v>
      </c>
      <c r="BE13" s="1260">
        <f>BD13-BC13</f>
        <v>449.20362993802792</v>
      </c>
      <c r="BF13" s="1261">
        <f t="shared" ref="BF13:BF40" si="10">AJ13</f>
        <v>1975</v>
      </c>
      <c r="BG13" s="1260">
        <f>BC13-BF13</f>
        <v>166.79637006197208</v>
      </c>
      <c r="BH13" s="1262"/>
    </row>
    <row r="14" spans="1:60">
      <c r="A14" s="1213">
        <v>1981</v>
      </c>
      <c r="B14" s="1234">
        <v>29724</v>
      </c>
      <c r="C14" s="1241">
        <v>18</v>
      </c>
      <c r="D14" s="1235" t="str">
        <f t="shared" si="2"/>
        <v>Mon</v>
      </c>
      <c r="E14" s="1250">
        <f>[6]Hist!G21</f>
        <v>3265</v>
      </c>
      <c r="F14" s="1250">
        <f>[6]Hist!H21</f>
        <v>2638</v>
      </c>
      <c r="G14" s="1251">
        <f>SUM([6]Hist!M21:O21)</f>
        <v>0</v>
      </c>
      <c r="H14" s="1251">
        <f>[6]Hist!L21</f>
        <v>0</v>
      </c>
      <c r="I14" s="1251">
        <f>[6]Hist!P21</f>
        <v>0</v>
      </c>
      <c r="J14" s="1242">
        <f t="shared" si="3"/>
        <v>2638</v>
      </c>
      <c r="K14" s="1251">
        <f>[6]Hist!U21</f>
        <v>0</v>
      </c>
      <c r="L14" s="1251">
        <f>[6]Hist!V21</f>
        <v>11</v>
      </c>
      <c r="M14" s="1242">
        <f t="shared" ref="M14:M39" si="11">SUM(J14:K14)</f>
        <v>2638</v>
      </c>
      <c r="N14" s="1252">
        <v>170</v>
      </c>
      <c r="O14" s="1379">
        <f t="shared" ref="O14:O46" si="12">J14-N14-L14</f>
        <v>2457</v>
      </c>
      <c r="P14" s="1236">
        <f>[4]Data!$I145</f>
        <v>793135</v>
      </c>
      <c r="U14" s="1213">
        <f t="shared" si="0"/>
        <v>793135</v>
      </c>
      <c r="V14" s="1238"/>
      <c r="W14" s="1238">
        <f t="shared" si="1"/>
        <v>29715</v>
      </c>
      <c r="X14" s="1237">
        <f>[5]May!$I9</f>
        <v>89.2</v>
      </c>
      <c r="Y14" s="1237">
        <f>[5]May!$M9</f>
        <v>90.9</v>
      </c>
      <c r="AD14" s="1213">
        <f t="shared" si="4"/>
        <v>1981</v>
      </c>
      <c r="AE14" s="1242">
        <f t="shared" ref="AE14:AE40" si="13">O14</f>
        <v>2457</v>
      </c>
      <c r="AF14" s="1238">
        <f t="shared" ref="AF14:AF45" si="14">P14</f>
        <v>793135</v>
      </c>
      <c r="AG14" s="1253">
        <f t="shared" si="5"/>
        <v>90.9</v>
      </c>
      <c r="AH14" s="1250">
        <v>0</v>
      </c>
      <c r="AI14" s="1250">
        <v>0</v>
      </c>
      <c r="AJ14" s="1250">
        <f t="shared" si="6"/>
        <v>2424</v>
      </c>
      <c r="AK14" s="1250">
        <f t="shared" si="7"/>
        <v>33</v>
      </c>
      <c r="AO14" s="1233"/>
      <c r="AP14" s="1263">
        <f t="shared" ref="AP14:AP46" si="15">AE14-AE13</f>
        <v>-134</v>
      </c>
      <c r="AQ14" s="1264" t="s">
        <v>173</v>
      </c>
      <c r="AR14" s="1265">
        <v>63.509433190205179</v>
      </c>
      <c r="AS14" s="1266">
        <v>87.058758773902539</v>
      </c>
      <c r="AT14" s="1267">
        <v>17.864729154000479</v>
      </c>
      <c r="AU14" s="1267">
        <v>2.1638011066808124E-4</v>
      </c>
      <c r="AV14" s="1266">
        <v>1623.1517190554803</v>
      </c>
      <c r="AW14" s="1240"/>
      <c r="AX14" s="1240"/>
      <c r="BB14" s="1213">
        <v>1981</v>
      </c>
      <c r="BC14" s="1260">
        <f t="shared" si="8"/>
        <v>2336.6549210138801</v>
      </c>
      <c r="BD14" s="1261">
        <f t="shared" si="9"/>
        <v>2457</v>
      </c>
      <c r="BE14" s="1260">
        <f t="shared" ref="BE14:BE35" si="16">BD14-BC14</f>
        <v>120.34507898611992</v>
      </c>
      <c r="BF14" s="1261">
        <f t="shared" si="10"/>
        <v>2424</v>
      </c>
      <c r="BG14" s="1260">
        <f t="shared" ref="BG14:BG35" si="17">BC14-BF14</f>
        <v>-87.345078986119915</v>
      </c>
      <c r="BH14" s="1262"/>
    </row>
    <row r="15" spans="1:60">
      <c r="A15" s="1213">
        <v>1982</v>
      </c>
      <c r="B15" s="1234">
        <v>30099</v>
      </c>
      <c r="C15" s="1241">
        <v>18</v>
      </c>
      <c r="D15" s="1235" t="str">
        <f t="shared" si="2"/>
        <v>Fri</v>
      </c>
      <c r="E15" s="1250">
        <f>[6]Hist!G33</f>
        <v>3401</v>
      </c>
      <c r="F15" s="1250">
        <f>[6]Hist!H33</f>
        <v>2827</v>
      </c>
      <c r="G15" s="1251">
        <f>SUM([6]Hist!M33:O33)</f>
        <v>0</v>
      </c>
      <c r="H15" s="1251">
        <f>[6]Hist!L33</f>
        <v>0</v>
      </c>
      <c r="I15" s="1251">
        <f>[6]Hist!P33</f>
        <v>0</v>
      </c>
      <c r="J15" s="1242">
        <f t="shared" si="3"/>
        <v>2827</v>
      </c>
      <c r="K15" s="1251">
        <f>[6]Hist!U33</f>
        <v>10</v>
      </c>
      <c r="L15" s="1251">
        <f>[6]Hist!V33</f>
        <v>12</v>
      </c>
      <c r="M15" s="1242">
        <f t="shared" si="11"/>
        <v>2837</v>
      </c>
      <c r="N15" s="1252">
        <v>170</v>
      </c>
      <c r="O15" s="1379">
        <f t="shared" si="12"/>
        <v>2645</v>
      </c>
      <c r="P15" s="1236">
        <f>[4]Data!$I146</f>
        <v>820042</v>
      </c>
      <c r="U15" s="1213">
        <f t="shared" si="0"/>
        <v>820042</v>
      </c>
      <c r="V15" s="1238"/>
      <c r="W15" s="1238">
        <f t="shared" si="1"/>
        <v>26907</v>
      </c>
      <c r="X15" s="1237">
        <f>[5]May!$I10</f>
        <v>88.7</v>
      </c>
      <c r="Y15" s="1237">
        <f>[5]May!$M10</f>
        <v>89.3</v>
      </c>
      <c r="AD15" s="1241">
        <f t="shared" si="4"/>
        <v>1982</v>
      </c>
      <c r="AE15" s="1482">
        <f t="shared" si="13"/>
        <v>2645</v>
      </c>
      <c r="AF15" s="1238">
        <f t="shared" si="14"/>
        <v>820042</v>
      </c>
      <c r="AG15" s="1253">
        <f t="shared" si="5"/>
        <v>89.3</v>
      </c>
      <c r="AH15" s="1238">
        <v>0</v>
      </c>
      <c r="AI15" s="1238">
        <v>0</v>
      </c>
      <c r="AJ15" s="1238">
        <f t="shared" si="6"/>
        <v>2460</v>
      </c>
      <c r="AK15" s="1238">
        <f t="shared" si="7"/>
        <v>185</v>
      </c>
      <c r="AL15" s="1233"/>
      <c r="AM15" s="1233"/>
      <c r="AN15" s="1233"/>
      <c r="AO15" s="1233"/>
      <c r="AP15" s="1263">
        <f t="shared" si="15"/>
        <v>188</v>
      </c>
      <c r="AQ15" s="1481" t="s">
        <v>174</v>
      </c>
      <c r="AR15" s="1271">
        <v>0.98585102443080397</v>
      </c>
      <c r="AS15" s="1272">
        <v>126.55294565860541</v>
      </c>
      <c r="AT15" s="1273" t="e">
        <v>#N/A</v>
      </c>
      <c r="AU15" s="1273" t="e">
        <v>#N/A</v>
      </c>
      <c r="AV15" s="1273" t="e">
        <v>#N/A</v>
      </c>
      <c r="AW15" s="1240"/>
      <c r="AX15" s="1240"/>
      <c r="BB15" s="1213">
        <v>1982</v>
      </c>
      <c r="BC15" s="1260">
        <f t="shared" si="8"/>
        <v>2513.0997815376222</v>
      </c>
      <c r="BD15" s="1261">
        <f t="shared" si="9"/>
        <v>2645</v>
      </c>
      <c r="BE15" s="1260">
        <f t="shared" si="16"/>
        <v>131.90021846237778</v>
      </c>
      <c r="BF15" s="1261">
        <f t="shared" si="10"/>
        <v>2460</v>
      </c>
      <c r="BG15" s="1260">
        <f t="shared" si="17"/>
        <v>53.099781537622221</v>
      </c>
      <c r="BH15" s="1262"/>
    </row>
    <row r="16" spans="1:60">
      <c r="A16" s="1213">
        <v>1983</v>
      </c>
      <c r="B16" s="1234">
        <v>30460</v>
      </c>
      <c r="C16" s="1241">
        <v>17</v>
      </c>
      <c r="D16" s="1235" t="str">
        <f t="shared" si="2"/>
        <v>Tue</v>
      </c>
      <c r="E16" s="1250">
        <f>[6]Hist!G45</f>
        <v>3622</v>
      </c>
      <c r="F16" s="1250">
        <f>[6]Hist!H45</f>
        <v>2997</v>
      </c>
      <c r="G16" s="1251">
        <f>SUM([6]Hist!M45:O45)</f>
        <v>0</v>
      </c>
      <c r="H16" s="1251">
        <f>[6]Hist!L45</f>
        <v>0</v>
      </c>
      <c r="I16" s="1251">
        <f>[6]Hist!P45</f>
        <v>0</v>
      </c>
      <c r="J16" s="1242">
        <f t="shared" si="3"/>
        <v>2997</v>
      </c>
      <c r="K16" s="1251">
        <f>[6]Hist!U45</f>
        <v>21</v>
      </c>
      <c r="L16" s="1251">
        <f>[6]Hist!V45</f>
        <v>36</v>
      </c>
      <c r="M16" s="1242">
        <f t="shared" si="11"/>
        <v>3018</v>
      </c>
      <c r="N16" s="1252">
        <v>170</v>
      </c>
      <c r="O16" s="1379">
        <f t="shared" si="12"/>
        <v>2791</v>
      </c>
      <c r="P16" s="1236">
        <f>[4]Data!$I147</f>
        <v>849896</v>
      </c>
      <c r="U16" s="1213">
        <f t="shared" si="0"/>
        <v>849896</v>
      </c>
      <c r="V16" s="1238"/>
      <c r="W16" s="1238">
        <f t="shared" si="1"/>
        <v>29854</v>
      </c>
      <c r="X16" s="1237">
        <f>[5]May!$I11</f>
        <v>89.55</v>
      </c>
      <c r="Y16" s="1237">
        <f>[5]May!$M11</f>
        <v>88.7</v>
      </c>
      <c r="AD16" s="1213">
        <f t="shared" si="4"/>
        <v>1983</v>
      </c>
      <c r="AE16" s="1242">
        <f t="shared" si="13"/>
        <v>2791</v>
      </c>
      <c r="AF16" s="1238">
        <f t="shared" si="14"/>
        <v>849896</v>
      </c>
      <c r="AG16" s="1253">
        <f t="shared" si="5"/>
        <v>88.7</v>
      </c>
      <c r="AH16" s="1250">
        <v>0</v>
      </c>
      <c r="AI16" s="1250">
        <v>0</v>
      </c>
      <c r="AJ16" s="1250">
        <f t="shared" si="6"/>
        <v>2604</v>
      </c>
      <c r="AK16" s="1250">
        <f t="shared" si="7"/>
        <v>187</v>
      </c>
      <c r="AO16" s="1274"/>
      <c r="AP16" s="1263">
        <f t="shared" si="15"/>
        <v>146</v>
      </c>
      <c r="AQ16" s="1275" t="s">
        <v>175</v>
      </c>
      <c r="AR16" s="1267">
        <v>296.12510342817586</v>
      </c>
      <c r="AS16" s="1276">
        <v>17</v>
      </c>
      <c r="AT16" s="1273" t="e">
        <v>#N/A</v>
      </c>
      <c r="AU16" s="1273" t="e">
        <v>#N/A</v>
      </c>
      <c r="AV16" s="1273" t="e">
        <v>#N/A</v>
      </c>
      <c r="AW16" s="1240"/>
      <c r="AX16" s="1240"/>
      <c r="BB16" s="1213">
        <v>1983</v>
      </c>
      <c r="BC16" s="1260">
        <f t="shared" si="8"/>
        <v>2708.869836396053</v>
      </c>
      <c r="BD16" s="1261">
        <f t="shared" si="9"/>
        <v>2791</v>
      </c>
      <c r="BE16" s="1260">
        <f t="shared" si="16"/>
        <v>82.13016360394704</v>
      </c>
      <c r="BF16" s="1261">
        <f t="shared" si="10"/>
        <v>2604</v>
      </c>
      <c r="BG16" s="1260">
        <f t="shared" si="17"/>
        <v>104.86983639605296</v>
      </c>
      <c r="BH16" s="1262"/>
    </row>
    <row r="17" spans="1:60">
      <c r="A17" s="1213">
        <v>1984</v>
      </c>
      <c r="B17" s="1234">
        <v>30809</v>
      </c>
      <c r="C17" s="1241">
        <v>18</v>
      </c>
      <c r="D17" s="1235" t="str">
        <f t="shared" si="2"/>
        <v>Mon</v>
      </c>
      <c r="E17" s="1250">
        <f>[6]Hist!G57</f>
        <v>3708</v>
      </c>
      <c r="F17" s="1250">
        <f>[6]Hist!H57</f>
        <v>3332</v>
      </c>
      <c r="G17" s="1251">
        <f>SUM([6]Hist!M57:O57)</f>
        <v>0</v>
      </c>
      <c r="H17" s="1251">
        <f>[6]Hist!L57</f>
        <v>0</v>
      </c>
      <c r="I17" s="1251">
        <f>[6]Hist!P57</f>
        <v>0</v>
      </c>
      <c r="J17" s="1242">
        <f t="shared" si="3"/>
        <v>3332</v>
      </c>
      <c r="K17" s="1251">
        <f>[6]Hist!U57</f>
        <v>37</v>
      </c>
      <c r="L17" s="1251">
        <f>[6]Hist!V57</f>
        <v>36</v>
      </c>
      <c r="M17" s="1242">
        <f t="shared" si="11"/>
        <v>3369</v>
      </c>
      <c r="N17" s="1252">
        <v>170</v>
      </c>
      <c r="O17" s="1379">
        <f t="shared" si="12"/>
        <v>3126</v>
      </c>
      <c r="P17" s="1236">
        <f>[4]Data!$I148</f>
        <v>889234</v>
      </c>
      <c r="U17" s="1213">
        <f t="shared" si="0"/>
        <v>889234</v>
      </c>
      <c r="V17" s="1238"/>
      <c r="W17" s="1238">
        <f t="shared" si="1"/>
        <v>39338</v>
      </c>
      <c r="X17" s="1237">
        <f>[5]May!$I12</f>
        <v>89.1</v>
      </c>
      <c r="Y17" s="1237">
        <f>[5]May!$M12</f>
        <v>90.9</v>
      </c>
      <c r="AD17" s="1213">
        <f t="shared" si="4"/>
        <v>1984</v>
      </c>
      <c r="AE17" s="1242">
        <f t="shared" si="13"/>
        <v>3126</v>
      </c>
      <c r="AF17" s="1238">
        <f t="shared" si="14"/>
        <v>889234</v>
      </c>
      <c r="AG17" s="1253">
        <f t="shared" si="5"/>
        <v>90.9</v>
      </c>
      <c r="AH17" s="1250">
        <v>0</v>
      </c>
      <c r="AI17" s="1250">
        <v>0</v>
      </c>
      <c r="AJ17" s="1250">
        <f t="shared" si="6"/>
        <v>3055</v>
      </c>
      <c r="AK17" s="1250">
        <f t="shared" si="7"/>
        <v>71</v>
      </c>
      <c r="AL17" s="1213"/>
      <c r="AM17" s="1213"/>
      <c r="AO17" s="1277"/>
      <c r="AP17" s="1263">
        <f t="shared" si="15"/>
        <v>335</v>
      </c>
      <c r="AQ17" s="1275" t="s">
        <v>176</v>
      </c>
      <c r="AR17" s="1276">
        <v>18970541.746870492</v>
      </c>
      <c r="AS17" s="1276">
        <v>272266.01693278889</v>
      </c>
      <c r="AT17" s="1273" t="e">
        <v>#N/A</v>
      </c>
      <c r="AU17" s="1273" t="e">
        <v>#N/A</v>
      </c>
      <c r="AV17" s="1273" t="e">
        <v>#N/A</v>
      </c>
      <c r="AW17" s="1240"/>
      <c r="AX17" s="1240"/>
      <c r="BB17" s="1213">
        <v>1984</v>
      </c>
      <c r="BC17" s="1260">
        <f t="shared" si="8"/>
        <v>2966.8319995239735</v>
      </c>
      <c r="BD17" s="1261">
        <f t="shared" si="9"/>
        <v>3126</v>
      </c>
      <c r="BE17" s="1260">
        <f t="shared" si="16"/>
        <v>159.16800047602646</v>
      </c>
      <c r="BF17" s="1261">
        <f t="shared" si="10"/>
        <v>3055</v>
      </c>
      <c r="BG17" s="1260">
        <f t="shared" si="17"/>
        <v>-88.168000476026464</v>
      </c>
      <c r="BH17" s="1262"/>
    </row>
    <row r="18" spans="1:60">
      <c r="A18" s="1213">
        <v>1985</v>
      </c>
      <c r="B18" s="1234">
        <v>31198</v>
      </c>
      <c r="C18" s="1241">
        <v>17</v>
      </c>
      <c r="D18" s="1235" t="str">
        <f t="shared" si="2"/>
        <v>Fri</v>
      </c>
      <c r="E18" s="1250">
        <f>[6]Hist!G69</f>
        <v>3914</v>
      </c>
      <c r="F18" s="1250">
        <f>[6]Hist!H69</f>
        <v>3621</v>
      </c>
      <c r="G18" s="1251">
        <f>SUM([6]Hist!M69:O69)</f>
        <v>0</v>
      </c>
      <c r="H18" s="1251">
        <f>[6]Hist!L69</f>
        <v>0</v>
      </c>
      <c r="I18" s="1251">
        <f>[6]Hist!P69</f>
        <v>0</v>
      </c>
      <c r="J18" s="1242">
        <f t="shared" si="3"/>
        <v>3621</v>
      </c>
      <c r="K18" s="1251">
        <f>[6]Hist!U69</f>
        <v>51</v>
      </c>
      <c r="L18" s="1251">
        <f>[6]Hist!V69</f>
        <v>42</v>
      </c>
      <c r="M18" s="1242">
        <f t="shared" si="11"/>
        <v>3672</v>
      </c>
      <c r="N18" s="1251">
        <f>[6]Hist!AA69</f>
        <v>171</v>
      </c>
      <c r="O18" s="1379">
        <f t="shared" si="12"/>
        <v>3408</v>
      </c>
      <c r="P18" s="1236">
        <f>[4]Data!$I149</f>
        <v>929839</v>
      </c>
      <c r="U18" s="1213">
        <f t="shared" si="0"/>
        <v>929839</v>
      </c>
      <c r="V18" s="1238"/>
      <c r="W18" s="1238">
        <f t="shared" si="1"/>
        <v>40605</v>
      </c>
      <c r="X18" s="1237">
        <f>[5]May!$I13</f>
        <v>93.5</v>
      </c>
      <c r="Y18" s="1237">
        <f>[5]May!$M13</f>
        <v>92.8</v>
      </c>
      <c r="AD18" s="1213">
        <f t="shared" si="4"/>
        <v>1985</v>
      </c>
      <c r="AE18" s="1242">
        <f t="shared" si="13"/>
        <v>3408</v>
      </c>
      <c r="AF18" s="1238">
        <f t="shared" si="14"/>
        <v>929839</v>
      </c>
      <c r="AG18" s="1253">
        <f t="shared" si="5"/>
        <v>92.8</v>
      </c>
      <c r="AH18" s="1250">
        <v>0</v>
      </c>
      <c r="AI18" s="1250">
        <v>0</v>
      </c>
      <c r="AJ18" s="1250">
        <f t="shared" si="6"/>
        <v>3487</v>
      </c>
      <c r="AK18" s="1250">
        <f t="shared" si="7"/>
        <v>-79</v>
      </c>
      <c r="AL18" s="1250"/>
      <c r="AM18" s="1250"/>
      <c r="AO18" s="1277"/>
      <c r="AP18" s="1263">
        <f t="shared" si="15"/>
        <v>282</v>
      </c>
      <c r="AQ18" s="1264" t="s">
        <v>177</v>
      </c>
      <c r="AR18" s="1278" t="e">
        <v>#N/A</v>
      </c>
      <c r="AS18" s="1278" t="e">
        <v>#N/A</v>
      </c>
      <c r="AT18" s="1278" t="e">
        <v>#N/A</v>
      </c>
      <c r="AU18" s="1278" t="e">
        <v>#N/A</v>
      </c>
      <c r="AV18" s="1278" t="e">
        <v>#N/A</v>
      </c>
      <c r="AW18" s="1240"/>
      <c r="AX18" s="1240"/>
      <c r="BB18" s="1213">
        <v>1985</v>
      </c>
      <c r="BC18" s="1260">
        <f t="shared" si="8"/>
        <v>3233.1026191235778</v>
      </c>
      <c r="BD18" s="1261">
        <f t="shared" si="9"/>
        <v>3408</v>
      </c>
      <c r="BE18" s="1260">
        <f t="shared" si="16"/>
        <v>174.89738087642218</v>
      </c>
      <c r="BF18" s="1261">
        <f t="shared" si="10"/>
        <v>3487</v>
      </c>
      <c r="BG18" s="1260">
        <f t="shared" si="17"/>
        <v>-253.89738087642218</v>
      </c>
      <c r="BH18" s="1262"/>
    </row>
    <row r="19" spans="1:60">
      <c r="A19" s="1213">
        <v>1986</v>
      </c>
      <c r="B19" s="1234">
        <v>31561</v>
      </c>
      <c r="C19" s="1241">
        <v>18</v>
      </c>
      <c r="D19" s="1235" t="str">
        <f t="shared" si="2"/>
        <v>Thu</v>
      </c>
      <c r="E19" s="1250">
        <f>[6]Hist!G81</f>
        <v>4020</v>
      </c>
      <c r="F19" s="1250">
        <f>[6]Hist!H81</f>
        <v>3798</v>
      </c>
      <c r="G19" s="1251">
        <f>SUM([6]Hist!M81:O81)</f>
        <v>0</v>
      </c>
      <c r="H19" s="1251">
        <f>[6]Hist!L81</f>
        <v>0</v>
      </c>
      <c r="I19" s="1251">
        <f>[6]Hist!P81</f>
        <v>0</v>
      </c>
      <c r="J19" s="1242">
        <f t="shared" si="3"/>
        <v>3798</v>
      </c>
      <c r="K19" s="1251">
        <f>[6]Hist!U81</f>
        <v>62</v>
      </c>
      <c r="L19" s="1251">
        <f>[6]Hist!V81</f>
        <v>51</v>
      </c>
      <c r="M19" s="1242">
        <f t="shared" si="11"/>
        <v>3860</v>
      </c>
      <c r="N19" s="1251">
        <f>[6]Hist!AA81</f>
        <v>190</v>
      </c>
      <c r="O19" s="1379">
        <f t="shared" si="12"/>
        <v>3557</v>
      </c>
      <c r="P19" s="1236">
        <f>[4]Data!$I150</f>
        <v>967584</v>
      </c>
      <c r="U19" s="1213">
        <f t="shared" si="0"/>
        <v>967584</v>
      </c>
      <c r="V19" s="1238"/>
      <c r="W19" s="1238">
        <f t="shared" si="1"/>
        <v>37745</v>
      </c>
      <c r="X19" s="1237">
        <f>[5]May!$I14</f>
        <v>90.55</v>
      </c>
      <c r="Y19" s="1237">
        <f>[5]May!$M14</f>
        <v>92</v>
      </c>
      <c r="AD19" s="1213">
        <f t="shared" si="4"/>
        <v>1986</v>
      </c>
      <c r="AE19" s="1242">
        <f t="shared" si="13"/>
        <v>3557</v>
      </c>
      <c r="AF19" s="1238">
        <f t="shared" si="14"/>
        <v>967584</v>
      </c>
      <c r="AG19" s="1253">
        <f t="shared" si="5"/>
        <v>92</v>
      </c>
      <c r="AH19" s="1250">
        <v>0</v>
      </c>
      <c r="AI19" s="1250">
        <v>0</v>
      </c>
      <c r="AJ19" s="1250">
        <f t="shared" si="6"/>
        <v>3665</v>
      </c>
      <c r="AK19" s="1250">
        <f t="shared" si="7"/>
        <v>-108</v>
      </c>
      <c r="AL19" s="1250"/>
      <c r="AM19" s="1250"/>
      <c r="AO19" s="1277"/>
      <c r="AP19" s="1263">
        <f t="shared" si="15"/>
        <v>149</v>
      </c>
      <c r="AW19" s="1240"/>
      <c r="AX19" s="1240"/>
      <c r="BB19" s="1213">
        <v>1986</v>
      </c>
      <c r="BC19" s="1260">
        <f t="shared" si="8"/>
        <v>3480.6185540278275</v>
      </c>
      <c r="BD19" s="1261">
        <f t="shared" si="9"/>
        <v>3557</v>
      </c>
      <c r="BE19" s="1260">
        <f t="shared" si="16"/>
        <v>76.381445972172514</v>
      </c>
      <c r="BF19" s="1261">
        <f t="shared" si="10"/>
        <v>3665</v>
      </c>
      <c r="BG19" s="1260">
        <f t="shared" si="17"/>
        <v>-184.38144597217251</v>
      </c>
      <c r="BH19" s="1262"/>
    </row>
    <row r="20" spans="1:60">
      <c r="A20" s="1213">
        <v>1987</v>
      </c>
      <c r="B20" s="1234">
        <v>31918</v>
      </c>
      <c r="C20" s="1241">
        <v>17</v>
      </c>
      <c r="D20" s="1235" t="str">
        <f t="shared" si="2"/>
        <v>Thu</v>
      </c>
      <c r="E20" s="1250">
        <f>[6]Hist!G93</f>
        <v>3865</v>
      </c>
      <c r="F20" s="1250">
        <f>[6]Hist!H93</f>
        <v>3646</v>
      </c>
      <c r="G20" s="1251">
        <f>SUM([6]Hist!M93:O93)</f>
        <v>0</v>
      </c>
      <c r="H20" s="1251">
        <f>[6]Hist!L93</f>
        <v>0</v>
      </c>
      <c r="I20" s="1251">
        <f>[6]Hist!P93</f>
        <v>0</v>
      </c>
      <c r="J20" s="1242">
        <f t="shared" si="3"/>
        <v>3646</v>
      </c>
      <c r="K20" s="1251">
        <f>[6]Hist!U93</f>
        <v>69</v>
      </c>
      <c r="L20" s="1251">
        <f>[6]Hist!V93</f>
        <v>58</v>
      </c>
      <c r="M20" s="1242">
        <f t="shared" si="11"/>
        <v>3715</v>
      </c>
      <c r="N20" s="1251">
        <f>[6]Hist!AA93</f>
        <v>211</v>
      </c>
      <c r="O20" s="1379">
        <f t="shared" si="12"/>
        <v>3377</v>
      </c>
      <c r="P20" s="1236">
        <f>[4]Data!$I151</f>
        <v>1008607</v>
      </c>
      <c r="U20" s="1213">
        <f t="shared" si="0"/>
        <v>1008607</v>
      </c>
      <c r="V20" s="1238"/>
      <c r="W20" s="1238">
        <f t="shared" si="1"/>
        <v>41023</v>
      </c>
      <c r="X20" s="1237">
        <f>[5]May!$I15</f>
        <v>86.8</v>
      </c>
      <c r="Y20" s="1237">
        <f>[5]May!$M15</f>
        <v>85.8</v>
      </c>
      <c r="AD20" s="1213">
        <f t="shared" si="4"/>
        <v>1987</v>
      </c>
      <c r="AE20" s="1242">
        <f t="shared" si="13"/>
        <v>3377</v>
      </c>
      <c r="AF20" s="1238">
        <f t="shared" si="14"/>
        <v>1008607</v>
      </c>
      <c r="AG20" s="1253">
        <f t="shared" si="5"/>
        <v>85.8</v>
      </c>
      <c r="AH20" s="1250">
        <v>0</v>
      </c>
      <c r="AI20" s="1250">
        <v>0</v>
      </c>
      <c r="AJ20" s="1250">
        <f t="shared" si="6"/>
        <v>3390</v>
      </c>
      <c r="AK20" s="1250">
        <f t="shared" si="7"/>
        <v>-13</v>
      </c>
      <c r="AL20" s="1250"/>
      <c r="AM20" s="1250"/>
      <c r="AO20" s="1277"/>
      <c r="AP20" s="1263">
        <f t="shared" si="15"/>
        <v>-180</v>
      </c>
      <c r="AW20" s="1240"/>
      <c r="AX20" s="1240"/>
      <c r="BB20" s="1213">
        <v>1987</v>
      </c>
      <c r="BC20" s="1260">
        <f t="shared" si="8"/>
        <v>3749.6302429290599</v>
      </c>
      <c r="BD20" s="1261">
        <f t="shared" si="9"/>
        <v>3377</v>
      </c>
      <c r="BE20" s="1260">
        <f t="shared" si="16"/>
        <v>-372.63024292905993</v>
      </c>
      <c r="BF20" s="1261">
        <f t="shared" si="10"/>
        <v>3390</v>
      </c>
      <c r="BG20" s="1260">
        <f t="shared" si="17"/>
        <v>359.63024292905993</v>
      </c>
      <c r="BH20" s="1262"/>
    </row>
    <row r="21" spans="1:60">
      <c r="A21" s="1213">
        <v>1988</v>
      </c>
      <c r="B21" s="1234">
        <v>32286</v>
      </c>
      <c r="C21" s="1241">
        <v>18</v>
      </c>
      <c r="D21" s="1235" t="str">
        <f t="shared" si="2"/>
        <v>Mon</v>
      </c>
      <c r="E21" s="1250">
        <f>[6]Hist!G105</f>
        <v>4418</v>
      </c>
      <c r="F21" s="1250">
        <f>[6]Hist!H105</f>
        <v>3883</v>
      </c>
      <c r="G21" s="1251">
        <f>SUM([6]Hist!M105:O105)</f>
        <v>0</v>
      </c>
      <c r="H21" s="1251">
        <f>[6]Hist!L105</f>
        <v>0</v>
      </c>
      <c r="I21" s="1251">
        <f>[6]Hist!P105</f>
        <v>0</v>
      </c>
      <c r="J21" s="1242">
        <f t="shared" si="3"/>
        <v>3883</v>
      </c>
      <c r="K21" s="1251">
        <f>[6]Hist!U105</f>
        <v>75</v>
      </c>
      <c r="L21" s="1251">
        <f>[6]Hist!V105</f>
        <v>61</v>
      </c>
      <c r="M21" s="1242">
        <f t="shared" si="11"/>
        <v>3958</v>
      </c>
      <c r="N21" s="1251">
        <f>[6]Hist!AA105</f>
        <v>296</v>
      </c>
      <c r="O21" s="1379">
        <f t="shared" si="12"/>
        <v>3526</v>
      </c>
      <c r="P21" s="1236">
        <f>[4]Data!$I152</f>
        <v>1047373</v>
      </c>
      <c r="U21" s="1213">
        <f t="shared" si="0"/>
        <v>1047373</v>
      </c>
      <c r="V21" s="1238"/>
      <c r="W21" s="1238">
        <f t="shared" si="1"/>
        <v>38766</v>
      </c>
      <c r="X21" s="1237">
        <f>[5]May!$I16</f>
        <v>88.2</v>
      </c>
      <c r="Y21" s="1237">
        <f>[5]May!$M16</f>
        <v>89.2</v>
      </c>
      <c r="AD21" s="1213">
        <f t="shared" si="4"/>
        <v>1988</v>
      </c>
      <c r="AE21" s="1242">
        <f t="shared" si="13"/>
        <v>3526</v>
      </c>
      <c r="AF21" s="1238">
        <f t="shared" si="14"/>
        <v>1047373</v>
      </c>
      <c r="AG21" s="1279">
        <f>Y21-4</f>
        <v>85.2</v>
      </c>
      <c r="AH21" s="1250">
        <v>0</v>
      </c>
      <c r="AI21" s="1250">
        <v>0</v>
      </c>
      <c r="AJ21" s="1250">
        <f t="shared" si="6"/>
        <v>3592</v>
      </c>
      <c r="AK21" s="1250">
        <f t="shared" si="7"/>
        <v>-66</v>
      </c>
      <c r="AL21" s="1250"/>
      <c r="AM21" s="1250"/>
      <c r="AO21" s="1277"/>
      <c r="AP21" s="1263">
        <f t="shared" si="15"/>
        <v>149</v>
      </c>
      <c r="AW21" s="1240"/>
      <c r="AX21" s="1240"/>
      <c r="BB21" s="1213">
        <v>1988</v>
      </c>
      <c r="BC21" s="1260">
        <f t="shared" si="8"/>
        <v>4003.8414691179096</v>
      </c>
      <c r="BD21" s="1261">
        <f t="shared" si="9"/>
        <v>3526</v>
      </c>
      <c r="BE21" s="1260">
        <f t="shared" si="16"/>
        <v>-477.84146911790958</v>
      </c>
      <c r="BF21" s="1261">
        <f t="shared" si="10"/>
        <v>3592</v>
      </c>
      <c r="BG21" s="1260">
        <f t="shared" si="17"/>
        <v>411.84146911790958</v>
      </c>
      <c r="BH21" s="1262"/>
    </row>
    <row r="22" spans="1:60">
      <c r="A22" s="1213">
        <v>1989</v>
      </c>
      <c r="B22" s="1234">
        <v>32654</v>
      </c>
      <c r="C22" s="1241">
        <v>17</v>
      </c>
      <c r="D22" s="1235" t="str">
        <f t="shared" si="2"/>
        <v>Fri</v>
      </c>
      <c r="E22" s="1250">
        <f>[6]Hist!G117</f>
        <v>5112</v>
      </c>
      <c r="F22" s="1250">
        <f>[6]Hist!H117</f>
        <v>4802</v>
      </c>
      <c r="G22" s="1251">
        <f>SUM([6]Hist!M117:O117)</f>
        <v>0</v>
      </c>
      <c r="H22" s="1251">
        <f>[6]Hist!L117</f>
        <v>0</v>
      </c>
      <c r="I22" s="1251">
        <f>[6]Hist!P117</f>
        <v>0</v>
      </c>
      <c r="J22" s="1242">
        <f t="shared" si="3"/>
        <v>4802</v>
      </c>
      <c r="K22" s="1251">
        <f>[6]Hist!U117</f>
        <v>79</v>
      </c>
      <c r="L22" s="1251">
        <f>[6]Hist!V117</f>
        <v>66</v>
      </c>
      <c r="M22" s="1242">
        <f t="shared" si="11"/>
        <v>4881</v>
      </c>
      <c r="N22" s="1251">
        <f>[6]Hist!AA117</f>
        <v>273</v>
      </c>
      <c r="O22" s="1379">
        <f t="shared" si="12"/>
        <v>4463</v>
      </c>
      <c r="P22" s="1236">
        <f>[4]Data!$I153</f>
        <v>1089615</v>
      </c>
      <c r="U22" s="1213">
        <f t="shared" si="0"/>
        <v>1089615</v>
      </c>
      <c r="V22" s="1238"/>
      <c r="W22" s="1238">
        <f t="shared" si="1"/>
        <v>42242</v>
      </c>
      <c r="X22" s="1237">
        <f>[5]May!$I17</f>
        <v>94.85</v>
      </c>
      <c r="Y22" s="1237">
        <f>[5]May!$M17</f>
        <v>92.9</v>
      </c>
      <c r="AD22" s="1213">
        <f t="shared" si="4"/>
        <v>1989</v>
      </c>
      <c r="AE22" s="1242">
        <f t="shared" si="13"/>
        <v>4463</v>
      </c>
      <c r="AF22" s="1238">
        <f t="shared" si="14"/>
        <v>1089615</v>
      </c>
      <c r="AG22" s="1253">
        <f t="shared" si="5"/>
        <v>92.9</v>
      </c>
      <c r="AH22" s="1250">
        <v>0</v>
      </c>
      <c r="AI22" s="1250">
        <v>0</v>
      </c>
      <c r="AJ22" s="1250">
        <f t="shared" si="6"/>
        <v>4544</v>
      </c>
      <c r="AK22" s="1250">
        <f t="shared" si="7"/>
        <v>-81</v>
      </c>
      <c r="AL22" s="1250"/>
      <c r="AM22" s="1250"/>
      <c r="AO22" s="1233"/>
      <c r="AP22" s="1263">
        <f t="shared" si="15"/>
        <v>937</v>
      </c>
      <c r="AW22" s="1240"/>
      <c r="AX22" s="1240"/>
      <c r="BB22" s="1213">
        <v>1989</v>
      </c>
      <c r="BC22" s="1260">
        <f t="shared" si="8"/>
        <v>4280.8468505518822</v>
      </c>
      <c r="BD22" s="1261">
        <f t="shared" si="9"/>
        <v>4463</v>
      </c>
      <c r="BE22" s="1260">
        <f t="shared" si="16"/>
        <v>182.1531494481178</v>
      </c>
      <c r="BF22" s="1261">
        <f t="shared" si="10"/>
        <v>4544</v>
      </c>
      <c r="BG22" s="1260">
        <f t="shared" si="17"/>
        <v>-263.1531494481178</v>
      </c>
      <c r="BH22" s="1262"/>
    </row>
    <row r="23" spans="1:60">
      <c r="A23" s="1213">
        <v>1990</v>
      </c>
      <c r="B23" s="1234">
        <v>33009</v>
      </c>
      <c r="C23" s="1241">
        <v>17</v>
      </c>
      <c r="D23" s="1235" t="str">
        <f t="shared" si="2"/>
        <v>Wed</v>
      </c>
      <c r="E23" s="1242">
        <f>[7]MoCoinMW!F9</f>
        <v>5304</v>
      </c>
      <c r="F23" s="1242">
        <f>[7]MoCoinMW!G9</f>
        <v>4856.5543657714215</v>
      </c>
      <c r="G23" s="1251">
        <f>SUM([6]Hist!M129:O129)</f>
        <v>0</v>
      </c>
      <c r="H23" s="1251">
        <f>[6]Hist!L129</f>
        <v>0</v>
      </c>
      <c r="I23" s="1251">
        <f>[6]Hist!P129</f>
        <v>0</v>
      </c>
      <c r="J23" s="1242">
        <f t="shared" si="3"/>
        <v>4856.5543657714215</v>
      </c>
      <c r="K23" s="1251">
        <f>[6]Hist!U129</f>
        <v>83</v>
      </c>
      <c r="L23" s="1251">
        <f>[6]Hist!V129</f>
        <v>66</v>
      </c>
      <c r="M23" s="1242">
        <f t="shared" si="11"/>
        <v>4939.5543657714215</v>
      </c>
      <c r="N23" s="1251">
        <f>[6]Hist!AA129</f>
        <v>279</v>
      </c>
      <c r="O23" s="1379">
        <f t="shared" si="12"/>
        <v>4511.5543657714215</v>
      </c>
      <c r="P23" s="1236">
        <f>[4]Data!$I154</f>
        <v>1123175</v>
      </c>
      <c r="U23" s="1213">
        <f t="shared" si="0"/>
        <v>1123175</v>
      </c>
      <c r="V23" s="1238"/>
      <c r="W23" s="1238">
        <f t="shared" si="1"/>
        <v>33560</v>
      </c>
      <c r="X23" s="1237">
        <f>[5]May!$I18</f>
        <v>90.95</v>
      </c>
      <c r="Y23" s="1237">
        <f>[5]May!$M18</f>
        <v>91.2</v>
      </c>
      <c r="AD23" s="1213">
        <f t="shared" si="4"/>
        <v>1990</v>
      </c>
      <c r="AE23" s="1242">
        <f t="shared" si="13"/>
        <v>4511.5543657714215</v>
      </c>
      <c r="AF23" s="1238">
        <f t="shared" si="14"/>
        <v>1123175</v>
      </c>
      <c r="AG23" s="1253">
        <f t="shared" si="5"/>
        <v>91.2</v>
      </c>
      <c r="AH23" s="1250">
        <v>0</v>
      </c>
      <c r="AI23" s="1250">
        <v>0</v>
      </c>
      <c r="AJ23" s="1250">
        <f t="shared" si="6"/>
        <v>4615</v>
      </c>
      <c r="AK23" s="1250">
        <f t="shared" si="7"/>
        <v>-103.44563422857846</v>
      </c>
      <c r="AL23" s="1250"/>
      <c r="AM23" s="1250"/>
      <c r="AO23" s="1233"/>
      <c r="AP23" s="1263">
        <f t="shared" si="15"/>
        <v>48.554365771421544</v>
      </c>
      <c r="AW23" s="1240"/>
      <c r="AX23" s="1240"/>
      <c r="BB23" s="1213">
        <v>1990</v>
      </c>
      <c r="BC23" s="1260">
        <f t="shared" si="8"/>
        <v>4500.9193045295387</v>
      </c>
      <c r="BD23" s="1261">
        <f t="shared" si="9"/>
        <v>4511.5543657714215</v>
      </c>
      <c r="BE23" s="1260">
        <f t="shared" si="16"/>
        <v>10.635061241882795</v>
      </c>
      <c r="BF23" s="1261">
        <f t="shared" si="10"/>
        <v>4615</v>
      </c>
      <c r="BG23" s="1260">
        <f t="shared" si="17"/>
        <v>-114.08069547046125</v>
      </c>
      <c r="BH23" s="1262"/>
    </row>
    <row r="24" spans="1:60" ht="12.75" thickBot="1">
      <c r="A24" s="1213">
        <v>1991</v>
      </c>
      <c r="B24" s="1234">
        <v>33387</v>
      </c>
      <c r="C24" s="1241">
        <v>17</v>
      </c>
      <c r="D24" s="1235" t="str">
        <f t="shared" si="2"/>
        <v>Wed</v>
      </c>
      <c r="E24" s="1242">
        <f>[7]MoCoinMW!F21</f>
        <v>5395</v>
      </c>
      <c r="F24" s="1242">
        <f>[7]MoCoinMW!G21</f>
        <v>4789.5657830484824</v>
      </c>
      <c r="G24" s="1251">
        <f>SUM([6]Hist!M141:O141)</f>
        <v>113</v>
      </c>
      <c r="H24" s="1251">
        <f>[6]Hist!L141</f>
        <v>0</v>
      </c>
      <c r="I24" s="1251">
        <f>[6]Hist!P141</f>
        <v>0</v>
      </c>
      <c r="J24" s="1242">
        <f t="shared" si="3"/>
        <v>4902.5657830484824</v>
      </c>
      <c r="K24" s="1251">
        <f>[6]Hist!U141</f>
        <v>87</v>
      </c>
      <c r="L24" s="1251">
        <f>[6]Hist!V141</f>
        <v>65.5</v>
      </c>
      <c r="M24" s="1242">
        <f t="shared" si="11"/>
        <v>4989.5657830484824</v>
      </c>
      <c r="N24" s="1251">
        <f>[6]Hist!AA141</f>
        <v>228</v>
      </c>
      <c r="O24" s="1379">
        <f t="shared" si="12"/>
        <v>4609.0657830484824</v>
      </c>
      <c r="P24" s="1236">
        <f>[4]Data!$I155</f>
        <v>1147581</v>
      </c>
      <c r="U24" s="1213">
        <f t="shared" si="0"/>
        <v>1147581</v>
      </c>
      <c r="V24" s="1238"/>
      <c r="W24" s="1238">
        <f t="shared" si="1"/>
        <v>24406</v>
      </c>
      <c r="X24" s="1237">
        <f>[5]May!$I19</f>
        <v>90.7</v>
      </c>
      <c r="Y24" s="1237">
        <f>[5]May!$M19</f>
        <v>90.1</v>
      </c>
      <c r="AD24" s="1225">
        <f t="shared" si="4"/>
        <v>1991</v>
      </c>
      <c r="AE24" s="1268">
        <f t="shared" si="13"/>
        <v>4609.0657830484824</v>
      </c>
      <c r="AF24" s="1269">
        <f t="shared" si="14"/>
        <v>1147581</v>
      </c>
      <c r="AG24" s="1270">
        <f t="shared" si="5"/>
        <v>90.1</v>
      </c>
      <c r="AH24" s="1269">
        <v>0</v>
      </c>
      <c r="AI24" s="1269">
        <v>0</v>
      </c>
      <c r="AJ24" s="1269">
        <f t="shared" si="6"/>
        <v>4678</v>
      </c>
      <c r="AK24" s="1269">
        <f t="shared" si="7"/>
        <v>-68.934216951517556</v>
      </c>
      <c r="AL24" s="1269"/>
      <c r="AM24" s="1269"/>
      <c r="AN24" s="1212"/>
      <c r="AO24" s="1483"/>
      <c r="AP24" s="1484">
        <f t="shared" si="15"/>
        <v>97.5114172770609</v>
      </c>
      <c r="AW24" s="1281"/>
      <c r="AX24" s="1281"/>
      <c r="BB24" s="1213">
        <v>1991</v>
      </c>
      <c r="BC24" s="1260">
        <f t="shared" si="8"/>
        <v>4660.963652317937</v>
      </c>
      <c r="BD24" s="1261">
        <f t="shared" si="9"/>
        <v>4609.0657830484824</v>
      </c>
      <c r="BE24" s="1260">
        <f t="shared" si="16"/>
        <v>-51.897869269454532</v>
      </c>
      <c r="BF24" s="1261">
        <f t="shared" si="10"/>
        <v>4678</v>
      </c>
      <c r="BG24" s="1260">
        <f t="shared" si="17"/>
        <v>-17.036347682063024</v>
      </c>
      <c r="BH24" s="1262"/>
    </row>
    <row r="25" spans="1:60">
      <c r="A25" s="1213">
        <v>1992</v>
      </c>
      <c r="B25" s="1234">
        <v>33755</v>
      </c>
      <c r="C25" s="1241">
        <v>18</v>
      </c>
      <c r="D25" s="1380" t="str">
        <f t="shared" si="2"/>
        <v>Sun</v>
      </c>
      <c r="E25" s="1242">
        <f>[7]MoCoinMW!F33</f>
        <v>4892</v>
      </c>
      <c r="F25" s="1242">
        <f>[7]MoCoinMW!G33</f>
        <v>4368.3525131336883</v>
      </c>
      <c r="G25" s="1251">
        <f>SUM([6]Hist!M153:O153)</f>
        <v>0</v>
      </c>
      <c r="H25" s="1251">
        <f>[6]Hist!L153</f>
        <v>0</v>
      </c>
      <c r="I25" s="1251">
        <f>[6]Hist!P153</f>
        <v>0</v>
      </c>
      <c r="J25" s="1242">
        <f t="shared" si="3"/>
        <v>4368.3525131336883</v>
      </c>
      <c r="K25" s="1251">
        <f>[6]Hist!U153</f>
        <v>94</v>
      </c>
      <c r="L25" s="1251">
        <f>[6]Hist!V153</f>
        <v>65.5</v>
      </c>
      <c r="M25" s="1242">
        <f t="shared" si="11"/>
        <v>4462.3525131336883</v>
      </c>
      <c r="N25" s="1251">
        <f>[6]Hist!AA153</f>
        <v>163</v>
      </c>
      <c r="O25" s="1379">
        <f t="shared" si="12"/>
        <v>4139.8525131336883</v>
      </c>
      <c r="P25" s="1236">
        <f>[4]Data!$I156</f>
        <v>1168673</v>
      </c>
      <c r="U25" s="1213">
        <f t="shared" si="0"/>
        <v>1168673</v>
      </c>
      <c r="V25" s="1238"/>
      <c r="W25" s="1238">
        <f t="shared" si="1"/>
        <v>21092</v>
      </c>
      <c r="X25" s="1237">
        <f>[5]May!$I20</f>
        <v>89.4</v>
      </c>
      <c r="Y25" s="1237">
        <f>[5]May!$M20</f>
        <v>90</v>
      </c>
      <c r="AD25" s="1213">
        <f t="shared" si="4"/>
        <v>1992</v>
      </c>
      <c r="AE25" s="1242">
        <f t="shared" si="13"/>
        <v>4139.8525131336883</v>
      </c>
      <c r="AF25" s="1238">
        <f t="shared" si="14"/>
        <v>1168673</v>
      </c>
      <c r="AG25" s="1253">
        <f t="shared" si="5"/>
        <v>90</v>
      </c>
      <c r="AH25" s="1250">
        <v>0</v>
      </c>
      <c r="AI25" s="1282">
        <v>1</v>
      </c>
      <c r="AJ25" s="1250">
        <f t="shared" si="6"/>
        <v>4297</v>
      </c>
      <c r="AK25" s="1250">
        <f t="shared" si="7"/>
        <v>-157.14748686631174</v>
      </c>
      <c r="AL25" s="1250"/>
      <c r="AM25" s="1250"/>
      <c r="AO25" s="1277"/>
      <c r="AP25" s="1263">
        <f t="shared" si="15"/>
        <v>-469.21326991479418</v>
      </c>
      <c r="AQ25" s="1243"/>
      <c r="AR25" s="1243"/>
      <c r="AS25" s="1243"/>
      <c r="AT25" s="1243"/>
      <c r="AU25" s="1243"/>
      <c r="AV25" s="1281"/>
      <c r="AW25" s="1281"/>
      <c r="AX25" s="1281"/>
      <c r="BB25" s="1213">
        <v>1992</v>
      </c>
      <c r="BC25" s="1260">
        <f t="shared" si="8"/>
        <v>4288.2191713988313</v>
      </c>
      <c r="BD25" s="1261">
        <f t="shared" si="9"/>
        <v>4139.8525131336883</v>
      </c>
      <c r="BE25" s="1260">
        <f t="shared" si="16"/>
        <v>-148.36665826514309</v>
      </c>
      <c r="BF25" s="1261">
        <f t="shared" si="10"/>
        <v>4297</v>
      </c>
      <c r="BG25" s="1260">
        <f t="shared" si="17"/>
        <v>-8.7808286011686505</v>
      </c>
      <c r="BH25" s="1262"/>
    </row>
    <row r="26" spans="1:60">
      <c r="A26" s="1213">
        <v>1993</v>
      </c>
      <c r="B26" s="1234">
        <v>34107</v>
      </c>
      <c r="C26" s="1241">
        <v>18</v>
      </c>
      <c r="D26" s="1235" t="str">
        <f t="shared" si="2"/>
        <v>Tue</v>
      </c>
      <c r="E26" s="1242">
        <f>[7]MoCoinMW!F45</f>
        <v>5030</v>
      </c>
      <c r="F26" s="1242">
        <f>[7]MoCoinMW!G45</f>
        <v>4578.3020151508181</v>
      </c>
      <c r="G26" s="1251">
        <f>SUM([6]Hist!M165:O165)</f>
        <v>0</v>
      </c>
      <c r="H26" s="1251">
        <f>[6]Hist!L165</f>
        <v>0</v>
      </c>
      <c r="I26" s="1251">
        <f>[6]Hist!P165</f>
        <v>0</v>
      </c>
      <c r="J26" s="1242">
        <f t="shared" si="3"/>
        <v>4578.3020151508181</v>
      </c>
      <c r="K26" s="1251">
        <f>[6]Hist!U165</f>
        <v>107</v>
      </c>
      <c r="L26" s="1251">
        <f>[6]Hist!V165</f>
        <v>65.5</v>
      </c>
      <c r="M26" s="1242">
        <f t="shared" si="11"/>
        <v>4685.3020151508181</v>
      </c>
      <c r="N26" s="1251">
        <f>[6]Hist!AA165</f>
        <v>229</v>
      </c>
      <c r="O26" s="1379">
        <f t="shared" si="12"/>
        <v>4283.8020151508181</v>
      </c>
      <c r="P26" s="1236">
        <f>[4]Data!$I157</f>
        <v>1204122</v>
      </c>
      <c r="U26" s="1213">
        <f t="shared" si="0"/>
        <v>1204122</v>
      </c>
      <c r="V26" s="1238"/>
      <c r="W26" s="1238">
        <f t="shared" si="1"/>
        <v>35449</v>
      </c>
      <c r="X26" s="1237">
        <f>[5]May!$I21</f>
        <v>83.2</v>
      </c>
      <c r="Y26" s="1237">
        <f>[5]May!$M21</f>
        <v>86.3</v>
      </c>
      <c r="AD26" s="1213">
        <f t="shared" si="4"/>
        <v>1993</v>
      </c>
      <c r="AE26" s="1242">
        <f t="shared" si="13"/>
        <v>4283.8020151508181</v>
      </c>
      <c r="AF26" s="1238">
        <f t="shared" si="14"/>
        <v>1204122</v>
      </c>
      <c r="AG26" s="1253">
        <f t="shared" si="5"/>
        <v>86.3</v>
      </c>
      <c r="AH26" s="1250">
        <v>0</v>
      </c>
      <c r="AI26" s="1283">
        <v>1</v>
      </c>
      <c r="AJ26" s="1250">
        <f t="shared" si="6"/>
        <v>4205</v>
      </c>
      <c r="AK26" s="1250">
        <f t="shared" si="7"/>
        <v>78.802015150818079</v>
      </c>
      <c r="AL26" s="1250"/>
      <c r="AM26" s="1250"/>
      <c r="AO26" s="1277"/>
      <c r="AP26" s="1263">
        <f t="shared" si="15"/>
        <v>143.94950201712982</v>
      </c>
      <c r="AQ26" s="1284"/>
      <c r="AR26" s="1284"/>
      <c r="AS26" s="1285"/>
      <c r="AT26" s="1285"/>
      <c r="AU26" s="1285"/>
      <c r="AV26" s="1281"/>
      <c r="AW26" s="1281"/>
      <c r="AX26" s="1281"/>
      <c r="BB26" s="1213">
        <v>1993</v>
      </c>
      <c r="BC26" s="1260">
        <f t="shared" si="8"/>
        <v>4520.6788978903069</v>
      </c>
      <c r="BD26" s="1261">
        <f t="shared" si="9"/>
        <v>4283.8020151508181</v>
      </c>
      <c r="BE26" s="1260">
        <f t="shared" si="16"/>
        <v>-236.87688273948879</v>
      </c>
      <c r="BF26" s="1261">
        <f t="shared" si="10"/>
        <v>4205</v>
      </c>
      <c r="BG26" s="1260">
        <f t="shared" si="17"/>
        <v>315.67889789030687</v>
      </c>
      <c r="BH26" s="1262"/>
    </row>
    <row r="27" spans="1:60">
      <c r="A27" s="1213">
        <v>1994</v>
      </c>
      <c r="B27" s="1234">
        <v>34470</v>
      </c>
      <c r="C27" s="1241">
        <v>16</v>
      </c>
      <c r="D27" s="1235" t="str">
        <f t="shared" si="2"/>
        <v>Mon</v>
      </c>
      <c r="E27" s="1242">
        <f>[7]MoCoinMW!F57</f>
        <v>6054</v>
      </c>
      <c r="F27" s="1242">
        <f>[7]MoCoinMW!G57</f>
        <v>5385.7436871783066</v>
      </c>
      <c r="G27" s="1251">
        <f>SUM([6]Hist!M177:O177)</f>
        <v>0</v>
      </c>
      <c r="H27" s="1251">
        <f>[6]Hist!L177</f>
        <v>0</v>
      </c>
      <c r="I27" s="1251">
        <f>[6]Hist!P177</f>
        <v>0</v>
      </c>
      <c r="J27" s="1242">
        <f t="shared" si="3"/>
        <v>5385.7436871783066</v>
      </c>
      <c r="K27" s="1251">
        <f>[6]Hist!U177</f>
        <v>127</v>
      </c>
      <c r="L27" s="1251">
        <f>[6]Hist!V177</f>
        <v>65.5</v>
      </c>
      <c r="M27" s="1242">
        <f t="shared" si="11"/>
        <v>5512.7436871783066</v>
      </c>
      <c r="N27" s="1251">
        <f>[6]Hist!AA177</f>
        <v>251</v>
      </c>
      <c r="O27" s="1379">
        <f t="shared" si="12"/>
        <v>5069.2436871783066</v>
      </c>
      <c r="P27" s="1236">
        <f>[4]Data!$I158</f>
        <v>1229945</v>
      </c>
      <c r="U27" s="1213">
        <f t="shared" si="0"/>
        <v>1229945</v>
      </c>
      <c r="W27" s="1238">
        <f t="shared" ref="W27:W58" si="18">U27-U26</f>
        <v>25823</v>
      </c>
      <c r="X27" s="1237">
        <f>[5]May!$I22</f>
        <v>90.05</v>
      </c>
      <c r="Y27" s="1237">
        <f>[5]May!$M22</f>
        <v>88.7</v>
      </c>
      <c r="AD27" s="1213">
        <f t="shared" si="4"/>
        <v>1994</v>
      </c>
      <c r="AE27" s="1242">
        <f t="shared" si="13"/>
        <v>5069.2436871783066</v>
      </c>
      <c r="AF27" s="1238">
        <f t="shared" si="14"/>
        <v>1229945</v>
      </c>
      <c r="AG27" s="1253">
        <f t="shared" si="5"/>
        <v>88.7</v>
      </c>
      <c r="AH27" s="1250">
        <v>0</v>
      </c>
      <c r="AI27" s="1250">
        <v>0</v>
      </c>
      <c r="AJ27" s="1250">
        <f t="shared" si="6"/>
        <v>5096</v>
      </c>
      <c r="AK27" s="1250">
        <f t="shared" si="7"/>
        <v>-26.756312821693427</v>
      </c>
      <c r="AL27" s="1250"/>
      <c r="AM27" s="1250"/>
      <c r="AO27" s="1277"/>
      <c r="AP27" s="1263">
        <f t="shared" si="15"/>
        <v>785.44167202748849</v>
      </c>
      <c r="AQ27" s="1286"/>
      <c r="AR27" s="1287"/>
      <c r="AS27" s="1288"/>
      <c r="AT27" s="1287"/>
      <c r="AU27" s="1289"/>
      <c r="AV27" s="1281"/>
      <c r="AW27" s="1281"/>
      <c r="AX27" s="1281"/>
      <c r="BB27" s="1213">
        <v>1994</v>
      </c>
      <c r="BC27" s="1260">
        <f t="shared" si="8"/>
        <v>5201.0723412159005</v>
      </c>
      <c r="BD27" s="1261">
        <f t="shared" si="9"/>
        <v>5069.2436871783066</v>
      </c>
      <c r="BE27" s="1260">
        <f t="shared" si="16"/>
        <v>-131.82865403759388</v>
      </c>
      <c r="BF27" s="1261">
        <f t="shared" si="10"/>
        <v>5096</v>
      </c>
      <c r="BG27" s="1260">
        <f t="shared" si="17"/>
        <v>105.07234121590045</v>
      </c>
      <c r="BH27" s="1262"/>
    </row>
    <row r="28" spans="1:60">
      <c r="A28" s="1213">
        <v>1995</v>
      </c>
      <c r="B28" s="1234">
        <v>34836</v>
      </c>
      <c r="C28" s="1241">
        <v>17</v>
      </c>
      <c r="D28" s="1235" t="str">
        <f t="shared" si="2"/>
        <v>Wed</v>
      </c>
      <c r="E28" s="1242">
        <f>[7]MoCoinMW!F69</f>
        <v>6851</v>
      </c>
      <c r="F28" s="1242">
        <f>[7]MoCoinMW!G69</f>
        <v>6056.8027416607383</v>
      </c>
      <c r="G28" s="1251">
        <f>SUM([6]Hist!M189:O189)</f>
        <v>0</v>
      </c>
      <c r="H28" s="1251">
        <f>[6]Hist!L189</f>
        <v>0</v>
      </c>
      <c r="I28" s="1251">
        <f>[6]Hist!P189</f>
        <v>0</v>
      </c>
      <c r="J28" s="1242">
        <f t="shared" si="3"/>
        <v>6056.8027416607383</v>
      </c>
      <c r="K28" s="1251">
        <f>[6]Hist!U189</f>
        <v>147</v>
      </c>
      <c r="L28" s="1251">
        <f>[6]Hist!V189</f>
        <v>65.5</v>
      </c>
      <c r="M28" s="1242">
        <f t="shared" si="11"/>
        <v>6203.8027416607383</v>
      </c>
      <c r="N28" s="1251">
        <f>[6]Hist!AA189</f>
        <v>308</v>
      </c>
      <c r="O28" s="1379">
        <f t="shared" si="12"/>
        <v>5683.3027416607383</v>
      </c>
      <c r="P28" s="1290">
        <f>'[12]1996'!$K$108-[4]Data!$G$159</f>
        <v>1243312</v>
      </c>
      <c r="U28" s="1213">
        <f t="shared" si="0"/>
        <v>1243312</v>
      </c>
      <c r="W28" s="1238">
        <f t="shared" si="18"/>
        <v>13367</v>
      </c>
      <c r="X28" s="1237">
        <f>[5]May!$I23</f>
        <v>91.85</v>
      </c>
      <c r="Y28" s="1237">
        <f>[5]May!$M23</f>
        <v>92.2</v>
      </c>
      <c r="AD28" s="1213">
        <f t="shared" si="4"/>
        <v>1995</v>
      </c>
      <c r="AE28" s="1242">
        <f t="shared" si="13"/>
        <v>5683.3027416607383</v>
      </c>
      <c r="AF28" s="1238">
        <f t="shared" si="14"/>
        <v>1243312</v>
      </c>
      <c r="AG28" s="1253">
        <f t="shared" si="5"/>
        <v>92.2</v>
      </c>
      <c r="AH28" s="1250">
        <v>0</v>
      </c>
      <c r="AI28" s="1250">
        <v>0</v>
      </c>
      <c r="AJ28" s="1250">
        <f t="shared" si="6"/>
        <v>5490</v>
      </c>
      <c r="AK28" s="1250">
        <f t="shared" si="7"/>
        <v>193.30274166073832</v>
      </c>
      <c r="AL28" s="1250"/>
      <c r="AM28" s="1250"/>
      <c r="AO28" s="1233"/>
      <c r="AP28" s="1263">
        <f t="shared" si="15"/>
        <v>614.05905448243175</v>
      </c>
      <c r="AQ28" s="1291"/>
      <c r="AR28" s="1292"/>
      <c r="AS28" s="1293"/>
      <c r="AT28" s="1292"/>
      <c r="AU28" s="1292"/>
      <c r="AV28" s="1281"/>
      <c r="AW28" s="1281"/>
      <c r="AX28" s="1281"/>
      <c r="BB28" s="1213">
        <v>1995</v>
      </c>
      <c r="BC28" s="1260">
        <f t="shared" si="8"/>
        <v>5288.7275406294675</v>
      </c>
      <c r="BD28" s="1261">
        <f t="shared" si="9"/>
        <v>5683.3027416607383</v>
      </c>
      <c r="BE28" s="1260">
        <f t="shared" si="16"/>
        <v>394.57520103127081</v>
      </c>
      <c r="BF28" s="1261">
        <f t="shared" si="10"/>
        <v>5490</v>
      </c>
      <c r="BG28" s="1260">
        <f t="shared" si="17"/>
        <v>-201.27245937053249</v>
      </c>
      <c r="BH28" s="1262"/>
    </row>
    <row r="29" spans="1:60">
      <c r="A29" s="1213">
        <v>1996</v>
      </c>
      <c r="B29" s="1234">
        <v>35208</v>
      </c>
      <c r="C29" s="1241">
        <v>18</v>
      </c>
      <c r="D29" s="1235" t="str">
        <f t="shared" si="2"/>
        <v>Thu</v>
      </c>
      <c r="E29" s="1242">
        <f>[7]MoCoinMW!F81</f>
        <v>6360</v>
      </c>
      <c r="F29" s="1242">
        <f>[7]MoCoinMW!G81</f>
        <v>5742.6612237279132</v>
      </c>
      <c r="G29" s="1251">
        <f>SUM([6]Hist!M201:O201)</f>
        <v>0</v>
      </c>
      <c r="H29" s="1251">
        <f>[6]Hist!L201</f>
        <v>0</v>
      </c>
      <c r="I29" s="1251">
        <f>[6]Hist!P201</f>
        <v>0</v>
      </c>
      <c r="J29" s="1242">
        <f t="shared" si="3"/>
        <v>5742.6612237279132</v>
      </c>
      <c r="K29" s="1251">
        <f>[6]Hist!U201</f>
        <v>173</v>
      </c>
      <c r="L29" s="1251">
        <f>[6]Hist!V201</f>
        <v>71.5</v>
      </c>
      <c r="M29" s="1242">
        <f t="shared" si="11"/>
        <v>5915.6612237279132</v>
      </c>
      <c r="N29" s="1251">
        <f>[6]Hist!AA201</f>
        <v>326</v>
      </c>
      <c r="O29" s="1379">
        <f t="shared" si="12"/>
        <v>5345.1612237279132</v>
      </c>
      <c r="P29" s="1290">
        <f>[8]FCST!$BG3</f>
        <v>1277885</v>
      </c>
      <c r="S29" s="1294" t="s">
        <v>336</v>
      </c>
      <c r="U29" s="1213">
        <f t="shared" si="0"/>
        <v>1277885</v>
      </c>
      <c r="W29" s="1238">
        <f t="shared" si="18"/>
        <v>34573</v>
      </c>
      <c r="X29" s="1237">
        <f>[5]May!$I24</f>
        <v>89.7</v>
      </c>
      <c r="Y29" s="1237">
        <f>[5]May!$M24</f>
        <v>90.4</v>
      </c>
      <c r="AD29" s="1213">
        <f t="shared" si="4"/>
        <v>1996</v>
      </c>
      <c r="AE29" s="1242">
        <f t="shared" si="13"/>
        <v>5345.1612237279132</v>
      </c>
      <c r="AF29" s="1238">
        <f t="shared" si="14"/>
        <v>1277885</v>
      </c>
      <c r="AG29" s="1253">
        <f t="shared" si="5"/>
        <v>90.4</v>
      </c>
      <c r="AH29" s="1250">
        <v>0</v>
      </c>
      <c r="AI29" s="1250">
        <v>0</v>
      </c>
      <c r="AJ29" s="1250">
        <f t="shared" si="6"/>
        <v>5559</v>
      </c>
      <c r="AK29" s="1250">
        <f t="shared" si="7"/>
        <v>-213.83877627208676</v>
      </c>
      <c r="AL29" s="1250"/>
      <c r="AM29" s="1250"/>
      <c r="AO29" s="1280"/>
      <c r="AP29" s="1263">
        <f t="shared" si="15"/>
        <v>-338.14151793282508</v>
      </c>
      <c r="AQ29" s="1295"/>
      <c r="AR29" s="1296"/>
      <c r="AS29" s="1297"/>
      <c r="AT29" s="1297"/>
      <c r="AU29" s="1297"/>
      <c r="AV29" s="1298"/>
      <c r="AW29" s="1298"/>
      <c r="AX29" s="1298"/>
      <c r="BB29" s="1213">
        <v>1996</v>
      </c>
      <c r="BC29" s="1260">
        <f t="shared" si="8"/>
        <v>5515.4428252352327</v>
      </c>
      <c r="BD29" s="1261">
        <f t="shared" si="9"/>
        <v>5345.1612237279132</v>
      </c>
      <c r="BE29" s="1260">
        <f t="shared" si="16"/>
        <v>-170.28160150731946</v>
      </c>
      <c r="BF29" s="1261">
        <f t="shared" si="10"/>
        <v>5559</v>
      </c>
      <c r="BG29" s="1260">
        <f t="shared" si="17"/>
        <v>-43.557174764767296</v>
      </c>
      <c r="BH29" s="1262"/>
    </row>
    <row r="30" spans="1:60">
      <c r="A30" s="1213">
        <v>1997</v>
      </c>
      <c r="B30" s="1234">
        <v>35577</v>
      </c>
      <c r="C30" s="1241">
        <v>17</v>
      </c>
      <c r="D30" s="1235" t="str">
        <f t="shared" si="2"/>
        <v>Tue</v>
      </c>
      <c r="E30" s="1242">
        <f>[7]MoCoinMW!F93</f>
        <v>6798</v>
      </c>
      <c r="F30" s="1242">
        <f>[7]MoCoinMW!G93</f>
        <v>6131.3023124131996</v>
      </c>
      <c r="G30" s="1251">
        <f>SUM([6]Hist!M213:O213)</f>
        <v>0</v>
      </c>
      <c r="H30" s="1251">
        <f>[6]Hist!L213</f>
        <v>0</v>
      </c>
      <c r="I30" s="1251">
        <f>[6]Hist!P213</f>
        <v>0</v>
      </c>
      <c r="J30" s="1242">
        <f t="shared" si="3"/>
        <v>6131.3023124131996</v>
      </c>
      <c r="K30" s="1251">
        <f>[6]Hist!U213</f>
        <v>192.5</v>
      </c>
      <c r="L30" s="1251">
        <f>[6]Hist!V213</f>
        <v>71.5</v>
      </c>
      <c r="M30" s="1242">
        <f t="shared" si="11"/>
        <v>6323.8023124131996</v>
      </c>
      <c r="N30" s="1251">
        <f>[6]Hist!AA213</f>
        <v>340.3</v>
      </c>
      <c r="O30" s="1379">
        <f t="shared" si="12"/>
        <v>5719.5023124131994</v>
      </c>
      <c r="P30" s="1238">
        <f>[8]FCST!$BG4</f>
        <v>1302703</v>
      </c>
      <c r="S30" s="1213">
        <f>[9]Sheet1!$R$11</f>
        <v>2936</v>
      </c>
      <c r="U30" s="1242">
        <f>P30-Q30+S30</f>
        <v>1305639</v>
      </c>
      <c r="W30" s="1238">
        <f t="shared" si="18"/>
        <v>27754</v>
      </c>
      <c r="X30" s="1237">
        <f>[5]May!$I25</f>
        <v>88.95</v>
      </c>
      <c r="Y30" s="1237">
        <f>[5]May!$M25</f>
        <v>89.8</v>
      </c>
      <c r="AD30" s="1213">
        <f t="shared" si="4"/>
        <v>1997</v>
      </c>
      <c r="AE30" s="1242">
        <f t="shared" si="13"/>
        <v>5719.5023124131994</v>
      </c>
      <c r="AF30" s="1238">
        <f t="shared" si="14"/>
        <v>1302703</v>
      </c>
      <c r="AG30" s="1253">
        <f t="shared" si="5"/>
        <v>89.8</v>
      </c>
      <c r="AH30" s="1250">
        <v>0</v>
      </c>
      <c r="AI30" s="1250">
        <v>0</v>
      </c>
      <c r="AJ30" s="1250">
        <f t="shared" si="6"/>
        <v>5669</v>
      </c>
      <c r="AK30" s="1250">
        <f t="shared" si="7"/>
        <v>50.502312413199434</v>
      </c>
      <c r="AL30" s="1250"/>
      <c r="AM30" s="1250"/>
      <c r="AO30" s="1277"/>
      <c r="AP30" s="1263">
        <f t="shared" si="15"/>
        <v>374.34108868528619</v>
      </c>
      <c r="AQ30" s="1292"/>
      <c r="AR30" s="1299"/>
      <c r="AS30" s="1297"/>
      <c r="AT30" s="1297"/>
      <c r="AU30" s="1297"/>
      <c r="AV30" s="1243"/>
      <c r="AW30" s="1243"/>
      <c r="AX30" s="1243"/>
      <c r="BB30" s="1213">
        <v>1997</v>
      </c>
      <c r="BC30" s="1260">
        <f t="shared" si="8"/>
        <v>5678.1888968328922</v>
      </c>
      <c r="BD30" s="1261">
        <f t="shared" si="9"/>
        <v>5719.5023124131994</v>
      </c>
      <c r="BE30" s="1260">
        <f t="shared" si="16"/>
        <v>41.313415580307264</v>
      </c>
      <c r="BF30" s="1261">
        <f t="shared" si="10"/>
        <v>5669</v>
      </c>
      <c r="BG30" s="1260">
        <f t="shared" si="17"/>
        <v>9.1888968328921692</v>
      </c>
      <c r="BH30" s="1262"/>
    </row>
    <row r="31" spans="1:60">
      <c r="A31" s="1213">
        <v>1998</v>
      </c>
      <c r="B31" s="1234">
        <v>35936</v>
      </c>
      <c r="C31" s="1241">
        <v>17</v>
      </c>
      <c r="D31" s="1235" t="str">
        <f t="shared" si="2"/>
        <v>Thu</v>
      </c>
      <c r="E31" s="1242">
        <f>[7]MoCoinMW!F105</f>
        <v>7066</v>
      </c>
      <c r="F31" s="1242">
        <f>[7]MoCoinMW!G105</f>
        <v>6301.0736442664238</v>
      </c>
      <c r="G31" s="1251">
        <f>SUM([6]Hist!M225:O225)</f>
        <v>146</v>
      </c>
      <c r="H31" s="1251">
        <f>[6]Hist!L225</f>
        <v>0</v>
      </c>
      <c r="I31" s="1251">
        <f>[6]Hist!P225</f>
        <v>0</v>
      </c>
      <c r="J31" s="1242">
        <f t="shared" si="3"/>
        <v>6447.0736442664238</v>
      </c>
      <c r="K31" s="1251">
        <f>[6]Hist!U225</f>
        <v>223</v>
      </c>
      <c r="L31" s="1251">
        <f>[6]Hist!V225</f>
        <v>75</v>
      </c>
      <c r="M31" s="1242">
        <f t="shared" si="11"/>
        <v>6670.0736442664238</v>
      </c>
      <c r="N31" s="1251">
        <f>'Interruptible Forecast'!AL9</f>
        <v>343</v>
      </c>
      <c r="O31" s="1379">
        <f t="shared" si="12"/>
        <v>6029.0736442664238</v>
      </c>
      <c r="P31" s="1238">
        <f>[8]FCST!$BG5</f>
        <v>1328187</v>
      </c>
      <c r="Q31" s="1300">
        <f>[8]FCST!$DI5</f>
        <v>7291</v>
      </c>
      <c r="S31" s="1213">
        <f>[9]Sheet1!$R$23</f>
        <v>6634</v>
      </c>
      <c r="U31" s="1242">
        <f t="shared" ref="U31:U40" si="19">P31-Q31+S$31</f>
        <v>1327530</v>
      </c>
      <c r="W31" s="1238">
        <f t="shared" si="18"/>
        <v>21891</v>
      </c>
      <c r="X31" s="1237">
        <f>[5]May!$I26</f>
        <v>90.85</v>
      </c>
      <c r="Y31" s="1237">
        <f>[5]May!$M26</f>
        <v>90.7</v>
      </c>
      <c r="AD31" s="1213">
        <f t="shared" si="4"/>
        <v>1998</v>
      </c>
      <c r="AE31" s="1242">
        <f t="shared" si="13"/>
        <v>6029.0736442664238</v>
      </c>
      <c r="AF31" s="1238">
        <f t="shared" si="14"/>
        <v>1328187</v>
      </c>
      <c r="AG31" s="1253">
        <f t="shared" si="5"/>
        <v>90.7</v>
      </c>
      <c r="AH31" s="1250">
        <v>0</v>
      </c>
      <c r="AI31" s="1250">
        <v>0</v>
      </c>
      <c r="AJ31" s="1250">
        <f t="shared" si="6"/>
        <v>5915</v>
      </c>
      <c r="AK31" s="1250">
        <f t="shared" si="7"/>
        <v>114.0736442664238</v>
      </c>
      <c r="AL31" s="1250"/>
      <c r="AM31" s="1250"/>
      <c r="AO31" s="1277"/>
      <c r="AP31" s="1263">
        <f t="shared" si="15"/>
        <v>309.57133185322436</v>
      </c>
      <c r="AQ31" s="1299"/>
      <c r="AR31" s="1299"/>
      <c r="AS31" s="1297"/>
      <c r="AT31" s="1297"/>
      <c r="AU31" s="1297"/>
      <c r="AV31" s="1243"/>
      <c r="AW31" s="1243"/>
      <c r="AX31" s="1243"/>
      <c r="BB31" s="1213">
        <v>1998</v>
      </c>
      <c r="BC31" s="1260">
        <f t="shared" si="8"/>
        <v>5845.302318083387</v>
      </c>
      <c r="BD31" s="1261">
        <f t="shared" si="9"/>
        <v>6029.0736442664238</v>
      </c>
      <c r="BE31" s="1260">
        <f t="shared" si="16"/>
        <v>183.77132618303676</v>
      </c>
      <c r="BF31" s="1261">
        <f t="shared" si="10"/>
        <v>5915</v>
      </c>
      <c r="BG31" s="1260">
        <f t="shared" si="17"/>
        <v>-69.697681916612964</v>
      </c>
      <c r="BH31" s="1262"/>
    </row>
    <row r="32" spans="1:60">
      <c r="A32" s="1213">
        <v>1999</v>
      </c>
      <c r="B32" s="1234">
        <v>36305</v>
      </c>
      <c r="C32" s="1213">
        <v>18</v>
      </c>
      <c r="D32" s="1235" t="str">
        <f t="shared" si="2"/>
        <v>Tue</v>
      </c>
      <c r="E32" s="1242">
        <f>[7]MoCoinMW!F117</f>
        <v>7226</v>
      </c>
      <c r="F32" s="1242">
        <f>[7]MoCoinMW!G117</f>
        <v>6297.8977441948809</v>
      </c>
      <c r="G32" s="1251">
        <f>SUM([6]Hist!M237:O237)</f>
        <v>0</v>
      </c>
      <c r="H32" s="1251">
        <f>[6]Hist!L237</f>
        <v>0</v>
      </c>
      <c r="I32" s="1251">
        <f>[6]Hist!P237</f>
        <v>0</v>
      </c>
      <c r="J32" s="1242">
        <f t="shared" si="3"/>
        <v>6297.8977441948809</v>
      </c>
      <c r="K32" s="1251">
        <f>[6]Hist!U237</f>
        <v>240</v>
      </c>
      <c r="L32" s="1251">
        <f>[6]Hist!V237</f>
        <v>75</v>
      </c>
      <c r="M32" s="1242">
        <f t="shared" si="11"/>
        <v>6537.8977441948809</v>
      </c>
      <c r="N32" s="1251">
        <f>'Interruptible Forecast'!AL10</f>
        <v>315</v>
      </c>
      <c r="O32" s="1379">
        <f t="shared" si="12"/>
        <v>5907.8977441948809</v>
      </c>
      <c r="P32" s="1238">
        <f>[8]FCST!$BG6</f>
        <v>1359939</v>
      </c>
      <c r="Q32" s="1300">
        <f>[8]FCST!$DI6</f>
        <v>13912</v>
      </c>
      <c r="U32" s="1242">
        <f t="shared" si="19"/>
        <v>1352661</v>
      </c>
      <c r="W32" s="1238">
        <f t="shared" si="18"/>
        <v>25131</v>
      </c>
      <c r="X32" s="1237">
        <f>[5]May!$I27</f>
        <v>87.5</v>
      </c>
      <c r="Y32" s="1237">
        <f>[5]May!$M27</f>
        <v>88.4</v>
      </c>
      <c r="AD32" s="1213">
        <f t="shared" si="4"/>
        <v>1999</v>
      </c>
      <c r="AE32" s="1242">
        <f t="shared" si="13"/>
        <v>5907.8977441948809</v>
      </c>
      <c r="AF32" s="1238">
        <f t="shared" si="14"/>
        <v>1359939</v>
      </c>
      <c r="AG32" s="1253">
        <f t="shared" si="5"/>
        <v>88.4</v>
      </c>
      <c r="AH32" s="1250">
        <v>0</v>
      </c>
      <c r="AI32" s="1250">
        <v>0</v>
      </c>
      <c r="AJ32" s="1250">
        <f t="shared" si="6"/>
        <v>5922</v>
      </c>
      <c r="AK32" s="1250">
        <f t="shared" si="7"/>
        <v>-14.102255805119057</v>
      </c>
      <c r="AL32" s="1250"/>
      <c r="AM32" s="1250"/>
      <c r="AO32" s="1277"/>
      <c r="AP32" s="1263">
        <f t="shared" si="15"/>
        <v>-121.17590007154286</v>
      </c>
      <c r="AQ32" s="1301"/>
      <c r="AR32" s="1301"/>
      <c r="AS32" s="1301"/>
      <c r="AT32" s="1301"/>
      <c r="AU32" s="1301"/>
      <c r="AV32" s="1243"/>
      <c r="AW32" s="1243"/>
      <c r="AX32" s="1243"/>
      <c r="BB32" s="1213">
        <v>1999</v>
      </c>
      <c r="BC32" s="1260">
        <f t="shared" si="8"/>
        <v>6053.5186636941899</v>
      </c>
      <c r="BD32" s="1261">
        <f t="shared" si="9"/>
        <v>5907.8977441948809</v>
      </c>
      <c r="BE32" s="1260">
        <f t="shared" si="16"/>
        <v>-145.62091949930891</v>
      </c>
      <c r="BF32" s="1261">
        <f t="shared" si="10"/>
        <v>5922</v>
      </c>
      <c r="BG32" s="1260">
        <f t="shared" si="17"/>
        <v>131.51866369418985</v>
      </c>
      <c r="BH32" s="1262"/>
    </row>
    <row r="33" spans="1:60">
      <c r="A33" s="1213">
        <v>2000</v>
      </c>
      <c r="B33" s="1234">
        <v>36672</v>
      </c>
      <c r="C33" s="1213">
        <v>17</v>
      </c>
      <c r="D33" s="1235" t="str">
        <f t="shared" si="2"/>
        <v>Fri</v>
      </c>
      <c r="E33" s="1242">
        <f>[7]MoCoinMW!F129</f>
        <v>8151</v>
      </c>
      <c r="F33" s="1242">
        <f>[7]MoCoinMW!G129</f>
        <v>6955.73</v>
      </c>
      <c r="G33" s="1251">
        <f>SUM([6]Hist!M249:O249)</f>
        <v>38</v>
      </c>
      <c r="H33" s="1251">
        <f>[6]Hist!L249</f>
        <v>0</v>
      </c>
      <c r="I33" s="1251">
        <f>[6]Hist!P249</f>
        <v>0</v>
      </c>
      <c r="J33" s="1242">
        <f t="shared" si="3"/>
        <v>6993.73</v>
      </c>
      <c r="K33" s="1251">
        <f>[6]Hist!U249</f>
        <v>255</v>
      </c>
      <c r="L33" s="1251">
        <f>[6]Hist!V249</f>
        <v>75</v>
      </c>
      <c r="M33" s="1242">
        <f t="shared" si="11"/>
        <v>7248.73</v>
      </c>
      <c r="N33" s="1251">
        <f>'Interruptible Forecast'!AL11</f>
        <v>317</v>
      </c>
      <c r="O33" s="1379">
        <f t="shared" si="12"/>
        <v>6601.73</v>
      </c>
      <c r="P33" s="1238">
        <f>[8]FCST!$BG7</f>
        <v>1395545</v>
      </c>
      <c r="Q33" s="1300">
        <f>[8]FCST!$DI7</f>
        <v>17221</v>
      </c>
      <c r="U33" s="1242">
        <f t="shared" si="19"/>
        <v>1384958</v>
      </c>
      <c r="W33" s="1238">
        <f t="shared" si="18"/>
        <v>32297</v>
      </c>
      <c r="X33" s="1237">
        <f>[5]May!$I28</f>
        <v>93.25</v>
      </c>
      <c r="Y33" s="1237">
        <f>[5]May!$M28</f>
        <v>92.9</v>
      </c>
      <c r="AD33" s="1213">
        <f t="shared" si="4"/>
        <v>2000</v>
      </c>
      <c r="AE33" s="1242">
        <f t="shared" si="13"/>
        <v>6601.73</v>
      </c>
      <c r="AF33" s="1238">
        <f t="shared" si="14"/>
        <v>1395545</v>
      </c>
      <c r="AG33" s="1253">
        <f t="shared" si="5"/>
        <v>92.9</v>
      </c>
      <c r="AH33" s="1250">
        <v>0</v>
      </c>
      <c r="AI33" s="1213">
        <v>0</v>
      </c>
      <c r="AJ33" s="1250">
        <f t="shared" si="6"/>
        <v>6550</v>
      </c>
      <c r="AK33" s="1250">
        <f t="shared" si="7"/>
        <v>51.729999999999563</v>
      </c>
      <c r="AL33" s="1250"/>
      <c r="AM33" s="1250"/>
      <c r="AN33" s="1250"/>
      <c r="AO33" s="1261"/>
      <c r="AP33" s="1263">
        <f t="shared" si="15"/>
        <v>693.83225580511862</v>
      </c>
      <c r="AQ33" s="1243"/>
      <c r="AR33" s="1243"/>
      <c r="AS33" s="1243"/>
      <c r="AT33" s="1243"/>
      <c r="AU33" s="1243"/>
      <c r="AV33" s="1243"/>
      <c r="AW33" s="1243"/>
      <c r="AX33" s="1243"/>
      <c r="BB33" s="1213">
        <v>2000</v>
      </c>
      <c r="BC33" s="1260">
        <f t="shared" si="8"/>
        <v>6287.0079305692898</v>
      </c>
      <c r="BD33" s="1261">
        <f t="shared" si="9"/>
        <v>6601.73</v>
      </c>
      <c r="BE33" s="1260">
        <f t="shared" si="16"/>
        <v>314.72206943070978</v>
      </c>
      <c r="BF33" s="1261">
        <f t="shared" si="10"/>
        <v>6550</v>
      </c>
      <c r="BG33" s="1260">
        <f t="shared" si="17"/>
        <v>-262.99206943071022</v>
      </c>
      <c r="BH33" s="1262"/>
    </row>
    <row r="34" spans="1:60">
      <c r="A34" s="1213">
        <v>2001</v>
      </c>
      <c r="B34" s="1234">
        <v>37041</v>
      </c>
      <c r="C34" s="1213">
        <v>18</v>
      </c>
      <c r="D34" s="1235" t="str">
        <f t="shared" si="2"/>
        <v>Wed</v>
      </c>
      <c r="E34" s="1242">
        <f>[7]MoCoinMW!F141</f>
        <v>7752</v>
      </c>
      <c r="F34" s="1242">
        <f>[7]MoCoinMW!G141</f>
        <v>6922.4</v>
      </c>
      <c r="G34" s="1251">
        <f>SUM([6]Hist!M261:O261)</f>
        <v>0</v>
      </c>
      <c r="H34" s="1251">
        <f>[6]Hist!L261</f>
        <v>0</v>
      </c>
      <c r="I34" s="1251">
        <f>[6]Hist!P261</f>
        <v>0</v>
      </c>
      <c r="J34" s="1242">
        <f t="shared" si="3"/>
        <v>6922.4</v>
      </c>
      <c r="K34" s="1251">
        <f>[6]Hist!U261</f>
        <v>268</v>
      </c>
      <c r="L34" s="1251">
        <f>[6]Hist!V261</f>
        <v>75</v>
      </c>
      <c r="M34" s="1242">
        <f t="shared" si="11"/>
        <v>7190.4</v>
      </c>
      <c r="N34" s="1251">
        <f>'Interruptible Forecast'!AL12</f>
        <v>311</v>
      </c>
      <c r="O34" s="1379">
        <f t="shared" si="12"/>
        <v>6536.4</v>
      </c>
      <c r="P34" s="1238">
        <f>[8]FCST!$BG8</f>
        <v>1432566</v>
      </c>
      <c r="Q34" s="1300">
        <f>[8]FCST!$DI8</f>
        <v>20185</v>
      </c>
      <c r="U34" s="1242">
        <f t="shared" si="19"/>
        <v>1419015</v>
      </c>
      <c r="W34" s="1238">
        <f t="shared" si="18"/>
        <v>34057</v>
      </c>
      <c r="X34" s="1237">
        <f>[5]May!$I29</f>
        <v>89</v>
      </c>
      <c r="Y34" s="1237">
        <f>[5]May!$M29</f>
        <v>89.3</v>
      </c>
      <c r="AD34" s="1213">
        <f t="shared" si="4"/>
        <v>2001</v>
      </c>
      <c r="AE34" s="1242">
        <f t="shared" si="13"/>
        <v>6536.4</v>
      </c>
      <c r="AF34" s="1238">
        <f t="shared" si="14"/>
        <v>1432566</v>
      </c>
      <c r="AG34" s="1253">
        <f t="shared" si="5"/>
        <v>89.3</v>
      </c>
      <c r="AH34" s="1250">
        <v>0</v>
      </c>
      <c r="AI34" s="1213">
        <v>0</v>
      </c>
      <c r="AJ34" s="1250">
        <f t="shared" si="6"/>
        <v>6477</v>
      </c>
      <c r="AK34" s="1250">
        <f t="shared" ref="AK34:AK39" si="20">AE34-AJ34</f>
        <v>59.399999999999636</v>
      </c>
      <c r="AL34" s="1250"/>
      <c r="AM34" s="1250"/>
      <c r="AN34" s="1250"/>
      <c r="AO34" s="1261"/>
      <c r="AP34" s="1263">
        <f t="shared" si="15"/>
        <v>-65.329999999999927</v>
      </c>
      <c r="AQ34" s="1243"/>
      <c r="AR34" s="1243"/>
      <c r="AS34" s="1243"/>
      <c r="AT34" s="1243"/>
      <c r="AU34" s="1243"/>
      <c r="AV34" s="1243"/>
      <c r="AW34" s="1243"/>
      <c r="AX34" s="1243"/>
      <c r="BB34" s="1213">
        <v>2001</v>
      </c>
      <c r="BC34" s="1260">
        <f t="shared" si="8"/>
        <v>6529.7761760611493</v>
      </c>
      <c r="BD34" s="1261">
        <f t="shared" si="9"/>
        <v>6536.4</v>
      </c>
      <c r="BE34" s="1260">
        <f t="shared" si="16"/>
        <v>6.6238239388503644</v>
      </c>
      <c r="BF34" s="1261">
        <f t="shared" si="10"/>
        <v>6477</v>
      </c>
      <c r="BG34" s="1260">
        <f t="shared" si="17"/>
        <v>52.776176061149272</v>
      </c>
      <c r="BH34" s="1262"/>
    </row>
    <row r="35" spans="1:60">
      <c r="A35" s="1213">
        <v>2002</v>
      </c>
      <c r="B35" s="1234">
        <v>37379</v>
      </c>
      <c r="C35" s="1213">
        <v>17</v>
      </c>
      <c r="D35" s="1235" t="str">
        <f t="shared" ref="D35:D40" si="21">TEXT(WEEKDAY(B35),"ddd")</f>
        <v>Fri</v>
      </c>
      <c r="E35" s="1242">
        <f>[7]MoCoinMW!F153</f>
        <v>8127</v>
      </c>
      <c r="F35" s="1242">
        <f>[7]MoCoinMW!G153</f>
        <v>7115.3</v>
      </c>
      <c r="G35" s="1251">
        <f>SUM([6]Hist!M273:O273)</f>
        <v>0</v>
      </c>
      <c r="H35" s="1251">
        <f>[6]Hist!L273</f>
        <v>0</v>
      </c>
      <c r="I35" s="1251">
        <f>[6]Hist!P273</f>
        <v>0</v>
      </c>
      <c r="J35" s="1242">
        <f t="shared" ref="J35:J40" si="22">SUM(F35:I35)</f>
        <v>7115.3</v>
      </c>
      <c r="K35" s="1251">
        <f>[6]Hist!U273</f>
        <v>282</v>
      </c>
      <c r="L35" s="1251">
        <f>[6]Hist!V273</f>
        <v>75</v>
      </c>
      <c r="M35" s="1242">
        <f t="shared" si="11"/>
        <v>7397.3</v>
      </c>
      <c r="N35" s="1251">
        <f>'Interruptible Forecast'!AL13</f>
        <v>353</v>
      </c>
      <c r="O35" s="1379">
        <f t="shared" si="12"/>
        <v>6687.3</v>
      </c>
      <c r="P35" s="1238">
        <f>[8]FCST!$BG9</f>
        <v>1467121</v>
      </c>
      <c r="Q35" s="1300">
        <f>[8]FCST!$DI9</f>
        <v>20910</v>
      </c>
      <c r="T35" s="1302"/>
      <c r="U35" s="1242">
        <f t="shared" si="19"/>
        <v>1452845</v>
      </c>
      <c r="W35" s="1238">
        <f t="shared" si="18"/>
        <v>33830</v>
      </c>
      <c r="X35" s="1237">
        <f>[5]May!$I30</f>
        <v>91.15</v>
      </c>
      <c r="Y35" s="1237">
        <f>[5]May!$M30</f>
        <v>91.3</v>
      </c>
      <c r="AB35" s="1303"/>
      <c r="AD35" s="1213">
        <f t="shared" si="4"/>
        <v>2002</v>
      </c>
      <c r="AE35" s="1242">
        <f t="shared" si="13"/>
        <v>6687.3</v>
      </c>
      <c r="AF35" s="1238">
        <f t="shared" si="14"/>
        <v>1467121</v>
      </c>
      <c r="AG35" s="1253">
        <f t="shared" si="5"/>
        <v>91.3</v>
      </c>
      <c r="AH35" s="1250">
        <v>0</v>
      </c>
      <c r="AI35" s="1213">
        <f t="shared" ref="AI35:AI37" si="23">AI34</f>
        <v>0</v>
      </c>
      <c r="AJ35" s="1250">
        <f t="shared" si="6"/>
        <v>6879</v>
      </c>
      <c r="AK35" s="1250">
        <f t="shared" si="20"/>
        <v>-191.69999999999982</v>
      </c>
      <c r="AL35" s="1250"/>
      <c r="AM35" s="1250"/>
      <c r="AN35" s="1250"/>
      <c r="AO35" s="1261"/>
      <c r="AP35" s="1263">
        <f t="shared" si="15"/>
        <v>150.90000000000055</v>
      </c>
      <c r="AQ35" s="1240"/>
      <c r="AR35" s="1240"/>
      <c r="AS35" s="1240"/>
      <c r="AT35" s="1240"/>
      <c r="AU35" s="1240"/>
      <c r="AV35" s="1240"/>
      <c r="AW35" s="1240"/>
      <c r="AX35" s="1240"/>
      <c r="BB35" s="1213">
        <v>2002</v>
      </c>
      <c r="BC35" s="1260">
        <f t="shared" si="8"/>
        <v>6756.3734241898119</v>
      </c>
      <c r="BD35" s="1261">
        <f t="shared" si="9"/>
        <v>6687.3</v>
      </c>
      <c r="BE35" s="1260">
        <f t="shared" si="16"/>
        <v>-69.073424189811703</v>
      </c>
      <c r="BF35" s="1261">
        <f t="shared" si="10"/>
        <v>6879</v>
      </c>
      <c r="BG35" s="1260">
        <f t="shared" si="17"/>
        <v>-122.62657581018811</v>
      </c>
      <c r="BH35" s="1262"/>
    </row>
    <row r="36" spans="1:60">
      <c r="A36" s="1213">
        <v>2003</v>
      </c>
      <c r="B36" s="1234">
        <v>37753</v>
      </c>
      <c r="C36" s="1213">
        <v>17</v>
      </c>
      <c r="D36" s="1235" t="str">
        <f t="shared" si="21"/>
        <v>Mon</v>
      </c>
      <c r="E36" s="1242">
        <f>[7]MoCoinMW!F$165</f>
        <v>8037</v>
      </c>
      <c r="F36" s="1242">
        <f>[7]MoCoinMW!G$165</f>
        <v>7328.3</v>
      </c>
      <c r="G36" s="1251">
        <f>SUM([6]Hist!M$285:O$285)</f>
        <v>0</v>
      </c>
      <c r="H36" s="1251">
        <f>[6]Hist!L$285</f>
        <v>0</v>
      </c>
      <c r="I36" s="1251">
        <f>[6]Hist!P$285</f>
        <v>0</v>
      </c>
      <c r="J36" s="1242">
        <f t="shared" si="22"/>
        <v>7328.3</v>
      </c>
      <c r="K36" s="1251">
        <f>[6]Hist!U$285</f>
        <v>298</v>
      </c>
      <c r="L36" s="1251">
        <f>[6]Hist!V$285</f>
        <v>75</v>
      </c>
      <c r="M36" s="1242">
        <f t="shared" si="11"/>
        <v>7626.3</v>
      </c>
      <c r="N36" s="1251">
        <f>'Interruptible Forecast'!AL14</f>
        <v>274</v>
      </c>
      <c r="O36" s="1379">
        <f t="shared" si="12"/>
        <v>6979.3</v>
      </c>
      <c r="P36" s="1238">
        <f>[8]FCST!$BG10</f>
        <v>1503732</v>
      </c>
      <c r="Q36" s="1300">
        <f>[8]FCST!$DI10</f>
        <v>21933</v>
      </c>
      <c r="R36" s="1304"/>
      <c r="S36" s="1305">
        <f>[8]FCST!$CQ10</f>
        <v>49058</v>
      </c>
      <c r="T36" s="1302"/>
      <c r="U36" s="1242">
        <f t="shared" si="19"/>
        <v>1488433</v>
      </c>
      <c r="W36" s="1238">
        <f t="shared" si="18"/>
        <v>35588</v>
      </c>
      <c r="X36" s="1237">
        <f>[5]May!$I31</f>
        <v>88.6</v>
      </c>
      <c r="Y36" s="1237">
        <f>[5]May!$M31</f>
        <v>88.8</v>
      </c>
      <c r="AD36" s="1213">
        <f t="shared" si="4"/>
        <v>2003</v>
      </c>
      <c r="AE36" s="1242">
        <f t="shared" si="13"/>
        <v>6979.3</v>
      </c>
      <c r="AF36" s="1238">
        <f t="shared" si="14"/>
        <v>1503732</v>
      </c>
      <c r="AG36" s="1253">
        <f t="shared" si="5"/>
        <v>88.8</v>
      </c>
      <c r="AH36" s="1250">
        <v>0</v>
      </c>
      <c r="AI36" s="1213">
        <f t="shared" si="23"/>
        <v>0</v>
      </c>
      <c r="AJ36" s="1250">
        <f t="shared" ref="AJ36:AJ41" si="24">ROUND($AV$13+$AU$13*AF36+$AT$13*AG36+$AS$13*AH36+$AR$13*AI36,0)</f>
        <v>6900</v>
      </c>
      <c r="AK36" s="1250">
        <f t="shared" si="20"/>
        <v>79.300000000000182</v>
      </c>
      <c r="AL36" s="1250"/>
      <c r="AM36" s="1250"/>
      <c r="AN36" s="1250"/>
      <c r="AO36" s="1261"/>
      <c r="AP36" s="1263">
        <f t="shared" si="15"/>
        <v>292</v>
      </c>
      <c r="AQ36" s="1240"/>
      <c r="AR36" s="1240"/>
      <c r="AS36" s="1240"/>
      <c r="AT36" s="1240"/>
      <c r="AU36" s="1240"/>
      <c r="AV36" s="1240"/>
      <c r="AW36" s="1240"/>
      <c r="AX36" s="1240"/>
      <c r="BB36" s="1213">
        <v>2003</v>
      </c>
      <c r="BC36" s="1260">
        <f t="shared" si="8"/>
        <v>6996.4530610365318</v>
      </c>
      <c r="BD36" s="1261">
        <f t="shared" si="9"/>
        <v>6979.3</v>
      </c>
      <c r="BE36" s="1260">
        <f t="shared" ref="BE36:BE41" si="25">BD36-BC36</f>
        <v>-17.153061036531653</v>
      </c>
      <c r="BF36" s="1261">
        <f t="shared" si="10"/>
        <v>6900</v>
      </c>
      <c r="BG36" s="1260">
        <f t="shared" ref="BG36:BG41" si="26">BC36-BF36</f>
        <v>96.453061036531835</v>
      </c>
    </row>
    <row r="37" spans="1:60">
      <c r="A37" s="1213">
        <v>2004</v>
      </c>
      <c r="B37" s="1234">
        <v>38133</v>
      </c>
      <c r="C37" s="1213">
        <v>17</v>
      </c>
      <c r="D37" s="1235" t="str">
        <f t="shared" si="21"/>
        <v>Wed</v>
      </c>
      <c r="E37" s="1242">
        <f>[7]MoCoinMW!F$177</f>
        <v>8446.2999999999993</v>
      </c>
      <c r="F37" s="1242">
        <f>[7]MoCoinMW!G$177</f>
        <v>7609.4</v>
      </c>
      <c r="G37" s="1251">
        <f>SUM([6]Hist!M$297:O$297)</f>
        <v>0</v>
      </c>
      <c r="H37" s="1251">
        <f>[6]Hist!L$297</f>
        <v>0</v>
      </c>
      <c r="I37" s="1251">
        <f>[6]Hist!P$297</f>
        <v>0</v>
      </c>
      <c r="J37" s="1242">
        <f t="shared" si="22"/>
        <v>7609.4</v>
      </c>
      <c r="K37" s="1251">
        <f>[6]Hist!U$297</f>
        <v>314</v>
      </c>
      <c r="L37" s="1251">
        <f>[6]Hist!V$297</f>
        <v>110</v>
      </c>
      <c r="M37" s="1242">
        <f t="shared" si="11"/>
        <v>7923.4</v>
      </c>
      <c r="N37" s="1251">
        <f>'Interruptible Forecast'!AL15</f>
        <v>276</v>
      </c>
      <c r="O37" s="1379">
        <f t="shared" si="12"/>
        <v>7223.4</v>
      </c>
      <c r="P37" s="1238">
        <f>[8]FCST!$BG11</f>
        <v>1541254</v>
      </c>
      <c r="Q37" s="1300">
        <f>[8]FCST!$DI11</f>
        <v>24517</v>
      </c>
      <c r="R37" s="1304"/>
      <c r="S37" s="1305">
        <f>[8]FCST!$CQ11</f>
        <v>52489</v>
      </c>
      <c r="T37" s="1302"/>
      <c r="U37" s="1242">
        <f t="shared" si="19"/>
        <v>1523371</v>
      </c>
      <c r="W37" s="1238">
        <f t="shared" si="18"/>
        <v>34938</v>
      </c>
      <c r="X37" s="1237">
        <f>[5]May!$I32</f>
        <v>92.15</v>
      </c>
      <c r="Y37" s="1237">
        <f>[5]May!$M32</f>
        <v>90.5</v>
      </c>
      <c r="AD37" s="1213">
        <f t="shared" si="4"/>
        <v>2004</v>
      </c>
      <c r="AE37" s="1242">
        <f t="shared" si="13"/>
        <v>7223.4</v>
      </c>
      <c r="AF37" s="1238">
        <f t="shared" si="14"/>
        <v>1541254</v>
      </c>
      <c r="AG37" s="1253">
        <f t="shared" si="5"/>
        <v>90.5</v>
      </c>
      <c r="AH37" s="1250">
        <v>0</v>
      </c>
      <c r="AI37" s="1213">
        <f t="shared" si="23"/>
        <v>0</v>
      </c>
      <c r="AJ37" s="1250">
        <f t="shared" si="24"/>
        <v>7295</v>
      </c>
      <c r="AK37" s="1250">
        <f t="shared" si="20"/>
        <v>-71.600000000000364</v>
      </c>
      <c r="AL37" s="1283"/>
      <c r="AM37" s="1250"/>
      <c r="AN37" s="1250"/>
      <c r="AO37" s="1261"/>
      <c r="AP37" s="1263">
        <f t="shared" si="15"/>
        <v>244.09999999999945</v>
      </c>
      <c r="AQ37" s="1240"/>
      <c r="AR37" s="1240"/>
      <c r="AS37" s="1240"/>
      <c r="AT37" s="1240"/>
      <c r="AU37" s="1240"/>
      <c r="AV37" s="1240"/>
      <c r="AW37" s="1240"/>
      <c r="AX37" s="1240"/>
      <c r="BB37" s="1213">
        <v>2004</v>
      </c>
      <c r="BC37" s="1260">
        <f t="shared" si="8"/>
        <v>7242.5066551411101</v>
      </c>
      <c r="BD37" s="1261">
        <f t="shared" si="9"/>
        <v>7223.4</v>
      </c>
      <c r="BE37" s="1260">
        <f t="shared" si="25"/>
        <v>-19.106655141110423</v>
      </c>
      <c r="BF37" s="1261">
        <f t="shared" si="10"/>
        <v>7295</v>
      </c>
      <c r="BG37" s="1260">
        <f t="shared" si="26"/>
        <v>-52.493344858889941</v>
      </c>
    </row>
    <row r="38" spans="1:60">
      <c r="A38" s="1213">
        <v>2005</v>
      </c>
      <c r="B38" s="1234">
        <v>38502</v>
      </c>
      <c r="C38" s="1213">
        <v>17</v>
      </c>
      <c r="D38" s="1235" t="str">
        <f t="shared" si="21"/>
        <v>Mon</v>
      </c>
      <c r="E38" s="1242">
        <f>[7]MoCoinMW!F$189</f>
        <v>8478.2999999999993</v>
      </c>
      <c r="F38" s="1242">
        <f>[7]MoCoinMW!G$189</f>
        <v>7453.7999999999993</v>
      </c>
      <c r="G38" s="1251">
        <f>SUM([6]Hist!M$309:O$309)</f>
        <v>0</v>
      </c>
      <c r="H38" s="1251">
        <f>[6]Hist!L$309</f>
        <v>0</v>
      </c>
      <c r="I38" s="1251">
        <f>[6]Hist!P$309</f>
        <v>0</v>
      </c>
      <c r="J38" s="1242">
        <f t="shared" si="22"/>
        <v>7453.7999999999993</v>
      </c>
      <c r="K38" s="1251">
        <f>[6]Hist!U$309</f>
        <v>332</v>
      </c>
      <c r="L38" s="1251">
        <f>[6]Hist!V$309</f>
        <v>110</v>
      </c>
      <c r="M38" s="1242">
        <f t="shared" si="11"/>
        <v>7785.7999999999993</v>
      </c>
      <c r="N38" s="1251">
        <f>'Interruptible Forecast'!AL16</f>
        <v>311</v>
      </c>
      <c r="O38" s="1379">
        <f t="shared" si="12"/>
        <v>7032.7999999999993</v>
      </c>
      <c r="P38" s="1238">
        <f>[8]FCST!$BG12</f>
        <v>1576931</v>
      </c>
      <c r="Q38" s="1300">
        <f>[8]FCST!$DI12</f>
        <v>26310</v>
      </c>
      <c r="R38" s="1304"/>
      <c r="S38" s="1305">
        <f>[8]FCST!$CQ12</f>
        <v>56722</v>
      </c>
      <c r="T38" s="1302"/>
      <c r="U38" s="1242">
        <f t="shared" si="19"/>
        <v>1557255</v>
      </c>
      <c r="V38" s="1236">
        <f>[10]WP2005!$D$33</f>
        <v>12250</v>
      </c>
      <c r="W38" s="1238">
        <f t="shared" si="18"/>
        <v>33884</v>
      </c>
      <c r="X38" s="1237">
        <f>[5]May!$I33</f>
        <v>91.3</v>
      </c>
      <c r="Y38" s="1237">
        <f>[5]May!$M33</f>
        <v>89.6</v>
      </c>
      <c r="AD38" s="1213">
        <f t="shared" si="4"/>
        <v>2005</v>
      </c>
      <c r="AE38" s="1242">
        <f t="shared" si="13"/>
        <v>7032.7999999999993</v>
      </c>
      <c r="AF38" s="1238">
        <f t="shared" si="14"/>
        <v>1576931</v>
      </c>
      <c r="AG38" s="1253">
        <f t="shared" si="5"/>
        <v>89.6</v>
      </c>
      <c r="AH38" s="1250">
        <v>0</v>
      </c>
      <c r="AI38" s="1213">
        <v>1</v>
      </c>
      <c r="AJ38" s="1250">
        <f t="shared" si="24"/>
        <v>6939</v>
      </c>
      <c r="AK38" s="1250">
        <f t="shared" si="20"/>
        <v>93.799999999999272</v>
      </c>
      <c r="AL38" s="1283"/>
      <c r="AM38" s="1250"/>
      <c r="AN38" s="1250"/>
      <c r="AO38" s="1261"/>
      <c r="AP38" s="1263">
        <f t="shared" si="15"/>
        <v>-190.60000000000036</v>
      </c>
      <c r="BB38" s="1213">
        <v>2005</v>
      </c>
      <c r="BC38" s="1260">
        <f t="shared" si="8"/>
        <v>6965.4045085862508</v>
      </c>
      <c r="BD38" s="1261">
        <f t="shared" si="9"/>
        <v>7032.7999999999993</v>
      </c>
      <c r="BE38" s="1260">
        <f t="shared" si="25"/>
        <v>67.395491413748459</v>
      </c>
      <c r="BF38" s="1261">
        <f t="shared" si="10"/>
        <v>6939</v>
      </c>
      <c r="BG38" s="1260">
        <f t="shared" si="26"/>
        <v>26.404508586250813</v>
      </c>
    </row>
    <row r="39" spans="1:60">
      <c r="A39" s="1213">
        <v>2006</v>
      </c>
      <c r="B39" s="1234">
        <v>38865</v>
      </c>
      <c r="C39" s="1213">
        <v>16</v>
      </c>
      <c r="D39" s="1380" t="str">
        <f t="shared" si="21"/>
        <v>Sun</v>
      </c>
      <c r="E39" s="1242">
        <f>[7]MoCoinMW!F$201</f>
        <v>8381</v>
      </c>
      <c r="F39" s="1242">
        <f>[7]MoCoinMW!G$201</f>
        <v>7466.9</v>
      </c>
      <c r="G39" s="1251">
        <f>SUM([6]Hist!M$321:O$321)</f>
        <v>0</v>
      </c>
      <c r="H39" s="1251">
        <f>[6]Hist!L$321</f>
        <v>0</v>
      </c>
      <c r="I39" s="1251">
        <f>[6]Hist!P$321</f>
        <v>0</v>
      </c>
      <c r="J39" s="1242">
        <f t="shared" si="22"/>
        <v>7466.9</v>
      </c>
      <c r="K39" s="1251">
        <f>[6]Hist!U$321</f>
        <v>353</v>
      </c>
      <c r="L39" s="1251">
        <f>[6]Hist!V$321</f>
        <v>66</v>
      </c>
      <c r="M39" s="1242">
        <f t="shared" si="11"/>
        <v>7819.9</v>
      </c>
      <c r="N39" s="1251">
        <f>'Interruptible Forecast'!AL17</f>
        <v>284</v>
      </c>
      <c r="O39" s="1379">
        <f t="shared" si="12"/>
        <v>7116.9</v>
      </c>
      <c r="P39" s="1238">
        <f>[8]FCST!$BG13</f>
        <v>1607229</v>
      </c>
      <c r="Q39" s="1300">
        <f>[8]FCST!$DI13</f>
        <v>22993</v>
      </c>
      <c r="R39" s="1304"/>
      <c r="S39" s="1305">
        <f>[8]FCST!$CQ13</f>
        <v>57194</v>
      </c>
      <c r="T39" s="1302"/>
      <c r="U39" s="1242">
        <f t="shared" si="19"/>
        <v>1590870</v>
      </c>
      <c r="V39" s="1236">
        <f>ROUND(V38*1.01,0)</f>
        <v>12373</v>
      </c>
      <c r="W39" s="1238">
        <f t="shared" si="18"/>
        <v>33615</v>
      </c>
      <c r="X39" s="1237">
        <f>[5]May!$I34</f>
        <v>90.75</v>
      </c>
      <c r="Y39" s="1237">
        <f>[5]May!$M34</f>
        <v>89.5</v>
      </c>
      <c r="Z39" s="1213"/>
      <c r="AD39" s="1213">
        <f t="shared" si="4"/>
        <v>2006</v>
      </c>
      <c r="AE39" s="1242">
        <f t="shared" si="13"/>
        <v>7116.9</v>
      </c>
      <c r="AF39" s="1238">
        <f t="shared" si="14"/>
        <v>1607229</v>
      </c>
      <c r="AG39" s="1253">
        <f t="shared" si="5"/>
        <v>89.5</v>
      </c>
      <c r="AH39" s="1250">
        <v>0</v>
      </c>
      <c r="AI39" s="1306">
        <v>1</v>
      </c>
      <c r="AJ39" s="1250">
        <f t="shared" si="24"/>
        <v>7129</v>
      </c>
      <c r="AK39" s="1250">
        <f t="shared" si="20"/>
        <v>-12.100000000000364</v>
      </c>
      <c r="AL39" s="1283"/>
      <c r="AM39" s="1307"/>
      <c r="AN39" s="1250"/>
      <c r="AO39" s="1261"/>
      <c r="AP39" s="1263">
        <f t="shared" si="15"/>
        <v>84.100000000000364</v>
      </c>
      <c r="BB39" s="1213">
        <v>2006</v>
      </c>
      <c r="BC39" s="1260">
        <f t="shared" si="8"/>
        <v>7164.0861298799045</v>
      </c>
      <c r="BD39" s="1261">
        <f t="shared" si="9"/>
        <v>7116.9</v>
      </c>
      <c r="BE39" s="1260">
        <f t="shared" si="25"/>
        <v>-47.186129879904911</v>
      </c>
      <c r="BF39" s="1261">
        <f t="shared" si="10"/>
        <v>7129</v>
      </c>
      <c r="BG39" s="1260">
        <f t="shared" si="26"/>
        <v>35.086129879904547</v>
      </c>
    </row>
    <row r="40" spans="1:60">
      <c r="A40" s="1213">
        <v>2007</v>
      </c>
      <c r="B40" s="1234">
        <v>39206</v>
      </c>
      <c r="C40" s="1213">
        <v>17</v>
      </c>
      <c r="D40" s="1235" t="str">
        <f t="shared" si="21"/>
        <v>Fri</v>
      </c>
      <c r="E40" s="1242">
        <f>[7]MoCoinMW!F$213</f>
        <v>8123</v>
      </c>
      <c r="F40" s="1242">
        <f>[7]MoCoinMW!G$213</f>
        <v>7149</v>
      </c>
      <c r="G40" s="1251">
        <f>SUM([6]Hist!M$333:O$333)</f>
        <v>0</v>
      </c>
      <c r="H40" s="1251">
        <f>[6]Hist!L$333</f>
        <v>0</v>
      </c>
      <c r="I40" s="1251">
        <f>[6]Hist!P$333</f>
        <v>0</v>
      </c>
      <c r="J40" s="1242">
        <f t="shared" si="22"/>
        <v>7149</v>
      </c>
      <c r="K40" s="1251">
        <f>[6]Hist!U$333</f>
        <v>374</v>
      </c>
      <c r="L40" s="1251">
        <f>[6]Hist!V$333</f>
        <v>110</v>
      </c>
      <c r="M40" s="1242">
        <f>SUM(J40:K40)</f>
        <v>7523</v>
      </c>
      <c r="N40" s="1251">
        <f>'Interruptible Forecast'!AL18</f>
        <v>296</v>
      </c>
      <c r="O40" s="1379">
        <f t="shared" si="12"/>
        <v>6743</v>
      </c>
      <c r="P40" s="1238">
        <f>[8]FCST!$BG14</f>
        <v>1635705</v>
      </c>
      <c r="Q40" s="1300">
        <f>[8]FCST!$DI14</f>
        <v>24525</v>
      </c>
      <c r="R40" s="1304"/>
      <c r="S40" s="1305">
        <f>[8]FCST!$CQ14</f>
        <v>59436</v>
      </c>
      <c r="T40" s="1302"/>
      <c r="U40" s="1242">
        <f t="shared" si="19"/>
        <v>1617814</v>
      </c>
      <c r="V40" s="1236">
        <f>ROUND(V39*1.01,0)</f>
        <v>12497</v>
      </c>
      <c r="W40" s="1238">
        <f t="shared" si="18"/>
        <v>26944</v>
      </c>
      <c r="X40" s="1237">
        <f>[5]May!$I35</f>
        <v>89.35</v>
      </c>
      <c r="Y40" s="1237">
        <f>[5]May!$M35</f>
        <v>88.3</v>
      </c>
      <c r="AD40" s="1213">
        <f t="shared" si="4"/>
        <v>2007</v>
      </c>
      <c r="AE40" s="1242">
        <f t="shared" si="13"/>
        <v>6743</v>
      </c>
      <c r="AF40" s="1238">
        <f t="shared" si="14"/>
        <v>1635705</v>
      </c>
      <c r="AG40" s="1253">
        <f t="shared" si="5"/>
        <v>88.3</v>
      </c>
      <c r="AH40" s="1250">
        <v>1</v>
      </c>
      <c r="AI40" s="1213">
        <v>0</v>
      </c>
      <c r="AJ40" s="1250">
        <f t="shared" si="24"/>
        <v>6864</v>
      </c>
      <c r="AK40" s="1250">
        <f>AE40-AJ40</f>
        <v>-121</v>
      </c>
      <c r="AL40" s="1283"/>
      <c r="AM40" s="1307"/>
      <c r="AN40" s="1250"/>
      <c r="AO40" s="1261"/>
      <c r="AP40" s="1263">
        <f t="shared" si="15"/>
        <v>-373.89999999999964</v>
      </c>
      <c r="AZ40" s="1213"/>
      <c r="BB40" s="1213">
        <v>2007</v>
      </c>
      <c r="BC40" s="1260">
        <f>$AV$13+$AU$13*AF40+$AT$13*$AG$63+$AS$13*AH40+$AR$13*AI40</f>
        <v>7004.4473396039257</v>
      </c>
      <c r="BD40" s="1261">
        <f t="shared" si="9"/>
        <v>6743</v>
      </c>
      <c r="BE40" s="1260">
        <f t="shared" si="25"/>
        <v>-261.44733960392568</v>
      </c>
      <c r="BF40" s="1261">
        <f t="shared" si="10"/>
        <v>6864</v>
      </c>
      <c r="BG40" s="1260">
        <f t="shared" si="26"/>
        <v>140.44733960392568</v>
      </c>
    </row>
    <row r="41" spans="1:60">
      <c r="A41" s="1213">
        <v>2008</v>
      </c>
      <c r="B41" s="1234">
        <v>39599</v>
      </c>
      <c r="C41" s="1213">
        <v>17</v>
      </c>
      <c r="D41" s="1235" t="str">
        <f>TEXT(WEEKDAY(B41),"ddd")</f>
        <v>Sat</v>
      </c>
      <c r="E41" s="1242">
        <f>[7]MoCoinMW!F$225</f>
        <v>9298</v>
      </c>
      <c r="F41" s="1242">
        <f>[7]MoCoinMW!G$225</f>
        <v>7720</v>
      </c>
      <c r="G41" s="1251">
        <f>SUM([6]Hist!M$345:O$345)</f>
        <v>0</v>
      </c>
      <c r="H41" s="1251">
        <f>[6]Hist!L$345</f>
        <v>0</v>
      </c>
      <c r="I41" s="1251">
        <f>[6]Hist!P$345</f>
        <v>0</v>
      </c>
      <c r="J41" s="1242">
        <f>SUM(F41:I41)</f>
        <v>7720</v>
      </c>
      <c r="K41" s="1251">
        <f>[6]Hist!U$345</f>
        <v>399</v>
      </c>
      <c r="L41" s="1251">
        <f>[6]Hist!V$345</f>
        <v>110</v>
      </c>
      <c r="M41" s="1242">
        <f>SUM(J41:K41)</f>
        <v>8119</v>
      </c>
      <c r="N41" s="1251">
        <f>'Interruptible Forecast'!AL19</f>
        <v>289</v>
      </c>
      <c r="O41" s="1379">
        <f t="shared" si="12"/>
        <v>7321</v>
      </c>
      <c r="P41" s="1238">
        <f>[8]FCST!$BG15</f>
        <v>1637081</v>
      </c>
      <c r="Q41" s="1300">
        <f>[8]FCST!$DI15</f>
        <v>24226</v>
      </c>
      <c r="R41" s="1304"/>
      <c r="S41" s="1305">
        <f>[8]FCST!$CQ15</f>
        <v>57671</v>
      </c>
      <c r="T41" s="1302"/>
      <c r="U41" s="1242">
        <f t="shared" ref="U41:U58" si="27">P41-Q41+S$31</f>
        <v>1619489</v>
      </c>
      <c r="V41" s="1236">
        <f>ROUND(V40*1.005,0)</f>
        <v>12559</v>
      </c>
      <c r="W41" s="1238">
        <f t="shared" si="18"/>
        <v>1675</v>
      </c>
      <c r="X41" s="1237">
        <f>[5]May!$I36</f>
        <v>92</v>
      </c>
      <c r="Y41" s="1237">
        <f>[5]May!$M36</f>
        <v>89.6</v>
      </c>
      <c r="AD41" s="1213">
        <f t="shared" si="4"/>
        <v>2008</v>
      </c>
      <c r="AE41" s="1242">
        <f>O41</f>
        <v>7321</v>
      </c>
      <c r="AF41" s="1238">
        <f t="shared" si="14"/>
        <v>1637081</v>
      </c>
      <c r="AG41" s="1253">
        <f>Y41</f>
        <v>89.6</v>
      </c>
      <c r="AH41" s="1250">
        <v>0</v>
      </c>
      <c r="AI41" s="1213">
        <v>1</v>
      </c>
      <c r="AJ41" s="1250">
        <f t="shared" si="24"/>
        <v>7334</v>
      </c>
      <c r="AK41" s="1250">
        <f>AE41-AJ41</f>
        <v>-13</v>
      </c>
      <c r="AL41" s="1283"/>
      <c r="AM41" s="1307"/>
      <c r="AN41" s="1250"/>
      <c r="AO41" s="1261"/>
      <c r="AP41" s="1263">
        <f t="shared" si="15"/>
        <v>578</v>
      </c>
      <c r="AZ41" s="1213"/>
      <c r="BB41" s="1213">
        <v>2008</v>
      </c>
      <c r="BC41" s="1260">
        <f>$AV$13+$AU$13*AF41+$AT$13*$AG$63+$AS$13*AH41+$AR$13*AI41</f>
        <v>7359.8430695742118</v>
      </c>
      <c r="BD41" s="1261">
        <f>AE41</f>
        <v>7321</v>
      </c>
      <c r="BE41" s="1260">
        <f t="shared" si="25"/>
        <v>-38.843069574211768</v>
      </c>
      <c r="BF41" s="1261">
        <f>AJ41</f>
        <v>7334</v>
      </c>
      <c r="BG41" s="1260">
        <f t="shared" si="26"/>
        <v>25.843069574211768</v>
      </c>
    </row>
    <row r="42" spans="1:60">
      <c r="A42" s="1213">
        <v>2009</v>
      </c>
      <c r="B42" s="1234">
        <v>39944</v>
      </c>
      <c r="C42" s="1213">
        <v>17</v>
      </c>
      <c r="D42" s="1235" t="str">
        <f>TEXT(WEEKDAY(B42),"ddd")</f>
        <v>Mon</v>
      </c>
      <c r="E42" s="1242">
        <f>[7]MoCoinMW!F$237</f>
        <v>8736</v>
      </c>
      <c r="F42" s="1242">
        <f>[7]MoCoinMW!G$237</f>
        <v>7579</v>
      </c>
      <c r="G42" s="1251">
        <f>SUM([6]Hist!M$357:O$357)</f>
        <v>0</v>
      </c>
      <c r="H42" s="1251">
        <f>[6]Hist!L$357</f>
        <v>0</v>
      </c>
      <c r="I42" s="1251">
        <f>[6]Hist!P$357</f>
        <v>0</v>
      </c>
      <c r="J42" s="1242">
        <f>SUM(F42:I42)</f>
        <v>7579</v>
      </c>
      <c r="K42" s="1251">
        <f>[6]Hist!U$357</f>
        <v>432</v>
      </c>
      <c r="L42" s="1251">
        <f>[6]Hist!V$357</f>
        <v>110</v>
      </c>
      <c r="M42" s="1242">
        <f>SUM(J42:K42)</f>
        <v>8011</v>
      </c>
      <c r="N42" s="1251">
        <f>'Interruptible Forecast'!AL20</f>
        <v>307</v>
      </c>
      <c r="O42" s="1379">
        <f t="shared" si="12"/>
        <v>7162</v>
      </c>
      <c r="P42" s="1238">
        <f>[8]FCST!$BG16</f>
        <v>1628862</v>
      </c>
      <c r="Q42" s="1300">
        <f>[8]FCST!$DI16</f>
        <v>25106</v>
      </c>
      <c r="R42" s="1304"/>
      <c r="S42" s="1305">
        <f>[8]FCST!$CQ16</f>
        <v>59420</v>
      </c>
      <c r="T42" s="1302"/>
      <c r="U42" s="1242">
        <f t="shared" si="27"/>
        <v>1610390</v>
      </c>
      <c r="V42" s="1236">
        <f t="shared" ref="V42:V63" si="28">ROUND(V41*1.005,0)</f>
        <v>12622</v>
      </c>
      <c r="W42" s="1238">
        <f t="shared" si="18"/>
        <v>-9099</v>
      </c>
      <c r="X42" s="1237">
        <f>[5]May!$I37</f>
        <v>91.6</v>
      </c>
      <c r="Y42" s="1237">
        <f>[5]May!$M37</f>
        <v>90.5</v>
      </c>
      <c r="AD42" s="1213">
        <f t="shared" si="4"/>
        <v>2009</v>
      </c>
      <c r="AE42" s="1242">
        <f>O42</f>
        <v>7162</v>
      </c>
      <c r="AF42" s="1238">
        <f t="shared" si="14"/>
        <v>1628862</v>
      </c>
      <c r="AG42" s="1253">
        <f>Y42</f>
        <v>90.5</v>
      </c>
      <c r="AH42" s="1324">
        <v>1</v>
      </c>
      <c r="AI42" s="1213">
        <v>0</v>
      </c>
      <c r="AJ42" s="1250">
        <f>ROUND($AV$13+$AU$13*AF42+$AT$13*AG42+$AS$13*AH42+$AR$13*AI42,0)</f>
        <v>7012</v>
      </c>
      <c r="AK42" s="1250">
        <f>AE42-AJ42</f>
        <v>150</v>
      </c>
      <c r="AL42" s="1283"/>
      <c r="AM42" s="1307"/>
      <c r="AN42" s="1250"/>
      <c r="AO42" s="1261"/>
      <c r="AP42" s="1263">
        <f t="shared" si="15"/>
        <v>-159</v>
      </c>
      <c r="AZ42" s="1213"/>
      <c r="BB42" s="1213">
        <v>2009</v>
      </c>
      <c r="BC42" s="1260">
        <f>$AV$13+$AU$13*AF42+$AT$13*$AG$63+$AS$13*AH42+$AR$13*AI42</f>
        <v>6959.5738055583633</v>
      </c>
      <c r="BD42" s="1261">
        <f>AE42</f>
        <v>7162</v>
      </c>
      <c r="BE42" s="1260">
        <f>BD42-BC42</f>
        <v>202.42619444163665</v>
      </c>
      <c r="BF42" s="1261">
        <f>AJ42</f>
        <v>7012</v>
      </c>
      <c r="BG42" s="1260">
        <f>BC42-BF42</f>
        <v>-52.426194441636653</v>
      </c>
    </row>
    <row r="43" spans="1:60">
      <c r="A43" s="1213">
        <v>2010</v>
      </c>
      <c r="B43" s="1234">
        <v>40301</v>
      </c>
      <c r="C43" s="1213">
        <v>17</v>
      </c>
      <c r="D43" s="1235" t="str">
        <f>TEXT(WEEKDAY(B43),"ddd")</f>
        <v>Mon</v>
      </c>
      <c r="E43" s="1242">
        <f>[7]MoCoinMW!F$249</f>
        <v>8585</v>
      </c>
      <c r="F43" s="1242">
        <f>[7]MoCoinMW!G$249</f>
        <v>7542</v>
      </c>
      <c r="G43" s="1251">
        <f>SUM([6]Hist!M$369:O$369)</f>
        <v>0</v>
      </c>
      <c r="H43" s="1251">
        <f>[6]Hist!L$369</f>
        <v>0</v>
      </c>
      <c r="I43" s="1251">
        <f>[6]Hist!P$369</f>
        <v>0</v>
      </c>
      <c r="J43" s="1242">
        <f>SUM(F43:I43)</f>
        <v>7542</v>
      </c>
      <c r="K43" s="1251">
        <f>[6]Hist!U$369</f>
        <v>467</v>
      </c>
      <c r="L43" s="1251">
        <f>[6]Hist!V$369</f>
        <v>110</v>
      </c>
      <c r="M43" s="1242">
        <f>SUM(J43:K43)</f>
        <v>8009</v>
      </c>
      <c r="N43" s="1251">
        <f>'Interruptible Forecast'!AL21</f>
        <v>323</v>
      </c>
      <c r="O43" s="1379">
        <f t="shared" si="12"/>
        <v>7109</v>
      </c>
      <c r="P43" s="1238">
        <f>[8]FCST!$BG17</f>
        <v>1632221</v>
      </c>
      <c r="Q43" s="1300">
        <f>[8]FCST!$DI17</f>
        <v>26275</v>
      </c>
      <c r="R43" s="1304"/>
      <c r="S43" s="1305">
        <f>[8]FCST!$CQ17</f>
        <v>59942</v>
      </c>
      <c r="T43" s="1302"/>
      <c r="U43" s="1242">
        <f t="shared" si="27"/>
        <v>1612580</v>
      </c>
      <c r="V43" s="1236">
        <f t="shared" si="28"/>
        <v>12685</v>
      </c>
      <c r="W43" s="1238">
        <f t="shared" si="18"/>
        <v>2190</v>
      </c>
      <c r="X43" s="1237">
        <f>[5]May!$I38</f>
        <v>88.5</v>
      </c>
      <c r="Y43" s="1237">
        <f>[5]May!$M38</f>
        <v>86.9</v>
      </c>
      <c r="AD43" s="1213">
        <f t="shared" si="4"/>
        <v>2010</v>
      </c>
      <c r="AE43" s="1242">
        <f>O43</f>
        <v>7109</v>
      </c>
      <c r="AF43" s="1238">
        <f t="shared" si="14"/>
        <v>1632221</v>
      </c>
      <c r="AG43" s="1253">
        <f>Y43</f>
        <v>86.9</v>
      </c>
      <c r="AH43" s="1324">
        <v>0.5</v>
      </c>
      <c r="AI43" s="1213">
        <v>0</v>
      </c>
      <c r="AJ43" s="1250">
        <f>ROUND($AV$13+$AU$13*AF43+$AT$13*AG43+$AS$13*AH43+$AR$13*AI43,0)</f>
        <v>7147</v>
      </c>
      <c r="AK43" s="1250">
        <f>AE43-AJ43</f>
        <v>-38</v>
      </c>
      <c r="AL43" s="1283"/>
      <c r="AM43" s="1307"/>
      <c r="AN43" s="1250"/>
      <c r="AO43" s="1261"/>
      <c r="AP43" s="1263">
        <f t="shared" si="15"/>
        <v>-53</v>
      </c>
      <c r="AZ43" s="1213"/>
      <c r="BB43" s="1213">
        <v>2010</v>
      </c>
      <c r="BC43" s="1260">
        <f>$AV$13+$AU$13*AF43+$AT$13*$AG$63+$AS$13*AH43+$AR$13*AI43</f>
        <v>7410.3154731074292</v>
      </c>
      <c r="BD43" s="1261">
        <f>AE43</f>
        <v>7109</v>
      </c>
      <c r="BE43" s="1260">
        <f>BD43-BC43</f>
        <v>-301.31547310742917</v>
      </c>
      <c r="BF43" s="1261">
        <f>AJ43</f>
        <v>7147</v>
      </c>
      <c r="BG43" s="1260">
        <f>BC43-BF43</f>
        <v>263.31547310742917</v>
      </c>
    </row>
    <row r="44" spans="1:60">
      <c r="A44" s="1213">
        <v>2011</v>
      </c>
      <c r="B44" s="1234">
        <v>40687</v>
      </c>
      <c r="C44" s="1213">
        <v>18</v>
      </c>
      <c r="D44" s="1235" t="str">
        <f>TEXT(WEEKDAY(B44),"ddd")</f>
        <v>Tue</v>
      </c>
      <c r="E44" s="1242">
        <f>[7]MoCoinMW!F$261</f>
        <v>8443</v>
      </c>
      <c r="F44" s="1242">
        <f>[7]MoCoinMW!G$261</f>
        <v>7555</v>
      </c>
      <c r="G44" s="1251">
        <f>SUM([6]Hist!M$381:O$381)</f>
        <v>0</v>
      </c>
      <c r="H44" s="1251">
        <f>[6]Hist!L$381</f>
        <v>0</v>
      </c>
      <c r="I44" s="1251">
        <f>[6]Hist!P$381</f>
        <v>0</v>
      </c>
      <c r="J44" s="1242">
        <f>SUM(F44:I44)</f>
        <v>7555</v>
      </c>
      <c r="K44" s="1251">
        <f>[6]Hist!U$381</f>
        <v>515</v>
      </c>
      <c r="L44" s="1251">
        <f>[6]Hist!V$381</f>
        <v>110</v>
      </c>
      <c r="M44" s="1242">
        <f>SUM(J44:K44)</f>
        <v>8070</v>
      </c>
      <c r="N44" s="1251">
        <f>'Interruptible Forecast'!AL22</f>
        <v>278</v>
      </c>
      <c r="O44" s="1379">
        <f t="shared" si="12"/>
        <v>7167</v>
      </c>
      <c r="P44" s="1238">
        <f>[8]FCST!$BG18</f>
        <v>1640462</v>
      </c>
      <c r="Q44" s="1300">
        <f>[8]FCST!$DI18</f>
        <v>23213</v>
      </c>
      <c r="R44" s="1304"/>
      <c r="S44" s="1305">
        <f>[8]FCST!$CQ18</f>
        <v>61820</v>
      </c>
      <c r="T44" s="1302"/>
      <c r="U44" s="1242">
        <f t="shared" si="27"/>
        <v>1623883</v>
      </c>
      <c r="V44" s="1236">
        <f t="shared" si="28"/>
        <v>12748</v>
      </c>
      <c r="W44" s="1238">
        <f t="shared" si="18"/>
        <v>11303</v>
      </c>
      <c r="X44" s="1237">
        <f>[5]May!$I39</f>
        <v>92.55</v>
      </c>
      <c r="Y44" s="1237">
        <f>[5]May!$M39</f>
        <v>89.9</v>
      </c>
      <c r="AD44" s="1213">
        <f t="shared" si="4"/>
        <v>2011</v>
      </c>
      <c r="AE44" s="1242">
        <f>O44</f>
        <v>7167</v>
      </c>
      <c r="AF44" s="1238">
        <f t="shared" si="14"/>
        <v>1640462</v>
      </c>
      <c r="AG44" s="1253">
        <f>Y44</f>
        <v>89.9</v>
      </c>
      <c r="AH44" s="1324">
        <v>1</v>
      </c>
      <c r="AI44" s="1213">
        <v>0</v>
      </c>
      <c r="AJ44" s="1250">
        <f>ROUND($AV$13+$AU$13*AF44+$AT$13*AG44+$AS$13*AH44+$AR$13*AI44,0)</f>
        <v>7036</v>
      </c>
      <c r="AK44" s="1250">
        <f>AE44-AJ44</f>
        <v>131</v>
      </c>
      <c r="AL44" s="1283"/>
      <c r="AM44" s="1307"/>
      <c r="AN44" s="1250"/>
      <c r="AO44" s="1261"/>
      <c r="AP44" s="1263">
        <f t="shared" si="15"/>
        <v>58</v>
      </c>
      <c r="AZ44" s="1213"/>
      <c r="BB44" s="1213">
        <v>2011</v>
      </c>
      <c r="BC44" s="1260">
        <f>$AV$13+$AU$13*AF44+$AT$13*$AG$63+$AS$13*AH44+$AR$13*AI44</f>
        <v>7035.6417574695906</v>
      </c>
      <c r="BD44" s="1261">
        <f>AE44</f>
        <v>7167</v>
      </c>
      <c r="BE44" s="1260">
        <f>BD44-BC44</f>
        <v>131.35824253040937</v>
      </c>
      <c r="BF44" s="1261">
        <f>AJ44</f>
        <v>7036</v>
      </c>
      <c r="BG44" s="1260">
        <f>BC44-BF44</f>
        <v>-0.35824253040937037</v>
      </c>
    </row>
    <row r="45" spans="1:60">
      <c r="A45" s="1213">
        <v>2012</v>
      </c>
      <c r="B45" s="1234">
        <v>41054</v>
      </c>
      <c r="C45" s="1213">
        <v>17</v>
      </c>
      <c r="D45" s="1235" t="str">
        <f t="shared" ref="D45:D46" si="29">TEXT(WEEKDAY(B45),"ddd")</f>
        <v>Fri</v>
      </c>
      <c r="E45" s="1242">
        <f>[7]MoCoinMW!F$273</f>
        <v>7942</v>
      </c>
      <c r="F45" s="1242">
        <f>[7]MoCoinMW!G$273</f>
        <v>7488</v>
      </c>
      <c r="G45" s="1251">
        <f>SUM([6]Hist!M$393:O$393)</f>
        <v>0</v>
      </c>
      <c r="H45" s="1251">
        <f>[6]Hist!L$393</f>
        <v>0</v>
      </c>
      <c r="I45" s="1251">
        <f>[6]Hist!P$393</f>
        <v>0</v>
      </c>
      <c r="J45" s="1242">
        <f t="shared" ref="J45:J46" si="30">SUM(F45:I45)</f>
        <v>7488</v>
      </c>
      <c r="K45" s="1251">
        <f>[6]Hist!U$381</f>
        <v>515</v>
      </c>
      <c r="L45" s="1251">
        <f>[6]Hist!V$393</f>
        <v>124</v>
      </c>
      <c r="M45" s="1242">
        <f t="shared" ref="M45:M46" si="31">SUM(J45:K45)</f>
        <v>8003</v>
      </c>
      <c r="N45" s="1251">
        <f>'Interruptible Forecast'!AL23</f>
        <v>233</v>
      </c>
      <c r="O45" s="1379">
        <f t="shared" si="12"/>
        <v>7131</v>
      </c>
      <c r="P45" s="1238">
        <f>[8]FCST!$BG19</f>
        <v>1652503</v>
      </c>
      <c r="Q45" s="1300">
        <f>[8]FCST!$DI19</f>
        <v>26844</v>
      </c>
      <c r="R45" s="1304"/>
      <c r="S45" s="1305">
        <f>[8]FCST!$CQ19</f>
        <v>62126</v>
      </c>
      <c r="T45" s="1302"/>
      <c r="U45" s="1242">
        <f t="shared" si="27"/>
        <v>1632293</v>
      </c>
      <c r="V45" s="1236">
        <f t="shared" si="28"/>
        <v>12812</v>
      </c>
      <c r="W45" s="1238">
        <f t="shared" si="18"/>
        <v>8410</v>
      </c>
      <c r="X45" s="1237">
        <f>[5]May!$I40</f>
        <v>94.1</v>
      </c>
      <c r="Y45" s="1237">
        <f>[5]May!$M40</f>
        <v>91.8</v>
      </c>
      <c r="AD45" s="1213">
        <f t="shared" si="4"/>
        <v>2012</v>
      </c>
      <c r="AE45" s="1242">
        <f t="shared" ref="AE45:AE46" si="32">O45</f>
        <v>7131</v>
      </c>
      <c r="AF45" s="1238">
        <f t="shared" si="14"/>
        <v>1652503</v>
      </c>
      <c r="AG45" s="1253">
        <f t="shared" ref="AG45:AG46" si="33">Y45</f>
        <v>91.8</v>
      </c>
      <c r="AH45" s="1324">
        <v>1</v>
      </c>
      <c r="AI45" s="1213">
        <v>0</v>
      </c>
      <c r="AJ45" s="1250">
        <f t="shared" ref="AJ45:AJ46" si="34">ROUND($AV$13+$AU$13*AF45+$AT$13*AG45+$AS$13*AH45+$AR$13*AI45,0)</f>
        <v>7281</v>
      </c>
      <c r="AK45" s="1250">
        <f t="shared" ref="AK45:AK46" si="35">AE45-AJ45</f>
        <v>-150</v>
      </c>
      <c r="AL45" s="1283"/>
      <c r="AM45" s="1307"/>
      <c r="AN45" s="1250"/>
      <c r="AO45" s="1261"/>
      <c r="AP45" s="1263">
        <f t="shared" si="15"/>
        <v>-36</v>
      </c>
      <c r="AZ45" s="1213"/>
      <c r="BB45" s="1213">
        <v>2012</v>
      </c>
      <c r="BC45" s="1260">
        <f t="shared" ref="BC45:BC46" si="36">$AV$13+$AU$13*AF45+$AT$13*$AG$63+$AS$13*AH45+$AR$13*AI45</f>
        <v>7114.6016030698565</v>
      </c>
      <c r="BD45" s="1261">
        <f t="shared" ref="BD45:BD46" si="37">AE45</f>
        <v>7131</v>
      </c>
      <c r="BE45" s="1260">
        <f t="shared" ref="BE45:BE46" si="38">BD45-BC45</f>
        <v>16.398396930143463</v>
      </c>
      <c r="BF45" s="1261">
        <f t="shared" ref="BF45:BF46" si="39">AJ45</f>
        <v>7281</v>
      </c>
      <c r="BG45" s="1260">
        <f t="shared" ref="BG45:BG46" si="40">BC45-BF45</f>
        <v>-166.39839693014346</v>
      </c>
    </row>
    <row r="46" spans="1:60">
      <c r="A46" s="1213">
        <v>2013</v>
      </c>
      <c r="B46" s="1234">
        <v>41418</v>
      </c>
      <c r="C46" s="1213">
        <v>17</v>
      </c>
      <c r="D46" s="1235" t="str">
        <f t="shared" si="29"/>
        <v>Fri</v>
      </c>
      <c r="E46" s="1242">
        <f>[7]MoCoinMW!F$261</f>
        <v>8443</v>
      </c>
      <c r="F46" s="1242">
        <f>[7]MoCoinMW!G$285</f>
        <v>7270</v>
      </c>
      <c r="G46" s="1251">
        <f>SUM([6]Hist!M$405:O$405)</f>
        <v>0</v>
      </c>
      <c r="H46" s="1251">
        <f>[6]Hist!L$405</f>
        <v>0</v>
      </c>
      <c r="I46" s="1251">
        <f>[6]Hist!P$405</f>
        <v>0</v>
      </c>
      <c r="J46" s="1242">
        <f t="shared" si="30"/>
        <v>7270</v>
      </c>
      <c r="K46" s="1251">
        <f>[6]Hist!U$405</f>
        <v>597</v>
      </c>
      <c r="L46" s="1251">
        <f>[6]Hist!V$405</f>
        <v>124</v>
      </c>
      <c r="M46" s="1242">
        <f t="shared" si="31"/>
        <v>7867</v>
      </c>
      <c r="N46" s="1251">
        <f>'Interruptible Forecast'!AL24</f>
        <v>282</v>
      </c>
      <c r="O46" s="1379">
        <f t="shared" si="12"/>
        <v>6864</v>
      </c>
      <c r="P46" s="1238">
        <f>[8]FCST!$BG20</f>
        <v>1677430</v>
      </c>
      <c r="Q46" s="1300">
        <f>[8]FCST!$DI20</f>
        <v>25670</v>
      </c>
      <c r="R46" s="1304"/>
      <c r="S46" s="1305">
        <f>[8]FCST!$CQ20</f>
        <v>64966</v>
      </c>
      <c r="T46" s="1302"/>
      <c r="U46" s="1242">
        <f t="shared" si="27"/>
        <v>1658394</v>
      </c>
      <c r="V46" s="1236">
        <f t="shared" si="28"/>
        <v>12876</v>
      </c>
      <c r="W46" s="1238">
        <f t="shared" si="18"/>
        <v>26101</v>
      </c>
      <c r="X46" s="1237">
        <f>[5]May!$I41</f>
        <v>91.38</v>
      </c>
      <c r="Y46" s="1237">
        <f>[5]May!$M41</f>
        <v>90.9</v>
      </c>
      <c r="AD46" s="1213">
        <f t="shared" si="4"/>
        <v>2013</v>
      </c>
      <c r="AE46" s="1242">
        <f t="shared" si="32"/>
        <v>6864</v>
      </c>
      <c r="AF46" s="1238">
        <f t="shared" ref="AF46:AF73" si="41">P46</f>
        <v>1677430</v>
      </c>
      <c r="AG46" s="1253">
        <f t="shared" si="33"/>
        <v>90.9</v>
      </c>
      <c r="AH46" s="1324">
        <v>1</v>
      </c>
      <c r="AI46" s="1213">
        <v>1</v>
      </c>
      <c r="AJ46" s="1250">
        <f t="shared" si="34"/>
        <v>6855</v>
      </c>
      <c r="AK46" s="1250">
        <f t="shared" si="35"/>
        <v>9</v>
      </c>
      <c r="AL46" s="1283"/>
      <c r="AM46" s="1307"/>
      <c r="AN46" s="1250"/>
      <c r="AO46" s="1261"/>
      <c r="AP46" s="1263">
        <f t="shared" si="15"/>
        <v>-267</v>
      </c>
      <c r="AZ46" s="1213"/>
      <c r="BB46" s="1213">
        <v>2013</v>
      </c>
      <c r="BC46" s="1260">
        <f t="shared" si="36"/>
        <v>6767.0054493558855</v>
      </c>
      <c r="BD46" s="1261">
        <f t="shared" si="37"/>
        <v>6864</v>
      </c>
      <c r="BE46" s="1260">
        <f t="shared" si="38"/>
        <v>96.994550644114497</v>
      </c>
      <c r="BF46" s="1261">
        <f t="shared" si="39"/>
        <v>6855</v>
      </c>
      <c r="BG46" s="1260">
        <f t="shared" si="40"/>
        <v>-87.994550644114497</v>
      </c>
    </row>
    <row r="47" spans="1:60">
      <c r="A47" s="1213">
        <v>2014</v>
      </c>
      <c r="P47" s="1308">
        <f>[8]FCST!$BG21</f>
        <v>1687744.8951314699</v>
      </c>
      <c r="Q47" s="1305">
        <f t="shared" ref="Q47:Q58" si="42">ROUND(R47*S47,0)</f>
        <v>26027</v>
      </c>
      <c r="R47" s="1304">
        <f t="shared" ref="R47:R73" si="43">$R$4</f>
        <v>0.41470000000000001</v>
      </c>
      <c r="S47" s="1305">
        <f>[8]FCST!$CQ21</f>
        <v>62760.217595521739</v>
      </c>
      <c r="T47" s="1302">
        <f>[8]FCST!$BY21</f>
        <v>1494290.8951314699</v>
      </c>
      <c r="U47" s="1309">
        <f t="shared" si="27"/>
        <v>1668351.8951314699</v>
      </c>
      <c r="V47" s="1236">
        <f t="shared" si="28"/>
        <v>12940</v>
      </c>
      <c r="W47" s="1238">
        <f t="shared" si="18"/>
        <v>9957.895131469937</v>
      </c>
      <c r="X47" s="1213"/>
      <c r="Y47" s="1213"/>
      <c r="AD47" s="1213">
        <f t="shared" si="4"/>
        <v>2014</v>
      </c>
      <c r="AF47" s="1238">
        <f t="shared" si="41"/>
        <v>1687744.8951314699</v>
      </c>
      <c r="AG47" s="1310">
        <f t="shared" ref="AG47:AG63" si="44">$Y$74</f>
        <v>89.9</v>
      </c>
      <c r="AH47" s="1325">
        <v>0.9</v>
      </c>
      <c r="AI47" s="1213">
        <v>0</v>
      </c>
      <c r="AJ47" s="1250"/>
      <c r="AK47" s="1250"/>
      <c r="AL47" s="1311">
        <v>25</v>
      </c>
      <c r="AM47" s="1307">
        <f t="shared" ref="AM47:AM53" si="45">ROUND($AV$13+$AU$13*AF47+$AT$13*AG47+$AS$13*AH47+$AR$13*AI47,0)-AL47</f>
        <v>7406</v>
      </c>
      <c r="AN47" s="1250">
        <f>[11]May!$AM47</f>
        <v>8499</v>
      </c>
      <c r="AO47" s="1261">
        <f t="shared" ref="AO47:AO53" si="46">AM47-AN47</f>
        <v>-1093</v>
      </c>
      <c r="AP47" s="1312">
        <f t="shared" ref="AP47:AP58" si="47">AM47-AM46</f>
        <v>7406</v>
      </c>
      <c r="AZ47" s="1213"/>
    </row>
    <row r="48" spans="1:60">
      <c r="A48" s="1213">
        <v>2015</v>
      </c>
      <c r="P48" s="1308">
        <f>[8]FCST!$BG22</f>
        <v>1714086.4777548499</v>
      </c>
      <c r="Q48" s="1305">
        <f t="shared" si="42"/>
        <v>26439</v>
      </c>
      <c r="R48" s="1304">
        <f t="shared" si="43"/>
        <v>0.41470000000000001</v>
      </c>
      <c r="S48" s="1305">
        <f>[8]FCST!$CQ22</f>
        <v>63754.256065703703</v>
      </c>
      <c r="T48" s="1302">
        <f>[8]FCST!$BY22</f>
        <v>1517958.4777548499</v>
      </c>
      <c r="U48" s="1309">
        <f t="shared" si="27"/>
        <v>1694281.4777548499</v>
      </c>
      <c r="V48" s="1236">
        <f t="shared" si="28"/>
        <v>13005</v>
      </c>
      <c r="W48" s="1238">
        <f t="shared" si="18"/>
        <v>25929.582623380003</v>
      </c>
      <c r="X48" s="1213"/>
      <c r="Y48" s="1213"/>
      <c r="AD48" s="1213">
        <f t="shared" si="4"/>
        <v>2015</v>
      </c>
      <c r="AF48" s="1238">
        <f t="shared" si="41"/>
        <v>1714086.4777548499</v>
      </c>
      <c r="AG48" s="1310">
        <f t="shared" si="44"/>
        <v>89.9</v>
      </c>
      <c r="AH48" s="1325">
        <v>0.8</v>
      </c>
      <c r="AI48" s="1213">
        <v>0</v>
      </c>
      <c r="AJ48" s="1250"/>
      <c r="AK48" s="1250"/>
      <c r="AL48" s="1311">
        <v>25</v>
      </c>
      <c r="AM48" s="1307">
        <f t="shared" si="45"/>
        <v>7665</v>
      </c>
      <c r="AN48" s="1250">
        <f>[11]May!$AM48</f>
        <v>8687</v>
      </c>
      <c r="AO48" s="1261">
        <f t="shared" si="46"/>
        <v>-1022</v>
      </c>
      <c r="AP48" s="1312">
        <f t="shared" si="47"/>
        <v>259</v>
      </c>
      <c r="AZ48" s="1213"/>
    </row>
    <row r="49" spans="1:52">
      <c r="A49" s="1213">
        <v>2016</v>
      </c>
      <c r="P49" s="1308">
        <f>[8]FCST!$BG23</f>
        <v>1740463.69367879</v>
      </c>
      <c r="Q49" s="1305">
        <f t="shared" si="42"/>
        <v>26851</v>
      </c>
      <c r="R49" s="1304">
        <f t="shared" si="43"/>
        <v>0.41470000000000001</v>
      </c>
      <c r="S49" s="1305">
        <f>[8]FCST!$CQ23</f>
        <v>64748.321134509184</v>
      </c>
      <c r="T49" s="1302">
        <f>[8]FCST!$BY23</f>
        <v>1541626.69367879</v>
      </c>
      <c r="U49" s="1309">
        <f t="shared" si="27"/>
        <v>1720246.69367879</v>
      </c>
      <c r="V49" s="1236">
        <f t="shared" si="28"/>
        <v>13070</v>
      </c>
      <c r="W49" s="1238">
        <f t="shared" si="18"/>
        <v>25965.215923940064</v>
      </c>
      <c r="X49" s="1213"/>
      <c r="Y49" s="1213"/>
      <c r="AD49" s="1213">
        <f t="shared" si="4"/>
        <v>2016</v>
      </c>
      <c r="AF49" s="1238">
        <f t="shared" si="41"/>
        <v>1740463.69367879</v>
      </c>
      <c r="AG49" s="1310">
        <f t="shared" si="44"/>
        <v>89.9</v>
      </c>
      <c r="AH49" s="1325">
        <v>0.6</v>
      </c>
      <c r="AI49" s="1213">
        <v>0</v>
      </c>
      <c r="AJ49" s="1250"/>
      <c r="AK49" s="1250"/>
      <c r="AL49" s="1311">
        <v>25</v>
      </c>
      <c r="AM49" s="1307">
        <f t="shared" si="45"/>
        <v>8009</v>
      </c>
      <c r="AN49" s="1250">
        <f>[11]May!$AM49</f>
        <v>8869</v>
      </c>
      <c r="AO49" s="1261">
        <f t="shared" si="46"/>
        <v>-860</v>
      </c>
      <c r="AP49" s="1312">
        <f t="shared" si="47"/>
        <v>344</v>
      </c>
      <c r="AZ49" s="1213"/>
    </row>
    <row r="50" spans="1:52">
      <c r="A50" s="1213">
        <v>2017</v>
      </c>
      <c r="P50" s="1308">
        <f>[8]FCST!$BG24</f>
        <v>1767110.2051035301</v>
      </c>
      <c r="Q50" s="1305">
        <f t="shared" si="42"/>
        <v>27268</v>
      </c>
      <c r="R50" s="1304">
        <f t="shared" si="43"/>
        <v>0.41470000000000001</v>
      </c>
      <c r="S50" s="1305">
        <f>[8]FCST!$CQ24</f>
        <v>65753.990614348266</v>
      </c>
      <c r="T50" s="1302">
        <f>[8]FCST!$BY24</f>
        <v>1565571.2051035301</v>
      </c>
      <c r="U50" s="1309">
        <f t="shared" si="27"/>
        <v>1746476.2051035301</v>
      </c>
      <c r="V50" s="1236">
        <f t="shared" si="28"/>
        <v>13135</v>
      </c>
      <c r="W50" s="1238">
        <f t="shared" si="18"/>
        <v>26229.511424740078</v>
      </c>
      <c r="X50" s="1213"/>
      <c r="Y50" s="1213"/>
      <c r="AD50" s="1213">
        <f t="shared" si="4"/>
        <v>2017</v>
      </c>
      <c r="AF50" s="1238">
        <f t="shared" si="41"/>
        <v>1767110.2051035301</v>
      </c>
      <c r="AG50" s="1310">
        <f t="shared" si="44"/>
        <v>89.9</v>
      </c>
      <c r="AH50" s="1325">
        <v>0.4</v>
      </c>
      <c r="AI50" s="1213">
        <v>0</v>
      </c>
      <c r="AJ50" s="1250"/>
      <c r="AK50" s="1250"/>
      <c r="AL50" s="1311">
        <v>25</v>
      </c>
      <c r="AM50" s="1307">
        <f t="shared" si="45"/>
        <v>8356</v>
      </c>
      <c r="AN50" s="1250">
        <f>[11]May!$AM50</f>
        <v>9057</v>
      </c>
      <c r="AO50" s="1261">
        <f t="shared" si="46"/>
        <v>-701</v>
      </c>
      <c r="AP50" s="1312">
        <f t="shared" si="47"/>
        <v>347</v>
      </c>
      <c r="AZ50" s="1213"/>
    </row>
    <row r="51" spans="1:52">
      <c r="A51" s="1213">
        <v>2018</v>
      </c>
      <c r="P51" s="1308">
        <f>[8]FCST!$BG25</f>
        <v>1792745.75089934</v>
      </c>
      <c r="Q51" s="1305">
        <f t="shared" si="42"/>
        <v>27670</v>
      </c>
      <c r="R51" s="1304">
        <f t="shared" si="43"/>
        <v>0.41470000000000001</v>
      </c>
      <c r="S51" s="1305">
        <f>[8]FCST!$CQ25</f>
        <v>66722.02953777228</v>
      </c>
      <c r="T51" s="1302">
        <f>[8]FCST!$BY25</f>
        <v>1588619.75089934</v>
      </c>
      <c r="U51" s="1309">
        <f t="shared" si="27"/>
        <v>1771709.75089934</v>
      </c>
      <c r="V51" s="1236">
        <f t="shared" si="28"/>
        <v>13201</v>
      </c>
      <c r="W51" s="1238">
        <f t="shared" si="18"/>
        <v>25233.545795809943</v>
      </c>
      <c r="X51" s="1213"/>
      <c r="Y51" s="1213"/>
      <c r="AD51" s="1213">
        <f t="shared" si="4"/>
        <v>2018</v>
      </c>
      <c r="AF51" s="1238">
        <f t="shared" si="41"/>
        <v>1792745.75089934</v>
      </c>
      <c r="AG51" s="1310">
        <f t="shared" si="44"/>
        <v>89.9</v>
      </c>
      <c r="AH51" s="1325">
        <v>0.2</v>
      </c>
      <c r="AI51" s="1213">
        <v>0</v>
      </c>
      <c r="AJ51" s="1250"/>
      <c r="AK51" s="1250"/>
      <c r="AL51" s="1311">
        <v>25</v>
      </c>
      <c r="AM51" s="1307">
        <f t="shared" si="45"/>
        <v>8695</v>
      </c>
      <c r="AN51" s="1250">
        <f>[11]May!$AM51</f>
        <v>9250</v>
      </c>
      <c r="AO51" s="1261">
        <f t="shared" si="46"/>
        <v>-555</v>
      </c>
      <c r="AP51" s="1312">
        <f t="shared" si="47"/>
        <v>339</v>
      </c>
      <c r="AZ51" s="1213"/>
    </row>
    <row r="52" spans="1:52">
      <c r="A52" s="1213">
        <v>2019</v>
      </c>
      <c r="P52" s="1308">
        <f>[8]FCST!$BG26</f>
        <v>1816787.27115267</v>
      </c>
      <c r="Q52" s="1305">
        <f t="shared" si="42"/>
        <v>28046</v>
      </c>
      <c r="R52" s="1304">
        <f t="shared" si="43"/>
        <v>0.41470000000000001</v>
      </c>
      <c r="S52" s="1305">
        <f>[8]FCST!$CQ26</f>
        <v>67630.595388412141</v>
      </c>
      <c r="T52" s="1302">
        <f>[8]FCST!$BY26</f>
        <v>1610252.27115267</v>
      </c>
      <c r="U52" s="1309">
        <f t="shared" si="27"/>
        <v>1795375.27115267</v>
      </c>
      <c r="V52" s="1236">
        <f t="shared" si="28"/>
        <v>13267</v>
      </c>
      <c r="W52" s="1238">
        <f t="shared" si="18"/>
        <v>23665.520253330003</v>
      </c>
      <c r="X52" s="1213"/>
      <c r="Y52" s="1213"/>
      <c r="AD52" s="1213">
        <f t="shared" si="4"/>
        <v>2019</v>
      </c>
      <c r="AF52" s="1238">
        <f t="shared" si="41"/>
        <v>1816787.27115267</v>
      </c>
      <c r="AG52" s="1310">
        <f t="shared" si="44"/>
        <v>89.9</v>
      </c>
      <c r="AH52" s="1250">
        <v>0</v>
      </c>
      <c r="AI52" s="1213">
        <v>0</v>
      </c>
      <c r="AJ52" s="1250"/>
      <c r="AK52" s="1250"/>
      <c r="AL52" s="1311">
        <v>25</v>
      </c>
      <c r="AM52" s="1307">
        <f t="shared" si="45"/>
        <v>9024</v>
      </c>
      <c r="AN52" s="1250">
        <f>[11]May!$AM52</f>
        <v>9444</v>
      </c>
      <c r="AO52" s="1261">
        <f t="shared" si="46"/>
        <v>-420</v>
      </c>
      <c r="AP52" s="1312">
        <f t="shared" si="47"/>
        <v>329</v>
      </c>
      <c r="AZ52" s="1213"/>
    </row>
    <row r="53" spans="1:52">
      <c r="A53" s="1213">
        <v>2020</v>
      </c>
      <c r="P53" s="1308">
        <f>[8]FCST!$BG27</f>
        <v>1840365.30911691</v>
      </c>
      <c r="Q53" s="1305">
        <f t="shared" si="42"/>
        <v>28416</v>
      </c>
      <c r="R53" s="1304">
        <f t="shared" si="43"/>
        <v>0.41470000000000001</v>
      </c>
      <c r="S53" s="1305">
        <f>[8]FCST!$CQ27</f>
        <v>68522.92898291022</v>
      </c>
      <c r="T53" s="1302">
        <f>[8]FCST!$BY27</f>
        <v>1631498.30911691</v>
      </c>
      <c r="U53" s="1309">
        <f t="shared" si="27"/>
        <v>1818583.30911691</v>
      </c>
      <c r="V53" s="1236">
        <f t="shared" si="28"/>
        <v>13333</v>
      </c>
      <c r="W53" s="1238">
        <f t="shared" si="18"/>
        <v>23208.037964239949</v>
      </c>
      <c r="X53" s="1213"/>
      <c r="Y53" s="1213"/>
      <c r="AD53" s="1213">
        <f t="shared" si="4"/>
        <v>2020</v>
      </c>
      <c r="AF53" s="1238">
        <f t="shared" si="41"/>
        <v>1840365.30911691</v>
      </c>
      <c r="AG53" s="1310">
        <f t="shared" si="44"/>
        <v>89.9</v>
      </c>
      <c r="AH53" s="1250">
        <v>0</v>
      </c>
      <c r="AI53" s="1213">
        <v>0</v>
      </c>
      <c r="AJ53" s="1250"/>
      <c r="AK53" s="1250"/>
      <c r="AL53" s="1311">
        <v>25</v>
      </c>
      <c r="AM53" s="1307">
        <f t="shared" si="45"/>
        <v>9179</v>
      </c>
      <c r="AN53" s="1250">
        <f>[11]May!$AM53</f>
        <v>9638</v>
      </c>
      <c r="AO53" s="1261">
        <f t="shared" si="46"/>
        <v>-459</v>
      </c>
      <c r="AP53" s="1312">
        <f t="shared" si="47"/>
        <v>155</v>
      </c>
      <c r="AZ53" s="1213"/>
    </row>
    <row r="54" spans="1:52">
      <c r="A54" s="1213">
        <v>2021</v>
      </c>
      <c r="P54" s="1308">
        <f>[8]FCST!$BG28</f>
        <v>1863103.7730272401</v>
      </c>
      <c r="Q54" s="1305">
        <f t="shared" si="42"/>
        <v>28774</v>
      </c>
      <c r="R54" s="1304">
        <f t="shared" si="43"/>
        <v>0.41470000000000001</v>
      </c>
      <c r="S54" s="1305">
        <f>[8]FCST!$CQ28</f>
        <v>69384.03246714409</v>
      </c>
      <c r="T54" s="1302">
        <f>[8]FCST!$BY28</f>
        <v>1652000.7730272401</v>
      </c>
      <c r="U54" s="1309">
        <f t="shared" si="27"/>
        <v>1840963.7730272401</v>
      </c>
      <c r="V54" s="1236">
        <f t="shared" si="28"/>
        <v>13400</v>
      </c>
      <c r="W54" s="1238">
        <f t="shared" si="18"/>
        <v>22380.463910330087</v>
      </c>
      <c r="X54" s="1213"/>
      <c r="Y54" s="1213"/>
      <c r="AD54" s="1213">
        <f t="shared" si="4"/>
        <v>2021</v>
      </c>
      <c r="AF54" s="1238">
        <f t="shared" si="41"/>
        <v>1863103.7730272401</v>
      </c>
      <c r="AG54" s="1310">
        <f t="shared" si="44"/>
        <v>89.9</v>
      </c>
      <c r="AH54" s="1250">
        <v>0</v>
      </c>
      <c r="AI54" s="1213">
        <v>0</v>
      </c>
      <c r="AJ54" s="1250"/>
      <c r="AK54" s="1250"/>
      <c r="AL54" s="1311">
        <v>25</v>
      </c>
      <c r="AM54" s="1307">
        <f t="shared" ref="AM54:AM63" si="48">ROUND($AV$13+$AU$13*AF54+$AT$13*AG54+$AS$13*AH54+$AR$13*AI54,0)-AL54</f>
        <v>9328</v>
      </c>
      <c r="AN54" s="1250">
        <f>[11]May!$AM54</f>
        <v>9829</v>
      </c>
      <c r="AO54" s="1261">
        <f t="shared" ref="AO54:AO63" si="49">AM54-AN54</f>
        <v>-501</v>
      </c>
      <c r="AP54" s="1312">
        <f t="shared" si="47"/>
        <v>149</v>
      </c>
      <c r="AZ54" s="1213"/>
    </row>
    <row r="55" spans="1:52">
      <c r="A55" s="1213">
        <v>2022</v>
      </c>
      <c r="E55" s="1250"/>
      <c r="F55" s="1250"/>
      <c r="G55" s="1251"/>
      <c r="H55" s="1251"/>
      <c r="I55" s="1251"/>
      <c r="J55" s="1242"/>
      <c r="K55" s="1251"/>
      <c r="L55" s="1251"/>
      <c r="M55" s="1242"/>
      <c r="N55" s="1251"/>
      <c r="O55" s="1242"/>
      <c r="P55" s="1308">
        <f>[8]FCST!$BG29</f>
        <v>1885332.2082177999</v>
      </c>
      <c r="Q55" s="1305">
        <f t="shared" si="42"/>
        <v>29123</v>
      </c>
      <c r="R55" s="1304">
        <f t="shared" si="43"/>
        <v>0.41470000000000001</v>
      </c>
      <c r="S55" s="1305">
        <f>[8]FCST!$CQ29</f>
        <v>70226.738745147595</v>
      </c>
      <c r="T55" s="1302">
        <f>[8]FCST!$BY29</f>
        <v>1672065.2082177999</v>
      </c>
      <c r="U55" s="1309">
        <f t="shared" si="27"/>
        <v>1862843.2082177999</v>
      </c>
      <c r="V55" s="1236">
        <f t="shared" si="28"/>
        <v>13467</v>
      </c>
      <c r="W55" s="1238">
        <f t="shared" si="18"/>
        <v>21879.435190559831</v>
      </c>
      <c r="X55" s="1213"/>
      <c r="Y55" s="1213"/>
      <c r="AD55" s="1213">
        <f t="shared" si="4"/>
        <v>2022</v>
      </c>
      <c r="AF55" s="1238">
        <f t="shared" si="41"/>
        <v>1885332.2082177999</v>
      </c>
      <c r="AG55" s="1310">
        <f t="shared" si="44"/>
        <v>89.9</v>
      </c>
      <c r="AH55" s="1250">
        <v>0</v>
      </c>
      <c r="AI55" s="1213">
        <v>0</v>
      </c>
      <c r="AJ55" s="1250"/>
      <c r="AK55" s="1250"/>
      <c r="AL55" s="1311">
        <v>25</v>
      </c>
      <c r="AM55" s="1307">
        <f t="shared" si="48"/>
        <v>9474</v>
      </c>
      <c r="AN55" s="1250">
        <f>[11]May!$AM55</f>
        <v>10017</v>
      </c>
      <c r="AO55" s="1261">
        <f t="shared" si="49"/>
        <v>-543</v>
      </c>
      <c r="AP55" s="1312">
        <f t="shared" si="47"/>
        <v>146</v>
      </c>
      <c r="AZ55" s="1213"/>
    </row>
    <row r="56" spans="1:52">
      <c r="A56" s="1213">
        <v>2023</v>
      </c>
      <c r="E56" s="1250"/>
      <c r="F56" s="1250"/>
      <c r="G56" s="1251"/>
      <c r="H56" s="1251"/>
      <c r="I56" s="1251"/>
      <c r="J56" s="1242"/>
      <c r="K56" s="1251"/>
      <c r="L56" s="1251"/>
      <c r="M56" s="1242"/>
      <c r="N56" s="1251"/>
      <c r="O56" s="1242"/>
      <c r="P56" s="1308">
        <f>[8]FCST!$BG30</f>
        <v>1906163.7022335399</v>
      </c>
      <c r="Q56" s="1305">
        <f t="shared" si="42"/>
        <v>29451</v>
      </c>
      <c r="R56" s="1304">
        <f t="shared" si="43"/>
        <v>0.41470000000000001</v>
      </c>
      <c r="S56" s="1305">
        <f>[8]FCST!$CQ30</f>
        <v>71016.98949380868</v>
      </c>
      <c r="T56" s="1302">
        <f>[8]FCST!$BY30</f>
        <v>1690880.7022335399</v>
      </c>
      <c r="U56" s="1309">
        <f t="shared" si="27"/>
        <v>1883346.7022335399</v>
      </c>
      <c r="V56" s="1236">
        <f t="shared" si="28"/>
        <v>13534</v>
      </c>
      <c r="W56" s="1238">
        <f t="shared" si="18"/>
        <v>20503.494015739998</v>
      </c>
      <c r="X56" s="1213"/>
      <c r="Y56" s="1213"/>
      <c r="AD56" s="1213">
        <f t="shared" si="4"/>
        <v>2023</v>
      </c>
      <c r="AF56" s="1238">
        <f t="shared" si="41"/>
        <v>1906163.7022335399</v>
      </c>
      <c r="AG56" s="1310">
        <f t="shared" si="44"/>
        <v>89.9</v>
      </c>
      <c r="AH56" s="1250">
        <v>0</v>
      </c>
      <c r="AI56" s="1213">
        <v>0</v>
      </c>
      <c r="AJ56" s="1250"/>
      <c r="AK56" s="1250"/>
      <c r="AL56" s="1311">
        <v>25</v>
      </c>
      <c r="AM56" s="1307">
        <f t="shared" si="48"/>
        <v>9610</v>
      </c>
      <c r="AN56" s="1250">
        <f>[11]May!$AM56</f>
        <v>10202</v>
      </c>
      <c r="AO56" s="1261">
        <f t="shared" si="49"/>
        <v>-592</v>
      </c>
      <c r="AP56" s="1312">
        <f t="shared" si="47"/>
        <v>136</v>
      </c>
      <c r="AZ56" s="1213"/>
    </row>
    <row r="57" spans="1:52">
      <c r="A57" s="1213">
        <v>2024</v>
      </c>
      <c r="E57" s="1250"/>
      <c r="F57" s="1250"/>
      <c r="G57" s="1251"/>
      <c r="H57" s="1251"/>
      <c r="I57" s="1251"/>
      <c r="J57" s="1242"/>
      <c r="K57" s="1251"/>
      <c r="L57" s="1251"/>
      <c r="M57" s="1242"/>
      <c r="N57" s="1251"/>
      <c r="O57" s="1242"/>
      <c r="P57" s="1308">
        <f>[8]FCST!$BG31</f>
        <v>1926394.6426021</v>
      </c>
      <c r="Q57" s="1305">
        <f t="shared" si="42"/>
        <v>29769</v>
      </c>
      <c r="R57" s="1304">
        <f t="shared" si="43"/>
        <v>0.41470000000000001</v>
      </c>
      <c r="S57" s="1305">
        <f>[8]FCST!$CQ31</f>
        <v>71785.544989288202</v>
      </c>
      <c r="T57" s="1302">
        <f>[8]FCST!$BY31</f>
        <v>1709179.6426021</v>
      </c>
      <c r="U57" s="1309">
        <f t="shared" si="27"/>
        <v>1903259.6426021</v>
      </c>
      <c r="V57" s="1236">
        <f t="shared" si="28"/>
        <v>13602</v>
      </c>
      <c r="W57" s="1238">
        <f t="shared" si="18"/>
        <v>19912.940368560143</v>
      </c>
      <c r="AD57" s="1213">
        <f t="shared" si="4"/>
        <v>2024</v>
      </c>
      <c r="AF57" s="1238">
        <f t="shared" si="41"/>
        <v>1926394.6426021</v>
      </c>
      <c r="AG57" s="1310">
        <f t="shared" si="44"/>
        <v>89.9</v>
      </c>
      <c r="AH57" s="1250">
        <v>0</v>
      </c>
      <c r="AI57" s="1213">
        <v>0</v>
      </c>
      <c r="AJ57" s="1250"/>
      <c r="AK57" s="1250"/>
      <c r="AL57" s="1311">
        <v>25</v>
      </c>
      <c r="AM57" s="1307">
        <f t="shared" si="48"/>
        <v>9743</v>
      </c>
      <c r="AN57" s="1250">
        <f>[11]May!$AM57</f>
        <v>10385</v>
      </c>
      <c r="AO57" s="1261">
        <f t="shared" si="49"/>
        <v>-642</v>
      </c>
      <c r="AP57" s="1312">
        <f t="shared" si="47"/>
        <v>133</v>
      </c>
      <c r="AZ57" s="1213"/>
    </row>
    <row r="58" spans="1:52">
      <c r="A58" s="1213">
        <v>2025</v>
      </c>
      <c r="P58" s="1308">
        <f>[8]FCST!$BG32</f>
        <v>1945744.7464667601</v>
      </c>
      <c r="Q58" s="1305">
        <f t="shared" si="42"/>
        <v>30075</v>
      </c>
      <c r="R58" s="1304">
        <f t="shared" si="43"/>
        <v>0.41470000000000001</v>
      </c>
      <c r="S58" s="1305">
        <f>[8]FCST!$CQ32</f>
        <v>72521.221351603934</v>
      </c>
      <c r="T58" s="1302">
        <f>[8]FCST!$BY32</f>
        <v>1726695.7464667601</v>
      </c>
      <c r="U58" s="1309">
        <f t="shared" si="27"/>
        <v>1922303.7464667601</v>
      </c>
      <c r="V58" s="1236">
        <f t="shared" si="28"/>
        <v>13670</v>
      </c>
      <c r="W58" s="1238">
        <f t="shared" si="18"/>
        <v>19044.103864660021</v>
      </c>
      <c r="AD58" s="1213">
        <f t="shared" si="4"/>
        <v>2025</v>
      </c>
      <c r="AF58" s="1238">
        <f t="shared" si="41"/>
        <v>1945744.7464667601</v>
      </c>
      <c r="AG58" s="1310">
        <f t="shared" si="44"/>
        <v>89.9</v>
      </c>
      <c r="AH58" s="1250">
        <v>0</v>
      </c>
      <c r="AI58" s="1213">
        <v>0</v>
      </c>
      <c r="AJ58" s="1250"/>
      <c r="AK58" s="1250"/>
      <c r="AL58" s="1311">
        <v>25</v>
      </c>
      <c r="AM58" s="1307">
        <f t="shared" si="48"/>
        <v>9870</v>
      </c>
      <c r="AN58" s="1250">
        <f>[11]May!$AM58</f>
        <v>10567</v>
      </c>
      <c r="AO58" s="1261">
        <f t="shared" si="49"/>
        <v>-697</v>
      </c>
      <c r="AP58" s="1312">
        <f t="shared" si="47"/>
        <v>127</v>
      </c>
      <c r="AZ58" s="1213"/>
    </row>
    <row r="59" spans="1:52">
      <c r="A59" s="1213">
        <v>2026</v>
      </c>
      <c r="P59" s="1308">
        <f>[8]FCST!$BG33</f>
        <v>1964108.66795958</v>
      </c>
      <c r="Q59" s="1305">
        <f>ROUND(R59*S59,0)</f>
        <v>30364</v>
      </c>
      <c r="R59" s="1304">
        <f t="shared" si="43"/>
        <v>0.41470000000000001</v>
      </c>
      <c r="S59" s="1305">
        <f>[8]FCST!$CQ33</f>
        <v>73220.266054302367</v>
      </c>
      <c r="T59" s="1302">
        <f>[8]FCST!$BY33</f>
        <v>1743339.66795958</v>
      </c>
      <c r="U59" s="1309">
        <f>P59-Q59+S$31</f>
        <v>1940378.66795958</v>
      </c>
      <c r="V59" s="1236">
        <f t="shared" si="28"/>
        <v>13738</v>
      </c>
      <c r="W59" s="1238">
        <f>U59-U58</f>
        <v>18074.921492819907</v>
      </c>
      <c r="Y59" s="1313"/>
      <c r="Z59" s="1314"/>
      <c r="AD59" s="1213">
        <f>A59</f>
        <v>2026</v>
      </c>
      <c r="AF59" s="1238">
        <f t="shared" si="41"/>
        <v>1964108.66795958</v>
      </c>
      <c r="AG59" s="1310">
        <f t="shared" si="44"/>
        <v>89.9</v>
      </c>
      <c r="AH59" s="1250">
        <v>0</v>
      </c>
      <c r="AI59" s="1213">
        <v>0</v>
      </c>
      <c r="AJ59" s="1250"/>
      <c r="AK59" s="1250"/>
      <c r="AL59" s="1311">
        <v>25</v>
      </c>
      <c r="AM59" s="1307">
        <f t="shared" si="48"/>
        <v>9990</v>
      </c>
      <c r="AN59" s="1250">
        <f>[11]May!$AM59</f>
        <v>10747</v>
      </c>
      <c r="AO59" s="1261">
        <f t="shared" si="49"/>
        <v>-757</v>
      </c>
      <c r="AP59" s="1312">
        <f>AM59-AM58</f>
        <v>120</v>
      </c>
      <c r="AZ59" s="1213"/>
    </row>
    <row r="60" spans="1:52">
      <c r="A60" s="1213">
        <v>2027</v>
      </c>
      <c r="P60" s="1308">
        <f>[8]FCST!$BG34</f>
        <v>1981998.2947154201</v>
      </c>
      <c r="Q60" s="1305">
        <f>ROUND(R60*S60,0)</f>
        <v>30647</v>
      </c>
      <c r="R60" s="1304">
        <f t="shared" si="43"/>
        <v>0.41470000000000001</v>
      </c>
      <c r="S60" s="1305">
        <f>[8]FCST!$CQ34</f>
        <v>73902.12037804765</v>
      </c>
      <c r="T60" s="1302">
        <f>[8]FCST!$BY34</f>
        <v>1759574.2947154201</v>
      </c>
      <c r="U60" s="1309">
        <f>P60-Q60+S$31</f>
        <v>1957985.2947154201</v>
      </c>
      <c r="V60" s="1236">
        <f t="shared" si="28"/>
        <v>13807</v>
      </c>
      <c r="W60" s="1238">
        <f>U60-U59</f>
        <v>17606.626755840145</v>
      </c>
      <c r="Y60" s="1313"/>
      <c r="Z60" s="1314"/>
      <c r="AD60" s="1213">
        <f>A60</f>
        <v>2027</v>
      </c>
      <c r="AF60" s="1238">
        <f t="shared" si="41"/>
        <v>1981998.2947154201</v>
      </c>
      <c r="AG60" s="1310">
        <f t="shared" si="44"/>
        <v>89.9</v>
      </c>
      <c r="AH60" s="1250">
        <v>0</v>
      </c>
      <c r="AI60" s="1213">
        <v>0</v>
      </c>
      <c r="AJ60" s="1250"/>
      <c r="AK60" s="1250"/>
      <c r="AL60" s="1311">
        <v>25</v>
      </c>
      <c r="AM60" s="1307">
        <f t="shared" si="48"/>
        <v>10108</v>
      </c>
      <c r="AN60" s="1250">
        <f>[11]May!$AM60</f>
        <v>10926</v>
      </c>
      <c r="AO60" s="1261">
        <f t="shared" si="49"/>
        <v>-818</v>
      </c>
      <c r="AP60" s="1312">
        <f>AM60-AM59</f>
        <v>118</v>
      </c>
      <c r="AZ60" s="1213"/>
    </row>
    <row r="61" spans="1:52">
      <c r="A61" s="1213">
        <v>2028</v>
      </c>
      <c r="P61" s="1308">
        <f>[8]FCST!$BG35</f>
        <v>1999516.9749094101</v>
      </c>
      <c r="Q61" s="1305">
        <f>ROUND(R61*S61,0)</f>
        <v>30924</v>
      </c>
      <c r="R61" s="1304">
        <f t="shared" si="43"/>
        <v>0.41470000000000001</v>
      </c>
      <c r="S61" s="1305">
        <f>[8]FCST!$CQ35</f>
        <v>74570.410946195232</v>
      </c>
      <c r="T61" s="1302">
        <f>[8]FCST!$BY35</f>
        <v>1775485.9749094101</v>
      </c>
      <c r="U61" s="1309">
        <f>P61-Q61+S$31</f>
        <v>1975226.9749094101</v>
      </c>
      <c r="V61" s="1236">
        <f t="shared" si="28"/>
        <v>13876</v>
      </c>
      <c r="W61" s="1238">
        <f>U61-U60</f>
        <v>17241.680193990003</v>
      </c>
      <c r="Y61" s="1313"/>
      <c r="Z61" s="1314"/>
      <c r="AD61" s="1213">
        <f>A61</f>
        <v>2028</v>
      </c>
      <c r="AF61" s="1238">
        <f t="shared" si="41"/>
        <v>1999516.9749094101</v>
      </c>
      <c r="AG61" s="1310">
        <f t="shared" si="44"/>
        <v>89.9</v>
      </c>
      <c r="AH61" s="1250">
        <v>0</v>
      </c>
      <c r="AI61" s="1213">
        <v>0</v>
      </c>
      <c r="AJ61" s="1250"/>
      <c r="AK61" s="1250"/>
      <c r="AL61" s="1311">
        <v>25</v>
      </c>
      <c r="AM61" s="1307">
        <f t="shared" si="48"/>
        <v>10223</v>
      </c>
      <c r="AN61" s="1250">
        <f>[11]May!$AM61</f>
        <v>11103</v>
      </c>
      <c r="AO61" s="1261">
        <f t="shared" si="49"/>
        <v>-880</v>
      </c>
      <c r="AP61" s="1312">
        <f>AM61-AM60</f>
        <v>115</v>
      </c>
      <c r="AZ61" s="1213"/>
    </row>
    <row r="62" spans="1:52">
      <c r="A62" s="1213">
        <v>2029</v>
      </c>
      <c r="P62" s="1308">
        <f>[8]FCST!$BG36</f>
        <v>2016655.51972222</v>
      </c>
      <c r="Q62" s="1305">
        <f>ROUND(R62*S62,0)</f>
        <v>31196</v>
      </c>
      <c r="R62" s="1304">
        <f t="shared" si="43"/>
        <v>0.41470000000000001</v>
      </c>
      <c r="S62" s="1305">
        <f>[8]FCST!$CQ36</f>
        <v>75224.793828333248</v>
      </c>
      <c r="T62" s="1302">
        <f>[8]FCST!$BY36</f>
        <v>1791066.51972222</v>
      </c>
      <c r="U62" s="1309">
        <f>P62-Q62+S$31</f>
        <v>1992093.51972222</v>
      </c>
      <c r="V62" s="1236">
        <f t="shared" si="28"/>
        <v>13945</v>
      </c>
      <c r="W62" s="1238">
        <f>U62-U61</f>
        <v>16866.544812809909</v>
      </c>
      <c r="Y62" s="1313"/>
      <c r="Z62" s="1314"/>
      <c r="AD62" s="1213">
        <f>A62</f>
        <v>2029</v>
      </c>
      <c r="AF62" s="1238">
        <f t="shared" si="41"/>
        <v>2016655.51972222</v>
      </c>
      <c r="AG62" s="1310">
        <f t="shared" si="44"/>
        <v>89.9</v>
      </c>
      <c r="AH62" s="1250">
        <v>0</v>
      </c>
      <c r="AI62" s="1213">
        <v>0</v>
      </c>
      <c r="AJ62" s="1250"/>
      <c r="AK62" s="1250"/>
      <c r="AL62" s="1311">
        <v>25</v>
      </c>
      <c r="AM62" s="1307">
        <f t="shared" si="48"/>
        <v>10335</v>
      </c>
      <c r="AN62" s="1250">
        <f>[11]May!$AM62</f>
        <v>11279</v>
      </c>
      <c r="AO62" s="1261">
        <f t="shared" si="49"/>
        <v>-944</v>
      </c>
      <c r="AP62" s="1312">
        <f>AM62-AM61</f>
        <v>112</v>
      </c>
      <c r="AZ62" s="1213"/>
    </row>
    <row r="63" spans="1:52">
      <c r="A63" s="1213">
        <v>2030</v>
      </c>
      <c r="P63" s="1308">
        <f>[8]FCST!$BG37</f>
        <v>2032855.0502176001</v>
      </c>
      <c r="Q63" s="1305">
        <f>ROUND(R63*S63,0)</f>
        <v>31453</v>
      </c>
      <c r="R63" s="1304">
        <f t="shared" si="43"/>
        <v>0.41470000000000001</v>
      </c>
      <c r="S63" s="1305">
        <f>[8]FCST!$CQ37</f>
        <v>75844.022109139201</v>
      </c>
      <c r="T63" s="1302">
        <f>[8]FCST!$BY37</f>
        <v>1805810.0502176001</v>
      </c>
      <c r="U63" s="1309">
        <f>P63-Q63+S$31</f>
        <v>2008036.0502176001</v>
      </c>
      <c r="V63" s="1236">
        <f t="shared" si="28"/>
        <v>14015</v>
      </c>
      <c r="W63" s="1238">
        <f>U63-U62</f>
        <v>15942.530495380051</v>
      </c>
      <c r="AD63" s="1213">
        <f>A63</f>
        <v>2030</v>
      </c>
      <c r="AF63" s="1238">
        <f t="shared" si="41"/>
        <v>2032855.0502176001</v>
      </c>
      <c r="AG63" s="1310">
        <f t="shared" si="44"/>
        <v>89.9</v>
      </c>
      <c r="AH63" s="1250">
        <v>0</v>
      </c>
      <c r="AI63" s="1213">
        <v>0</v>
      </c>
      <c r="AJ63" s="1250"/>
      <c r="AK63" s="1250"/>
      <c r="AL63" s="1311">
        <v>25</v>
      </c>
      <c r="AM63" s="1307">
        <f t="shared" si="48"/>
        <v>10441</v>
      </c>
      <c r="AN63" s="1250">
        <f>[11]May!$AM63</f>
        <v>11453</v>
      </c>
      <c r="AO63" s="1261">
        <f t="shared" si="49"/>
        <v>-1012</v>
      </c>
      <c r="AP63" s="1312">
        <f>AM63-AM62</f>
        <v>106</v>
      </c>
      <c r="AZ63" s="1213"/>
    </row>
    <row r="64" spans="1:52">
      <c r="A64" s="1213">
        <v>2031</v>
      </c>
      <c r="P64" s="1308">
        <f>[8]FCST!$BG38</f>
        <v>2048533.6861564899</v>
      </c>
      <c r="Q64" s="1305">
        <f t="shared" ref="Q64:Q73" si="50">ROUND(R64*S64,0)</f>
        <v>31701</v>
      </c>
      <c r="R64" s="1304">
        <f t="shared" si="43"/>
        <v>0.41470000000000001</v>
      </c>
      <c r="S64" s="1305">
        <f>[8]FCST!$CQ38</f>
        <v>76444.186818572576</v>
      </c>
      <c r="T64" s="1302">
        <f>[8]FCST!$BY38</f>
        <v>1820099.6861564899</v>
      </c>
      <c r="U64" s="1309">
        <f t="shared" ref="U64:U73" si="51">P64-Q64+S$31</f>
        <v>2023466.6861564899</v>
      </c>
      <c r="W64" s="1238">
        <f t="shared" ref="W64:W73" si="52">U64-U63</f>
        <v>15430.635938889813</v>
      </c>
      <c r="AD64" s="1213">
        <f t="shared" ref="AD64:AD73" si="53">A64</f>
        <v>2031</v>
      </c>
      <c r="AF64" s="1238">
        <f t="shared" si="41"/>
        <v>2048533.6861564899</v>
      </c>
      <c r="AG64" s="1310">
        <f t="shared" ref="AG64:AG73" si="54">$Y$74</f>
        <v>89.9</v>
      </c>
      <c r="AH64" s="1250">
        <v>0</v>
      </c>
      <c r="AI64" s="1213">
        <v>0</v>
      </c>
      <c r="AL64" s="1311">
        <v>26</v>
      </c>
      <c r="AM64" s="1307">
        <f t="shared" ref="AM64:AM73" si="55">ROUND($AV$13+$AU$13*AF64+$AT$13*AG64+$AS$13*AH64+$AR$13*AI64,0)-AL64</f>
        <v>10543</v>
      </c>
      <c r="AP64" s="1312">
        <f t="shared" ref="AP64:AP73" si="56">AM64-AM63</f>
        <v>102</v>
      </c>
      <c r="AZ64" s="1213"/>
    </row>
    <row r="65" spans="1:52">
      <c r="A65" s="1213">
        <v>2032</v>
      </c>
      <c r="P65" s="1308">
        <f>[8]FCST!$BG39</f>
        <v>2063806.6179490399</v>
      </c>
      <c r="Q65" s="1305">
        <f t="shared" si="50"/>
        <v>31944</v>
      </c>
      <c r="R65" s="1304">
        <f t="shared" si="43"/>
        <v>0.41470000000000001</v>
      </c>
      <c r="S65" s="1305">
        <f>[8]FCST!$CQ39</f>
        <v>77029.537953859675</v>
      </c>
      <c r="T65" s="1302">
        <f>[8]FCST!$BY39</f>
        <v>1834036.6179490399</v>
      </c>
      <c r="U65" s="1309">
        <f t="shared" si="51"/>
        <v>2038496.6179490399</v>
      </c>
      <c r="W65" s="1238">
        <f t="shared" si="52"/>
        <v>15029.931792550022</v>
      </c>
      <c r="AD65" s="1213">
        <f t="shared" si="53"/>
        <v>2032</v>
      </c>
      <c r="AF65" s="1238">
        <f t="shared" si="41"/>
        <v>2063806.6179490399</v>
      </c>
      <c r="AG65" s="1310">
        <f t="shared" si="54"/>
        <v>89.9</v>
      </c>
      <c r="AH65" s="1250">
        <v>0</v>
      </c>
      <c r="AI65" s="1213">
        <v>0</v>
      </c>
      <c r="AL65" s="1311">
        <v>27</v>
      </c>
      <c r="AM65" s="1307">
        <f t="shared" si="55"/>
        <v>10642</v>
      </c>
      <c r="AP65" s="1312">
        <f t="shared" si="56"/>
        <v>99</v>
      </c>
      <c r="AZ65" s="1213"/>
    </row>
    <row r="66" spans="1:52">
      <c r="A66" s="1213">
        <v>2033</v>
      </c>
      <c r="P66" s="1308">
        <f>[8]FCST!$BG40</f>
        <v>2078684.0344145601</v>
      </c>
      <c r="Q66" s="1305">
        <f t="shared" si="50"/>
        <v>32181</v>
      </c>
      <c r="R66" s="1304">
        <f t="shared" si="43"/>
        <v>0.41470000000000001</v>
      </c>
      <c r="S66" s="1305">
        <f>[8]FCST!$CQ40</f>
        <v>77600.41944541152</v>
      </c>
      <c r="T66" s="1302">
        <f>[8]FCST!$BY40</f>
        <v>1847629.0344145601</v>
      </c>
      <c r="U66" s="1309">
        <f t="shared" si="51"/>
        <v>2053137.0344145601</v>
      </c>
      <c r="W66" s="1238">
        <f t="shared" si="52"/>
        <v>14640.41646552016</v>
      </c>
      <c r="AD66" s="1213">
        <f t="shared" si="53"/>
        <v>2033</v>
      </c>
      <c r="AF66" s="1238">
        <f t="shared" si="41"/>
        <v>2078684.0344145601</v>
      </c>
      <c r="AG66" s="1310">
        <f t="shared" si="54"/>
        <v>89.9</v>
      </c>
      <c r="AH66" s="1250">
        <v>0</v>
      </c>
      <c r="AI66" s="1213">
        <v>0</v>
      </c>
      <c r="AL66" s="1311">
        <v>28</v>
      </c>
      <c r="AM66" s="1307">
        <f t="shared" si="55"/>
        <v>10739</v>
      </c>
      <c r="AP66" s="1312">
        <f t="shared" si="56"/>
        <v>97</v>
      </c>
      <c r="AZ66" s="1213"/>
    </row>
    <row r="67" spans="1:52">
      <c r="A67" s="1213">
        <v>2034</v>
      </c>
      <c r="P67" s="1308">
        <f>[8]FCST!$BG41</f>
        <v>2093177.3437157599</v>
      </c>
      <c r="Q67" s="1305">
        <f t="shared" si="50"/>
        <v>32412</v>
      </c>
      <c r="R67" s="1304">
        <f t="shared" si="43"/>
        <v>0.41470000000000001</v>
      </c>
      <c r="S67" s="1305">
        <f>[8]FCST!$CQ41</f>
        <v>78157.184436061929</v>
      </c>
      <c r="T67" s="1302">
        <f>[8]FCST!$BY41</f>
        <v>1860885.3437157599</v>
      </c>
      <c r="U67" s="1309">
        <f t="shared" si="51"/>
        <v>2067399.3437157599</v>
      </c>
      <c r="W67" s="1238">
        <f t="shared" si="52"/>
        <v>14262.309301199857</v>
      </c>
      <c r="AD67" s="1213">
        <f t="shared" si="53"/>
        <v>2034</v>
      </c>
      <c r="AF67" s="1238">
        <f t="shared" si="41"/>
        <v>2093177.3437157599</v>
      </c>
      <c r="AG67" s="1310">
        <f t="shared" si="54"/>
        <v>89.9</v>
      </c>
      <c r="AH67" s="1250">
        <v>0</v>
      </c>
      <c r="AI67" s="1213">
        <v>0</v>
      </c>
      <c r="AL67" s="1311">
        <v>29</v>
      </c>
      <c r="AM67" s="1307">
        <f t="shared" si="55"/>
        <v>10833</v>
      </c>
      <c r="AP67" s="1312">
        <f t="shared" si="56"/>
        <v>94</v>
      </c>
      <c r="AZ67" s="1213"/>
    </row>
    <row r="68" spans="1:52">
      <c r="A68" s="1213">
        <v>2035</v>
      </c>
      <c r="P68" s="1308">
        <f>[8]FCST!$BG42</f>
        <v>2107294.8809008598</v>
      </c>
      <c r="Q68" s="1305">
        <f t="shared" si="50"/>
        <v>32637</v>
      </c>
      <c r="R68" s="1304">
        <f t="shared" si="43"/>
        <v>0.41470000000000001</v>
      </c>
      <c r="S68" s="1305">
        <f>[8]FCST!$CQ42</f>
        <v>78700.182997836135</v>
      </c>
      <c r="T68" s="1302">
        <f>[8]FCST!$BY42</f>
        <v>1873813.8809008601</v>
      </c>
      <c r="U68" s="1309">
        <f t="shared" si="51"/>
        <v>2081291.8809008598</v>
      </c>
      <c r="W68" s="1238">
        <f t="shared" si="52"/>
        <v>13892.537185099907</v>
      </c>
      <c r="AD68" s="1213">
        <f t="shared" si="53"/>
        <v>2035</v>
      </c>
      <c r="AF68" s="1238">
        <f t="shared" si="41"/>
        <v>2107294.8809008598</v>
      </c>
      <c r="AG68" s="1310">
        <f t="shared" si="54"/>
        <v>89.9</v>
      </c>
      <c r="AH68" s="1250">
        <v>0</v>
      </c>
      <c r="AI68" s="1213">
        <v>0</v>
      </c>
      <c r="AL68" s="1311">
        <v>30</v>
      </c>
      <c r="AM68" s="1307">
        <f t="shared" si="55"/>
        <v>10924</v>
      </c>
      <c r="AP68" s="1312">
        <f t="shared" si="56"/>
        <v>91</v>
      </c>
      <c r="AZ68" s="1213"/>
    </row>
    <row r="69" spans="1:52">
      <c r="A69" s="1213">
        <v>2036</v>
      </c>
      <c r="P69" s="1308">
        <f>[8]FCST!$BG43</f>
        <v>2121051.6580362101</v>
      </c>
      <c r="Q69" s="1305">
        <f t="shared" si="50"/>
        <v>32857</v>
      </c>
      <c r="R69" s="1304">
        <f t="shared" si="43"/>
        <v>0.41470000000000001</v>
      </c>
      <c r="S69" s="1305">
        <f>[8]FCST!$CQ43</f>
        <v>79230.087637520832</v>
      </c>
      <c r="T69" s="1302">
        <f>[8]FCST!$BY43</f>
        <v>1886430.6580362101</v>
      </c>
      <c r="U69" s="1309">
        <f t="shared" si="51"/>
        <v>2094828.6580362101</v>
      </c>
      <c r="W69" s="1238">
        <f t="shared" si="52"/>
        <v>13536.777135350276</v>
      </c>
      <c r="AD69" s="1213">
        <f t="shared" si="53"/>
        <v>2036</v>
      </c>
      <c r="AF69" s="1238">
        <f t="shared" si="41"/>
        <v>2121051.6580362101</v>
      </c>
      <c r="AG69" s="1310">
        <f t="shared" si="54"/>
        <v>89.9</v>
      </c>
      <c r="AH69" s="1250">
        <v>0</v>
      </c>
      <c r="AI69" s="1213">
        <v>0</v>
      </c>
      <c r="AL69" s="1311">
        <v>31</v>
      </c>
      <c r="AM69" s="1307">
        <f t="shared" si="55"/>
        <v>11014</v>
      </c>
      <c r="AP69" s="1312">
        <f t="shared" si="56"/>
        <v>90</v>
      </c>
      <c r="AZ69" s="1213"/>
    </row>
    <row r="70" spans="1:52">
      <c r="A70" s="1213">
        <v>2037</v>
      </c>
      <c r="P70" s="1308">
        <f>[8]FCST!$BG44</f>
        <v>2135668.33786829</v>
      </c>
      <c r="Q70" s="1305">
        <f t="shared" si="50"/>
        <v>33090</v>
      </c>
      <c r="R70" s="1304">
        <f t="shared" si="43"/>
        <v>0.41470000000000001</v>
      </c>
      <c r="S70" s="1305">
        <f>[8]FCST!$CQ44</f>
        <v>79793.252190468193</v>
      </c>
      <c r="T70" s="1302">
        <f>[8]FCST!$BY44</f>
        <v>1899839.33786829</v>
      </c>
      <c r="U70" s="1309">
        <f t="shared" si="51"/>
        <v>2109212.33786829</v>
      </c>
      <c r="W70" s="1238">
        <f t="shared" si="52"/>
        <v>14383.679832079913</v>
      </c>
      <c r="AD70" s="1213">
        <f t="shared" si="53"/>
        <v>2037</v>
      </c>
      <c r="AF70" s="1238">
        <f t="shared" si="41"/>
        <v>2135668.33786829</v>
      </c>
      <c r="AG70" s="1310">
        <f t="shared" si="54"/>
        <v>89.9</v>
      </c>
      <c r="AH70" s="1250">
        <v>0</v>
      </c>
      <c r="AI70" s="1213">
        <v>0</v>
      </c>
      <c r="AL70" s="1311">
        <v>32</v>
      </c>
      <c r="AM70" s="1307">
        <f t="shared" si="55"/>
        <v>11108</v>
      </c>
      <c r="AP70" s="1312">
        <f t="shared" si="56"/>
        <v>94</v>
      </c>
      <c r="AZ70" s="1213"/>
    </row>
    <row r="71" spans="1:52">
      <c r="A71" s="1213">
        <v>2038</v>
      </c>
      <c r="P71" s="1308">
        <f>[8]FCST!$BG45</f>
        <v>2150900.6616730299</v>
      </c>
      <c r="Q71" s="1305">
        <f t="shared" si="50"/>
        <v>33334</v>
      </c>
      <c r="R71" s="1304">
        <f t="shared" si="43"/>
        <v>0.41470000000000001</v>
      </c>
      <c r="S71" s="1305">
        <f>[8]FCST!$CQ45</f>
        <v>80379.837790267266</v>
      </c>
      <c r="T71" s="1302">
        <f>[8]FCST!$BY45</f>
        <v>1913805.6616730299</v>
      </c>
      <c r="U71" s="1309">
        <f t="shared" si="51"/>
        <v>2124200.6616730299</v>
      </c>
      <c r="W71" s="1238">
        <f t="shared" si="52"/>
        <v>14988.323804739863</v>
      </c>
      <c r="AD71" s="1213">
        <f t="shared" si="53"/>
        <v>2038</v>
      </c>
      <c r="AF71" s="1238">
        <f t="shared" si="41"/>
        <v>2150900.6616730299</v>
      </c>
      <c r="AG71" s="1310">
        <f t="shared" si="54"/>
        <v>89.9</v>
      </c>
      <c r="AH71" s="1250">
        <v>0</v>
      </c>
      <c r="AI71" s="1213">
        <v>0</v>
      </c>
      <c r="AL71" s="1311">
        <v>33</v>
      </c>
      <c r="AM71" s="1307">
        <f t="shared" si="55"/>
        <v>11207</v>
      </c>
      <c r="AP71" s="1312">
        <f t="shared" si="56"/>
        <v>99</v>
      </c>
      <c r="AZ71" s="1213"/>
    </row>
    <row r="72" spans="1:52">
      <c r="A72" s="1213">
        <v>2039</v>
      </c>
      <c r="P72" s="1308">
        <f>[8]FCST!$BG46</f>
        <v>2165526.5752220401</v>
      </c>
      <c r="Q72" s="1305">
        <f t="shared" si="50"/>
        <v>33567</v>
      </c>
      <c r="R72" s="1304">
        <f t="shared" si="43"/>
        <v>0.41470000000000001</v>
      </c>
      <c r="S72" s="1305">
        <f>[8]FCST!$CQ46</f>
        <v>80943.558159325694</v>
      </c>
      <c r="T72" s="1302">
        <f>[8]FCST!$BY46</f>
        <v>1927227.5752220401</v>
      </c>
      <c r="U72" s="1309">
        <f t="shared" si="51"/>
        <v>2138593.5752220401</v>
      </c>
      <c r="W72" s="1238">
        <f t="shared" si="52"/>
        <v>14392.913549010176</v>
      </c>
      <c r="AD72" s="1213">
        <f t="shared" si="53"/>
        <v>2039</v>
      </c>
      <c r="AF72" s="1238">
        <f t="shared" si="41"/>
        <v>2165526.5752220401</v>
      </c>
      <c r="AG72" s="1310">
        <f t="shared" si="54"/>
        <v>89.9</v>
      </c>
      <c r="AH72" s="1250">
        <v>0</v>
      </c>
      <c r="AI72" s="1213">
        <v>0</v>
      </c>
      <c r="AL72" s="1311">
        <v>34</v>
      </c>
      <c r="AM72" s="1307">
        <f t="shared" si="55"/>
        <v>11302</v>
      </c>
      <c r="AP72" s="1312">
        <f t="shared" si="56"/>
        <v>95</v>
      </c>
      <c r="AZ72" s="1213"/>
    </row>
    <row r="73" spans="1:52">
      <c r="A73" s="1213">
        <v>2040</v>
      </c>
      <c r="P73" s="1308">
        <f>[8]FCST!$BG47</f>
        <v>2180548.6131464299</v>
      </c>
      <c r="Q73" s="1305">
        <f t="shared" si="50"/>
        <v>33808</v>
      </c>
      <c r="R73" s="1304">
        <f t="shared" si="43"/>
        <v>0.41470000000000001</v>
      </c>
      <c r="S73" s="1305">
        <f>[8]FCST!$CQ47</f>
        <v>81523.117752150065</v>
      </c>
      <c r="T73" s="1302">
        <f>[8]FCST!$BY47</f>
        <v>1941026.6131464301</v>
      </c>
      <c r="U73" s="1309">
        <f t="shared" si="51"/>
        <v>2153374.6131464299</v>
      </c>
      <c r="W73" s="1238">
        <f t="shared" si="52"/>
        <v>14781.037924389821</v>
      </c>
      <c r="AD73" s="1213">
        <f t="shared" si="53"/>
        <v>2040</v>
      </c>
      <c r="AF73" s="1238">
        <f t="shared" si="41"/>
        <v>2180548.6131464299</v>
      </c>
      <c r="AG73" s="1310">
        <f t="shared" si="54"/>
        <v>89.9</v>
      </c>
      <c r="AH73" s="1250">
        <v>0</v>
      </c>
      <c r="AI73" s="1213">
        <v>0</v>
      </c>
      <c r="AL73" s="1311">
        <v>35</v>
      </c>
      <c r="AM73" s="1307">
        <f t="shared" si="55"/>
        <v>11400</v>
      </c>
      <c r="AP73" s="1312">
        <f t="shared" si="56"/>
        <v>98</v>
      </c>
      <c r="AZ73" s="1213"/>
    </row>
    <row r="74" spans="1:52">
      <c r="Y74" s="1315">
        <f>ROUND(AVERAGE(Y14:Y43),1)</f>
        <v>89.9</v>
      </c>
      <c r="Z74" s="1314" t="s">
        <v>446</v>
      </c>
      <c r="AD74" s="1213"/>
      <c r="AI74" s="1213"/>
      <c r="AZ74" s="1213"/>
    </row>
    <row r="75" spans="1:52">
      <c r="AD75" s="1319"/>
      <c r="AE75" s="1319"/>
      <c r="AF75" s="1511"/>
      <c r="AG75" s="1317"/>
      <c r="AH75" s="1317"/>
      <c r="AI75" s="1511"/>
      <c r="AJ75" s="1217"/>
      <c r="AK75" s="1319"/>
      <c r="AL75" s="1320"/>
      <c r="AM75" s="1511"/>
      <c r="AN75" s="1217"/>
      <c r="AO75" s="1217"/>
      <c r="AP75" s="1318"/>
      <c r="AQ75" s="1318"/>
      <c r="AZ75" s="1213"/>
    </row>
    <row r="76" spans="1:52">
      <c r="AD76" s="1319"/>
      <c r="AE76" s="1319"/>
      <c r="AF76" s="1511"/>
      <c r="AG76" s="1321"/>
      <c r="AH76" s="1321"/>
      <c r="AI76" s="1511"/>
      <c r="AJ76" s="1217"/>
      <c r="AK76" s="1322"/>
      <c r="AL76" s="1224"/>
      <c r="AM76" s="1511"/>
      <c r="AN76" s="1511"/>
      <c r="AO76" s="1511"/>
      <c r="AP76" s="1316"/>
      <c r="AQ76" s="1318"/>
      <c r="AZ76" s="1213"/>
    </row>
    <row r="77" spans="1:52">
      <c r="AD77" s="1512"/>
      <c r="AE77" s="1512"/>
      <c r="AF77" s="1512"/>
      <c r="AG77" s="1512"/>
      <c r="AH77" s="1512"/>
      <c r="AI77" s="1213"/>
      <c r="AJ77" s="1512"/>
      <c r="AK77" s="1512"/>
      <c r="AL77" s="1512"/>
      <c r="AM77" s="1512"/>
      <c r="AN77" s="1512"/>
      <c r="AO77" s="1512"/>
      <c r="AZ77" s="1213"/>
    </row>
    <row r="78" spans="1:52">
      <c r="AI78" s="1213"/>
      <c r="AZ78" s="1213"/>
    </row>
    <row r="79" spans="1:52">
      <c r="AI79" s="1213"/>
      <c r="AZ79" s="1213"/>
    </row>
    <row r="80" spans="1:52">
      <c r="AI80" s="1213"/>
      <c r="AZ80" s="1213"/>
    </row>
    <row r="81" spans="5:52">
      <c r="AI81" s="1213"/>
      <c r="AZ81" s="1213"/>
    </row>
    <row r="82" spans="5:52">
      <c r="AI82" s="1213"/>
      <c r="AZ82" s="1213"/>
    </row>
    <row r="83" spans="5:52">
      <c r="AI83" s="1213"/>
      <c r="AZ83" s="1213"/>
    </row>
    <row r="84" spans="5:52">
      <c r="AI84" s="1213"/>
      <c r="AZ84" s="1213"/>
    </row>
    <row r="85" spans="5:52">
      <c r="E85" s="1242"/>
      <c r="F85" s="1242"/>
      <c r="G85" s="1251"/>
      <c r="H85" s="1251"/>
      <c r="I85" s="1251"/>
      <c r="J85" s="1242"/>
      <c r="K85" s="1251"/>
      <c r="L85" s="1251"/>
      <c r="M85" s="1242"/>
      <c r="N85" s="1251"/>
      <c r="O85" s="1242"/>
      <c r="AH85" s="1213"/>
      <c r="AZ85" s="1213"/>
    </row>
    <row r="86" spans="5:52">
      <c r="AH86" s="1213"/>
      <c r="AZ86" s="1213"/>
    </row>
    <row r="87" spans="5:52">
      <c r="AH87" s="1213"/>
      <c r="AZ87" s="1213"/>
    </row>
    <row r="88" spans="5:52">
      <c r="AZ88" s="1213"/>
    </row>
    <row r="89" spans="5:52">
      <c r="AZ89" s="1213"/>
    </row>
    <row r="90" spans="5:52">
      <c r="AZ90" s="1213"/>
    </row>
    <row r="91" spans="5:52">
      <c r="AZ91" s="1213"/>
    </row>
    <row r="92" spans="5:52">
      <c r="AZ92" s="1213"/>
    </row>
    <row r="93" spans="5:52">
      <c r="AZ93" s="1213"/>
    </row>
    <row r="94" spans="5:52">
      <c r="AZ94" s="1213"/>
    </row>
  </sheetData>
  <mergeCells count="1">
    <mergeCell ref="AD1:AU1"/>
  </mergeCells>
  <phoneticPr fontId="52" type="noConversion"/>
  <printOptions horizontalCentered="1"/>
  <pageMargins left="0.25" right="0.25" top="0.5" bottom="0.75" header="0" footer="0.25"/>
  <pageSetup scale="66" orientation="landscape" verticalDpi="300" r:id="rId1"/>
  <headerFooter alignWithMargins="0">
    <oddFooter>&amp;LLoad Forecasting : &amp;D&amp;R14LGBRA-NRGPOD1-6-DOC 38
14BGBRA-STAFFROG1-19A-DOC 38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87"/>
  <sheetViews>
    <sheetView tabSelected="1" zoomScale="80" zoomScaleNormal="80" workbookViewId="0">
      <pane xSplit="4" ySplit="6" topLeftCell="P34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/>
  <cols>
    <col min="1" max="1" width="6.28515625" style="123" bestFit="1" customWidth="1"/>
    <col min="2" max="2" width="10.140625" style="123" bestFit="1" customWidth="1"/>
    <col min="3" max="3" width="4" style="123" bestFit="1" customWidth="1"/>
    <col min="4" max="4" width="5.5703125" style="123" bestFit="1" customWidth="1"/>
    <col min="5" max="5" width="8.7109375" style="123" bestFit="1" customWidth="1"/>
    <col min="6" max="6" width="10.42578125" style="123" bestFit="1" customWidth="1"/>
    <col min="7" max="7" width="11.140625" style="123" bestFit="1" customWidth="1"/>
    <col min="8" max="8" width="8.28515625" style="123" bestFit="1" customWidth="1"/>
    <col min="9" max="9" width="9.42578125" style="123" bestFit="1" customWidth="1"/>
    <col min="10" max="10" width="8.7109375" style="123" bestFit="1" customWidth="1"/>
    <col min="11" max="11" width="10" style="123" bestFit="1" customWidth="1"/>
    <col min="12" max="12" width="7.7109375" style="123" bestFit="1" customWidth="1"/>
    <col min="13" max="13" width="11.42578125" style="123" bestFit="1" customWidth="1"/>
    <col min="14" max="14" width="7.140625" style="123" bestFit="1" customWidth="1"/>
    <col min="15" max="15" width="7.7109375" style="123" bestFit="1" customWidth="1"/>
    <col min="16" max="16" width="12.7109375" style="123" bestFit="1" customWidth="1"/>
    <col min="17" max="18" width="12.7109375" style="123" customWidth="1"/>
    <col min="19" max="19" width="14.28515625" style="123" bestFit="1" customWidth="1"/>
    <col min="20" max="20" width="11.5703125" style="123" customWidth="1"/>
    <col min="21" max="21" width="12.7109375" style="123" bestFit="1" customWidth="1"/>
    <col min="22" max="22" width="9.85546875" style="124" bestFit="1" customWidth="1"/>
    <col min="23" max="29" width="9.140625" style="124"/>
    <col min="30" max="30" width="7.5703125" style="124" customWidth="1"/>
    <col min="31" max="31" width="9.140625" style="124"/>
    <col min="32" max="32" width="10.28515625" style="124" bestFit="1" customWidth="1"/>
    <col min="33" max="33" width="8.28515625" style="124" bestFit="1" customWidth="1"/>
    <col min="34" max="34" width="9.42578125" style="124" bestFit="1" customWidth="1"/>
    <col min="35" max="35" width="9.7109375" style="124" customWidth="1"/>
    <col min="36" max="37" width="9.140625" style="124"/>
    <col min="38" max="38" width="8.7109375" style="124" bestFit="1" customWidth="1"/>
    <col min="39" max="40" width="9.140625" style="124"/>
    <col min="41" max="41" width="6.42578125" style="124" customWidth="1"/>
    <col min="42" max="42" width="11.7109375" style="124" bestFit="1" customWidth="1"/>
    <col min="43" max="43" width="16.7109375" style="124" customWidth="1"/>
    <col min="44" max="45" width="12.7109375" style="124" customWidth="1"/>
    <col min="46" max="47" width="14" style="124" bestFit="1" customWidth="1"/>
    <col min="48" max="57" width="9.140625" style="124"/>
    <col min="58" max="58" width="10.85546875" style="124" bestFit="1" customWidth="1"/>
    <col min="59" max="16384" width="9.140625" style="124"/>
  </cols>
  <sheetData>
    <row r="1" spans="1:60" s="122" customFormat="1" ht="13.5" thickBot="1">
      <c r="A1" s="906" t="s">
        <v>107</v>
      </c>
      <c r="B1" s="1583"/>
      <c r="C1" s="1583"/>
      <c r="D1" s="1583"/>
      <c r="E1" s="1583"/>
      <c r="F1" s="1583"/>
      <c r="G1" s="1583"/>
      <c r="H1" s="1583"/>
      <c r="I1" s="1583"/>
      <c r="J1" s="1583"/>
      <c r="K1" s="1583" t="s">
        <v>634</v>
      </c>
      <c r="L1" s="1583"/>
      <c r="M1" s="1583"/>
      <c r="N1" s="1583"/>
      <c r="O1" s="1583"/>
      <c r="P1" s="1583"/>
      <c r="Q1" s="1583" t="s">
        <v>634</v>
      </c>
      <c r="R1" s="1583" t="s">
        <v>634</v>
      </c>
      <c r="S1" s="1583" t="s">
        <v>634</v>
      </c>
      <c r="T1" s="1583" t="s">
        <v>634</v>
      </c>
      <c r="U1" s="1583" t="s">
        <v>634</v>
      </c>
      <c r="V1" s="122" t="s">
        <v>634</v>
      </c>
      <c r="W1" s="122" t="s">
        <v>634</v>
      </c>
      <c r="AD1" s="1603" t="s">
        <v>608</v>
      </c>
      <c r="AE1" s="1604"/>
      <c r="AF1" s="1604"/>
      <c r="AG1" s="1604"/>
      <c r="AH1" s="1604"/>
      <c r="AI1" s="1604"/>
      <c r="AJ1" s="1604"/>
      <c r="AK1" s="1604"/>
      <c r="AL1" s="1604"/>
      <c r="AM1" s="1604"/>
      <c r="AN1" s="1604"/>
      <c r="AO1" s="1604"/>
      <c r="AP1" s="1604"/>
      <c r="AQ1" s="1604"/>
      <c r="AR1" s="1604"/>
      <c r="AS1" s="1604"/>
      <c r="AT1" s="1604"/>
      <c r="AU1" s="1604"/>
    </row>
    <row r="2" spans="1:60">
      <c r="P2" s="1190" t="str">
        <f>Feb!P2</f>
        <v>CF_201309</v>
      </c>
      <c r="R2" s="1190" t="str">
        <f>Feb!R2</f>
        <v>13_EDB_Adjmt.xlsx</v>
      </c>
      <c r="S2" s="109"/>
      <c r="T2" s="1190" t="str">
        <f>P2</f>
        <v>CF_201309</v>
      </c>
    </row>
    <row r="3" spans="1:60">
      <c r="J3" s="265" t="s">
        <v>21</v>
      </c>
      <c r="M3" s="123" t="s">
        <v>58</v>
      </c>
      <c r="Q3" s="92"/>
      <c r="R3" s="92"/>
      <c r="S3" s="92"/>
      <c r="T3" s="92"/>
    </row>
    <row r="4" spans="1:60">
      <c r="J4" s="123" t="s">
        <v>6</v>
      </c>
      <c r="M4" s="123" t="s">
        <v>6</v>
      </c>
      <c r="O4" s="123" t="s">
        <v>1</v>
      </c>
      <c r="Q4" s="353" t="s">
        <v>186</v>
      </c>
      <c r="R4" s="687">
        <f>[2]ssr!$K$177</f>
        <v>0.40029999999999999</v>
      </c>
      <c r="S4" s="370"/>
      <c r="T4" s="92"/>
      <c r="U4" s="810" t="s">
        <v>396</v>
      </c>
      <c r="AD4" s="125" t="s">
        <v>199</v>
      </c>
    </row>
    <row r="5" spans="1:60">
      <c r="H5" s="265" t="s">
        <v>66</v>
      </c>
      <c r="I5" s="265" t="s">
        <v>206</v>
      </c>
      <c r="J5" s="123" t="s">
        <v>61</v>
      </c>
      <c r="L5" s="123" t="s">
        <v>87</v>
      </c>
      <c r="M5" s="123" t="s">
        <v>61</v>
      </c>
      <c r="N5" s="123" t="s">
        <v>0</v>
      </c>
      <c r="O5" s="123" t="s">
        <v>6</v>
      </c>
      <c r="P5" s="810" t="s">
        <v>396</v>
      </c>
      <c r="Q5" s="351" t="s">
        <v>187</v>
      </c>
      <c r="R5" s="350" t="s">
        <v>189</v>
      </c>
      <c r="S5" s="350" t="s">
        <v>21</v>
      </c>
      <c r="T5" s="92"/>
      <c r="U5" s="309" t="s">
        <v>315</v>
      </c>
      <c r="V5" s="351" t="s">
        <v>346</v>
      </c>
      <c r="W5" s="350" t="s">
        <v>194</v>
      </c>
      <c r="X5" s="304"/>
      <c r="Y5" s="123"/>
      <c r="AE5" s="810"/>
      <c r="AG5" s="265" t="s">
        <v>294</v>
      </c>
    </row>
    <row r="6" spans="1:60" s="129" customFormat="1" ht="13.5" thickBot="1">
      <c r="A6" s="121" t="s">
        <v>9</v>
      </c>
      <c r="B6" s="121" t="s">
        <v>88</v>
      </c>
      <c r="C6" s="121" t="s">
        <v>89</v>
      </c>
      <c r="D6" s="121" t="s">
        <v>90</v>
      </c>
      <c r="E6" s="121" t="s">
        <v>91</v>
      </c>
      <c r="F6" s="121" t="s">
        <v>92</v>
      </c>
      <c r="G6" s="121" t="s">
        <v>93</v>
      </c>
      <c r="H6" s="128" t="s">
        <v>205</v>
      </c>
      <c r="I6" s="128" t="s">
        <v>207</v>
      </c>
      <c r="J6" s="121" t="s">
        <v>62</v>
      </c>
      <c r="K6" s="121" t="s">
        <v>57</v>
      </c>
      <c r="L6" s="121" t="s">
        <v>77</v>
      </c>
      <c r="M6" s="121" t="s">
        <v>59</v>
      </c>
      <c r="N6" s="324" t="s">
        <v>66</v>
      </c>
      <c r="O6" s="1211" t="s">
        <v>567</v>
      </c>
      <c r="P6" s="178" t="s">
        <v>197</v>
      </c>
      <c r="Q6" s="352" t="s">
        <v>226</v>
      </c>
      <c r="R6" s="352" t="s">
        <v>190</v>
      </c>
      <c r="S6" s="359" t="s">
        <v>188</v>
      </c>
      <c r="T6" s="343" t="s">
        <v>191</v>
      </c>
      <c r="U6" s="112" t="s">
        <v>316</v>
      </c>
      <c r="V6" s="343" t="s">
        <v>345</v>
      </c>
      <c r="W6" s="359" t="s">
        <v>169</v>
      </c>
      <c r="X6" s="571" t="s">
        <v>301</v>
      </c>
      <c r="Y6" s="308" t="s">
        <v>96</v>
      </c>
      <c r="AD6" s="121" t="s">
        <v>9</v>
      </c>
      <c r="AE6" s="128" t="s">
        <v>179</v>
      </c>
      <c r="AF6" s="121" t="s">
        <v>97</v>
      </c>
      <c r="AG6" s="128" t="s">
        <v>170</v>
      </c>
      <c r="AH6" s="324" t="s">
        <v>183</v>
      </c>
      <c r="AI6" s="300" t="s">
        <v>452</v>
      </c>
      <c r="AJ6" s="121" t="s">
        <v>98</v>
      </c>
      <c r="AK6" s="121" t="s">
        <v>99</v>
      </c>
      <c r="AL6" s="121" t="s">
        <v>100</v>
      </c>
      <c r="AM6" s="178" t="str">
        <f>May!AM6</f>
        <v>Fall'13</v>
      </c>
      <c r="AN6" s="178" t="str">
        <f>May!AN6</f>
        <v>TYSP'13</v>
      </c>
      <c r="AO6" s="178" t="str">
        <f>May!AO6</f>
        <v>Diff</v>
      </c>
      <c r="AP6" s="178" t="str">
        <f>May!AP6</f>
        <v>Yr-Yr Growth</v>
      </c>
    </row>
    <row r="7" spans="1:60">
      <c r="V7" s="123"/>
      <c r="W7" s="123"/>
      <c r="X7" s="123"/>
      <c r="Y7" s="123"/>
      <c r="AI7" s="379"/>
    </row>
    <row r="8" spans="1:60">
      <c r="A8" s="123">
        <v>1975</v>
      </c>
      <c r="B8" s="139">
        <v>27557</v>
      </c>
      <c r="C8" s="123">
        <v>18</v>
      </c>
      <c r="D8" s="346" t="str">
        <f>TEXT(WEEKDAY(B8),"ddd")</f>
        <v>Thu</v>
      </c>
      <c r="E8" s="347">
        <v>2884</v>
      </c>
      <c r="P8" s="1336">
        <f>[4]Data!$I172</f>
        <v>610999</v>
      </c>
      <c r="U8" s="133">
        <f t="shared" ref="U8:U29" si="0">P8-Q8</f>
        <v>610999</v>
      </c>
      <c r="V8" s="123"/>
      <c r="X8" s="339"/>
      <c r="Y8" s="339"/>
      <c r="AI8" s="379"/>
    </row>
    <row r="9" spans="1:60">
      <c r="A9" s="123">
        <v>1976</v>
      </c>
      <c r="B9" s="139">
        <v>27928</v>
      </c>
      <c r="C9" s="123">
        <v>18</v>
      </c>
      <c r="D9" s="346" t="str">
        <f>TEXT(WEEKDAY(B9),"ddd")</f>
        <v>Thu</v>
      </c>
      <c r="E9" s="347">
        <v>2648</v>
      </c>
      <c r="P9" s="1336">
        <f>[4]Data!$I173</f>
        <v>634011</v>
      </c>
      <c r="U9" s="133">
        <f t="shared" si="0"/>
        <v>634011</v>
      </c>
      <c r="V9" s="123"/>
      <c r="W9" s="132">
        <f t="shared" ref="W9:W26" si="1">U9-U8</f>
        <v>23012</v>
      </c>
      <c r="X9" s="339">
        <f>[5]Jun!$I4</f>
        <v>87.05</v>
      </c>
      <c r="Y9" s="339">
        <f>[5]Jun!$M4</f>
        <v>87.5</v>
      </c>
      <c r="AI9" s="379"/>
      <c r="AP9" s="383">
        <f>AVERAGE(AP14:AP34)</f>
        <v>194.3</v>
      </c>
      <c r="AQ9" s="1340" t="s">
        <v>575</v>
      </c>
      <c r="AR9" s="1332"/>
      <c r="AS9"/>
      <c r="AT9"/>
      <c r="AU9"/>
    </row>
    <row r="10" spans="1:60">
      <c r="A10" s="123">
        <v>1977</v>
      </c>
      <c r="B10" s="139">
        <v>28303</v>
      </c>
      <c r="C10" s="123">
        <v>18</v>
      </c>
      <c r="D10" s="346" t="str">
        <f>TEXT(WEEKDAY(B10),"ddd")</f>
        <v>Mon</v>
      </c>
      <c r="E10" s="347">
        <v>3381</v>
      </c>
      <c r="P10" s="1336">
        <f>[4]Data!$I174</f>
        <v>657410</v>
      </c>
      <c r="U10" s="133">
        <f t="shared" si="0"/>
        <v>657410</v>
      </c>
      <c r="V10" s="123"/>
      <c r="W10" s="132">
        <f t="shared" si="1"/>
        <v>23399</v>
      </c>
      <c r="X10" s="339">
        <f>[5]Jun!$I5</f>
        <v>92.85</v>
      </c>
      <c r="Y10" s="339">
        <f>[5]Jun!$M5</f>
        <v>92.9</v>
      </c>
      <c r="AI10" s="379"/>
      <c r="AQ10" s="44" t="s">
        <v>200</v>
      </c>
      <c r="AR10" s="323" t="s">
        <v>182</v>
      </c>
      <c r="AS10" s="266"/>
      <c r="AT10" s="266"/>
      <c r="AU10"/>
    </row>
    <row r="11" spans="1:60">
      <c r="A11" s="123">
        <v>1978</v>
      </c>
      <c r="B11" s="139">
        <v>28669</v>
      </c>
      <c r="C11" s="131">
        <v>18</v>
      </c>
      <c r="D11" s="346" t="str">
        <f t="shared" ref="D11:D34" si="2">TEXT(WEEKDAY(B11),"ddd")</f>
        <v>Wed</v>
      </c>
      <c r="E11" s="132">
        <v>3440</v>
      </c>
      <c r="F11" s="132"/>
      <c r="G11" s="132"/>
      <c r="H11" s="132"/>
      <c r="I11" s="132"/>
      <c r="J11" s="133"/>
      <c r="K11" s="132"/>
      <c r="L11" s="133"/>
      <c r="M11" s="133"/>
      <c r="N11" s="133"/>
      <c r="O11" s="133"/>
      <c r="P11" s="1336">
        <f>[4]Data!$I175</f>
        <v>687442</v>
      </c>
      <c r="U11" s="133">
        <f t="shared" si="0"/>
        <v>687442</v>
      </c>
      <c r="V11" s="132"/>
      <c r="W11" s="132">
        <f t="shared" si="1"/>
        <v>30032</v>
      </c>
      <c r="X11" s="339">
        <f>[5]Jun!$I6</f>
        <v>92.1</v>
      </c>
      <c r="Y11" s="339">
        <f>[5]Jun!$M6</f>
        <v>91.8</v>
      </c>
      <c r="AI11" s="379"/>
      <c r="AQ11" s="1"/>
      <c r="AR11" s="1"/>
      <c r="AS11"/>
      <c r="AT11"/>
      <c r="AU11"/>
    </row>
    <row r="12" spans="1:60" ht="13.5" thickBot="1">
      <c r="A12" s="123">
        <v>1979</v>
      </c>
      <c r="B12" s="139">
        <v>29013</v>
      </c>
      <c r="C12" s="131">
        <v>18</v>
      </c>
      <c r="D12" s="346" t="str">
        <f t="shared" si="2"/>
        <v>Thu</v>
      </c>
      <c r="E12" s="132">
        <v>3570</v>
      </c>
      <c r="F12" s="132"/>
      <c r="G12" s="132"/>
      <c r="H12" s="132"/>
      <c r="I12" s="132"/>
      <c r="J12" s="133"/>
      <c r="K12" s="132"/>
      <c r="L12" s="133"/>
      <c r="M12" s="133"/>
      <c r="N12" s="133"/>
      <c r="O12" s="133"/>
      <c r="P12" s="1336">
        <f>[4]Data!$I176</f>
        <v>723265</v>
      </c>
      <c r="U12" s="133">
        <f t="shared" si="0"/>
        <v>723265</v>
      </c>
      <c r="V12" s="132"/>
      <c r="W12" s="132">
        <f t="shared" si="1"/>
        <v>35823</v>
      </c>
      <c r="X12" s="339">
        <f>[5]Jun!$I7</f>
        <v>89.35</v>
      </c>
      <c r="Y12" s="339">
        <f>[5]Jun!$M7</f>
        <v>90.1</v>
      </c>
      <c r="AC12" s="295"/>
      <c r="AI12" s="379"/>
      <c r="AQ12" s="245" t="s">
        <v>171</v>
      </c>
      <c r="AR12" s="1146" t="s">
        <v>452</v>
      </c>
      <c r="AS12" s="246" t="s">
        <v>181</v>
      </c>
      <c r="AT12" s="247" t="s">
        <v>170</v>
      </c>
      <c r="AU12" s="247" t="s">
        <v>169</v>
      </c>
      <c r="AV12" s="247" t="s">
        <v>22</v>
      </c>
      <c r="BB12" s="121" t="s">
        <v>9</v>
      </c>
      <c r="BC12" s="488" t="s">
        <v>232</v>
      </c>
      <c r="BD12" s="482" t="s">
        <v>231</v>
      </c>
      <c r="BE12" s="482" t="s">
        <v>230</v>
      </c>
      <c r="BF12" s="479" t="s">
        <v>233</v>
      </c>
      <c r="BG12" s="483" t="s">
        <v>229</v>
      </c>
      <c r="BH12" s="484"/>
    </row>
    <row r="13" spans="1:60">
      <c r="A13" s="123">
        <v>1980</v>
      </c>
      <c r="B13" s="139">
        <v>29389</v>
      </c>
      <c r="C13" s="131">
        <v>18</v>
      </c>
      <c r="D13" s="346" t="str">
        <f t="shared" si="2"/>
        <v>Tue</v>
      </c>
      <c r="E13" s="134">
        <f>[6]Hist!G10</f>
        <v>3632</v>
      </c>
      <c r="F13" s="134">
        <f>[6]Hist!H10</f>
        <v>3008</v>
      </c>
      <c r="G13" s="164">
        <f>SUM([6]Hist!M10:O10)</f>
        <v>0</v>
      </c>
      <c r="H13" s="164">
        <f>[6]Hist!L10</f>
        <v>0</v>
      </c>
      <c r="I13" s="164">
        <f>[6]Hist!P10</f>
        <v>0</v>
      </c>
      <c r="J13" s="133">
        <f>SUM(F13:I13)</f>
        <v>3008</v>
      </c>
      <c r="K13" s="164">
        <f>[6]Hist!U10</f>
        <v>0</v>
      </c>
      <c r="L13" s="164">
        <f>[6]Hist!V10</f>
        <v>0</v>
      </c>
      <c r="M13" s="133">
        <f>SUM(J13:K13)</f>
        <v>3008</v>
      </c>
      <c r="N13" s="781">
        <v>200</v>
      </c>
      <c r="O13" s="1377">
        <f>J13-N13-L13</f>
        <v>2808</v>
      </c>
      <c r="P13" s="1336">
        <f>[4]Data!$I177</f>
        <v>761356</v>
      </c>
      <c r="U13" s="133">
        <f t="shared" si="0"/>
        <v>761356</v>
      </c>
      <c r="V13" s="132"/>
      <c r="W13" s="132">
        <f t="shared" si="1"/>
        <v>38091</v>
      </c>
      <c r="X13" s="339">
        <f>[5]Jun!$I8</f>
        <v>89.75</v>
      </c>
      <c r="Y13" s="339">
        <f>[5]Jun!$M8</f>
        <v>91.2</v>
      </c>
      <c r="AD13" s="123">
        <f t="shared" ref="AD13:AD58" si="3">A13</f>
        <v>1980</v>
      </c>
      <c r="AE13" s="133">
        <f>O13</f>
        <v>2808</v>
      </c>
      <c r="AF13" s="132">
        <f>P13</f>
        <v>761356</v>
      </c>
      <c r="AG13" s="140">
        <f t="shared" ref="AG13:AG35" si="4">Y13</f>
        <v>91.2</v>
      </c>
      <c r="AH13" s="301">
        <v>0</v>
      </c>
      <c r="AI13" s="301">
        <v>0</v>
      </c>
      <c r="AJ13" s="134">
        <f t="shared" ref="AJ13:AJ43" si="5">ROUND($AV$13+$AU$13*$AF13+$AT$13*$AG13+$AS$13*$AH13+$AR$13*$AI13,0)</f>
        <v>2794</v>
      </c>
      <c r="AK13" s="134">
        <f t="shared" ref="AK13:AK33" si="6">AE13-AJ13</f>
        <v>14</v>
      </c>
      <c r="AQ13" s="280" t="s">
        <v>172</v>
      </c>
      <c r="AR13" s="249">
        <f t="array" ref="AR13:AV17">+LINEST(AE25:AE46,AF25:AI46,TRUE,TRUE)</f>
        <v>-450.92193716151803</v>
      </c>
      <c r="AS13" s="305">
        <v>-32.575047754300122</v>
      </c>
      <c r="AT13" s="251">
        <v>95.265195713763077</v>
      </c>
      <c r="AU13" s="251">
        <v>6.005600591089226E-3</v>
      </c>
      <c r="AV13" s="1147">
        <v>-10466.934827996432</v>
      </c>
      <c r="BB13" s="123">
        <v>1980</v>
      </c>
      <c r="BC13" s="134">
        <f>ROUND($AV$13+$AU$13*$AF13+$AT$13*$AG$73+$AS$13*$AH13+$AR$13*$AI13,0)</f>
        <v>2794</v>
      </c>
      <c r="BD13" s="138">
        <f t="shared" ref="BD13:BD39" si="7">AE13</f>
        <v>2808</v>
      </c>
      <c r="BE13" s="137">
        <f>BC13-BD13</f>
        <v>-14</v>
      </c>
      <c r="BF13" s="138">
        <f t="shared" ref="BF13:BF39" si="8">AJ13</f>
        <v>2794</v>
      </c>
      <c r="BG13" s="489">
        <f>BC13-BF13</f>
        <v>0</v>
      </c>
      <c r="BH13" s="102"/>
    </row>
    <row r="14" spans="1:60">
      <c r="A14" s="123">
        <v>1981</v>
      </c>
      <c r="B14" s="139">
        <v>29753</v>
      </c>
      <c r="C14" s="131">
        <v>18</v>
      </c>
      <c r="D14" s="346" t="str">
        <f t="shared" si="2"/>
        <v>Tue</v>
      </c>
      <c r="E14" s="134">
        <f>[6]Hist!G22</f>
        <v>4355</v>
      </c>
      <c r="F14" s="134">
        <f>[6]Hist!H22</f>
        <v>3535</v>
      </c>
      <c r="G14" s="164">
        <f>SUM([6]Hist!M22:O22)</f>
        <v>0</v>
      </c>
      <c r="H14" s="164">
        <f>[6]Hist!L22</f>
        <v>0</v>
      </c>
      <c r="I14" s="164">
        <f>[6]Hist!P22</f>
        <v>0</v>
      </c>
      <c r="J14" s="133">
        <f t="shared" ref="J14:J34" si="9">SUM(F14:I14)</f>
        <v>3535</v>
      </c>
      <c r="K14" s="164">
        <f>[6]Hist!U22</f>
        <v>0</v>
      </c>
      <c r="L14" s="164">
        <f>[6]Hist!V22</f>
        <v>11</v>
      </c>
      <c r="M14" s="133">
        <f t="shared" ref="M14:M39" si="10">SUM(J14:K14)</f>
        <v>3535</v>
      </c>
      <c r="N14" s="164">
        <f>[6]Hist!AA22</f>
        <v>208</v>
      </c>
      <c r="O14" s="1377">
        <f t="shared" ref="O14:O46" si="11">J14-N14-L14</f>
        <v>3316</v>
      </c>
      <c r="P14" s="1336">
        <f>[4]Data!$I178</f>
        <v>790059</v>
      </c>
      <c r="U14" s="133">
        <f t="shared" si="0"/>
        <v>790059</v>
      </c>
      <c r="V14" s="132"/>
      <c r="W14" s="132">
        <f t="shared" si="1"/>
        <v>28703</v>
      </c>
      <c r="X14" s="339">
        <f>[5]Jun!$I9</f>
        <v>91.95</v>
      </c>
      <c r="Y14" s="339">
        <f>[5]Jun!$M9</f>
        <v>94.1</v>
      </c>
      <c r="AD14" s="123">
        <f t="shared" si="3"/>
        <v>1981</v>
      </c>
      <c r="AE14" s="133">
        <f t="shared" ref="AE14:AE46" si="12">O14</f>
        <v>3316</v>
      </c>
      <c r="AF14" s="132">
        <f t="shared" ref="AF14:AF45" si="13">P14</f>
        <v>790059</v>
      </c>
      <c r="AG14" s="140">
        <f t="shared" si="4"/>
        <v>94.1</v>
      </c>
      <c r="AH14" s="301">
        <v>0</v>
      </c>
      <c r="AI14" s="301">
        <v>0</v>
      </c>
      <c r="AJ14" s="134">
        <f t="shared" si="5"/>
        <v>3242</v>
      </c>
      <c r="AK14" s="134">
        <f t="shared" si="6"/>
        <v>74</v>
      </c>
      <c r="AO14" s="129"/>
      <c r="AP14" s="322">
        <f t="shared" ref="AP14:AP33" si="14">AE14-AE13</f>
        <v>508</v>
      </c>
      <c r="AQ14" s="281" t="s">
        <v>173</v>
      </c>
      <c r="AR14" s="254">
        <v>93.432571532507751</v>
      </c>
      <c r="AS14" s="485">
        <v>127.77052583094557</v>
      </c>
      <c r="AT14" s="256">
        <v>19.691875193537047</v>
      </c>
      <c r="AU14" s="377">
        <v>2.2016945793366688E-4</v>
      </c>
      <c r="AV14" s="1145">
        <v>1856.902157722729</v>
      </c>
      <c r="AW14"/>
      <c r="AX14"/>
      <c r="BB14" s="123">
        <v>1981</v>
      </c>
      <c r="BC14" s="134">
        <f t="shared" ref="BC14:BC46" si="15">ROUND($AV$13+$AU$13*$AF14+$AT$13*$AG$73+$AS$13*$AH14+$AR$13*$AI14,0)</f>
        <v>2966</v>
      </c>
      <c r="BD14" s="138">
        <f t="shared" si="7"/>
        <v>3316</v>
      </c>
      <c r="BE14" s="137">
        <f t="shared" ref="BE14:BE35" si="16">BC14-BD14</f>
        <v>-350</v>
      </c>
      <c r="BF14" s="138">
        <f t="shared" si="8"/>
        <v>3242</v>
      </c>
      <c r="BG14" s="489">
        <f t="shared" ref="BG14:BG35" si="17">BC14-BF14</f>
        <v>-276</v>
      </c>
      <c r="BH14" s="102"/>
    </row>
    <row r="15" spans="1:60">
      <c r="A15" s="123">
        <v>1982</v>
      </c>
      <c r="B15" s="139">
        <v>30111</v>
      </c>
      <c r="C15" s="131">
        <v>18</v>
      </c>
      <c r="D15" s="346" t="str">
        <f t="shared" si="2"/>
        <v>Wed</v>
      </c>
      <c r="E15" s="134">
        <f>[6]Hist!G34</f>
        <v>4017</v>
      </c>
      <c r="F15" s="134">
        <f>[6]Hist!H34</f>
        <v>3341</v>
      </c>
      <c r="G15" s="164">
        <f>SUM([6]Hist!M34:O34)</f>
        <v>0</v>
      </c>
      <c r="H15" s="164">
        <f>[6]Hist!L34</f>
        <v>0</v>
      </c>
      <c r="I15" s="164">
        <f>[6]Hist!P34</f>
        <v>0</v>
      </c>
      <c r="J15" s="133">
        <f t="shared" si="9"/>
        <v>3341</v>
      </c>
      <c r="K15" s="164">
        <f>[6]Hist!U34</f>
        <v>11</v>
      </c>
      <c r="L15" s="164">
        <f>[6]Hist!V34</f>
        <v>12</v>
      </c>
      <c r="M15" s="133">
        <f t="shared" si="10"/>
        <v>3352</v>
      </c>
      <c r="N15" s="781">
        <v>200</v>
      </c>
      <c r="O15" s="1377">
        <f t="shared" si="11"/>
        <v>3129</v>
      </c>
      <c r="P15" s="1336">
        <f>[4]Data!$I179</f>
        <v>816794</v>
      </c>
      <c r="U15" s="133">
        <f t="shared" si="0"/>
        <v>816794</v>
      </c>
      <c r="V15" s="132"/>
      <c r="W15" s="132">
        <f t="shared" si="1"/>
        <v>26735</v>
      </c>
      <c r="X15" s="339">
        <f>[5]Jun!$I10</f>
        <v>90.8</v>
      </c>
      <c r="Y15" s="339">
        <f>[5]Jun!$M10</f>
        <v>89.9</v>
      </c>
      <c r="AD15" s="131">
        <f t="shared" si="3"/>
        <v>1982</v>
      </c>
      <c r="AE15" s="409">
        <f t="shared" si="12"/>
        <v>3129</v>
      </c>
      <c r="AF15" s="132">
        <f t="shared" si="13"/>
        <v>816794</v>
      </c>
      <c r="AG15" s="140">
        <f t="shared" si="4"/>
        <v>89.9</v>
      </c>
      <c r="AH15" s="389">
        <v>0</v>
      </c>
      <c r="AI15" s="389">
        <v>0</v>
      </c>
      <c r="AJ15" s="132">
        <f t="shared" si="5"/>
        <v>3003</v>
      </c>
      <c r="AK15" s="132">
        <f t="shared" si="6"/>
        <v>126</v>
      </c>
      <c r="AL15" s="129"/>
      <c r="AM15" s="129"/>
      <c r="AN15" s="129"/>
      <c r="AO15" s="129"/>
      <c r="AP15" s="322">
        <f t="shared" si="14"/>
        <v>-187</v>
      </c>
      <c r="AQ15" s="1389" t="s">
        <v>174</v>
      </c>
      <c r="AR15" s="257">
        <v>0.97930101485705001</v>
      </c>
      <c r="AS15" s="258">
        <v>158.8901254524358</v>
      </c>
      <c r="AT15" s="259" t="e">
        <v>#N/A</v>
      </c>
      <c r="AU15" s="259" t="e">
        <v>#N/A</v>
      </c>
      <c r="AV15" s="1145" t="e">
        <v>#N/A</v>
      </c>
      <c r="AW15"/>
      <c r="AX15"/>
      <c r="BB15" s="123">
        <v>1982</v>
      </c>
      <c r="BC15" s="134">
        <f t="shared" si="15"/>
        <v>3127</v>
      </c>
      <c r="BD15" s="138">
        <f t="shared" si="7"/>
        <v>3129</v>
      </c>
      <c r="BE15" s="137">
        <f t="shared" si="16"/>
        <v>-2</v>
      </c>
      <c r="BF15" s="138">
        <f t="shared" si="8"/>
        <v>3003</v>
      </c>
      <c r="BG15" s="489">
        <f t="shared" si="17"/>
        <v>124</v>
      </c>
      <c r="BH15" s="102"/>
    </row>
    <row r="16" spans="1:60">
      <c r="A16" s="123">
        <v>1983</v>
      </c>
      <c r="B16" s="139">
        <v>30495</v>
      </c>
      <c r="C16" s="131">
        <v>18</v>
      </c>
      <c r="D16" s="346" t="str">
        <f t="shared" si="2"/>
        <v>Tue</v>
      </c>
      <c r="E16" s="134">
        <f>[6]Hist!G46</f>
        <v>3764</v>
      </c>
      <c r="F16" s="134">
        <f>[6]Hist!H46</f>
        <v>3132</v>
      </c>
      <c r="G16" s="164">
        <f>SUM([6]Hist!M46:O46)</f>
        <v>0</v>
      </c>
      <c r="H16" s="164">
        <f>[6]Hist!L46</f>
        <v>0</v>
      </c>
      <c r="I16" s="164">
        <f>[6]Hist!P46</f>
        <v>0</v>
      </c>
      <c r="J16" s="133">
        <f t="shared" si="9"/>
        <v>3132</v>
      </c>
      <c r="K16" s="164">
        <f>[6]Hist!U46</f>
        <v>23</v>
      </c>
      <c r="L16" s="164">
        <f>[6]Hist!V46</f>
        <v>36</v>
      </c>
      <c r="M16" s="133">
        <f t="shared" si="10"/>
        <v>3155</v>
      </c>
      <c r="N16" s="781">
        <v>200</v>
      </c>
      <c r="O16" s="1377">
        <f>J16-N16-L16</f>
        <v>2896</v>
      </c>
      <c r="P16" s="1336">
        <f>[4]Data!$I180</f>
        <v>847293</v>
      </c>
      <c r="U16" s="133">
        <f t="shared" si="0"/>
        <v>847293</v>
      </c>
      <c r="V16" s="132"/>
      <c r="W16" s="132">
        <f t="shared" si="1"/>
        <v>30499</v>
      </c>
      <c r="X16" s="339">
        <f>[5]Jun!$I11</f>
        <v>88.85</v>
      </c>
      <c r="Y16" s="339">
        <f>[5]Jun!$M11</f>
        <v>88.4</v>
      </c>
      <c r="AD16" s="123">
        <f t="shared" si="3"/>
        <v>1983</v>
      </c>
      <c r="AE16" s="133">
        <f t="shared" si="12"/>
        <v>2896</v>
      </c>
      <c r="AF16" s="132">
        <f t="shared" si="13"/>
        <v>847293</v>
      </c>
      <c r="AG16" s="140">
        <f t="shared" si="4"/>
        <v>88.4</v>
      </c>
      <c r="AH16" s="301">
        <v>0</v>
      </c>
      <c r="AI16" s="301">
        <v>0</v>
      </c>
      <c r="AJ16" s="134">
        <f t="shared" si="5"/>
        <v>3043</v>
      </c>
      <c r="AK16" s="134">
        <f t="shared" si="6"/>
        <v>-147</v>
      </c>
      <c r="AO16" s="141"/>
      <c r="AP16" s="322">
        <f t="shared" si="14"/>
        <v>-233</v>
      </c>
      <c r="AQ16" s="282" t="s">
        <v>175</v>
      </c>
      <c r="AR16" s="255">
        <v>201.07407606696268</v>
      </c>
      <c r="AS16" s="261">
        <v>17</v>
      </c>
      <c r="AT16" s="259" t="e">
        <v>#N/A</v>
      </c>
      <c r="AU16" s="259" t="e">
        <v>#N/A</v>
      </c>
      <c r="AV16" s="1145" t="e">
        <v>#N/A</v>
      </c>
      <c r="AW16"/>
      <c r="AX16"/>
      <c r="BB16" s="123">
        <v>1983</v>
      </c>
      <c r="BC16" s="134">
        <f t="shared" si="15"/>
        <v>3310</v>
      </c>
      <c r="BD16" s="138">
        <f t="shared" si="7"/>
        <v>2896</v>
      </c>
      <c r="BE16" s="137">
        <f t="shared" si="16"/>
        <v>414</v>
      </c>
      <c r="BF16" s="138">
        <f t="shared" si="8"/>
        <v>3043</v>
      </c>
      <c r="BG16" s="489">
        <f t="shared" si="17"/>
        <v>267</v>
      </c>
      <c r="BH16" s="102"/>
    </row>
    <row r="17" spans="1:60">
      <c r="A17" s="123">
        <v>1984</v>
      </c>
      <c r="B17" s="139">
        <v>30854</v>
      </c>
      <c r="C17" s="131">
        <v>18</v>
      </c>
      <c r="D17" s="346" t="str">
        <f t="shared" si="2"/>
        <v>Thu</v>
      </c>
      <c r="E17" s="134">
        <f>[6]Hist!G58</f>
        <v>3908</v>
      </c>
      <c r="F17" s="134">
        <f>[6]Hist!H58</f>
        <v>3509</v>
      </c>
      <c r="G17" s="164">
        <f>SUM([6]Hist!M58:O58)</f>
        <v>0</v>
      </c>
      <c r="H17" s="164">
        <f>[6]Hist!L58</f>
        <v>0</v>
      </c>
      <c r="I17" s="164">
        <f>[6]Hist!P58</f>
        <v>0</v>
      </c>
      <c r="J17" s="133">
        <f t="shared" si="9"/>
        <v>3509</v>
      </c>
      <c r="K17" s="164">
        <f>[6]Hist!U58</f>
        <v>38</v>
      </c>
      <c r="L17" s="164">
        <f>[6]Hist!V58</f>
        <v>36</v>
      </c>
      <c r="M17" s="133">
        <f t="shared" si="10"/>
        <v>3547</v>
      </c>
      <c r="N17" s="781">
        <v>200</v>
      </c>
      <c r="O17" s="1377">
        <f t="shared" si="11"/>
        <v>3273</v>
      </c>
      <c r="P17" s="1336">
        <f>[4]Data!$I181</f>
        <v>886410</v>
      </c>
      <c r="U17" s="133">
        <f t="shared" si="0"/>
        <v>886410</v>
      </c>
      <c r="V17" s="132"/>
      <c r="W17" s="132">
        <f t="shared" si="1"/>
        <v>39117</v>
      </c>
      <c r="X17" s="339">
        <f>[5]Jun!$I12</f>
        <v>89.4</v>
      </c>
      <c r="Y17" s="339">
        <f>[5]Jun!$M12</f>
        <v>90.7</v>
      </c>
      <c r="AD17" s="123">
        <f t="shared" si="3"/>
        <v>1984</v>
      </c>
      <c r="AE17" s="133">
        <f t="shared" si="12"/>
        <v>3273</v>
      </c>
      <c r="AF17" s="132">
        <f t="shared" si="13"/>
        <v>886410</v>
      </c>
      <c r="AG17" s="140">
        <f t="shared" si="4"/>
        <v>90.7</v>
      </c>
      <c r="AH17" s="301">
        <v>0</v>
      </c>
      <c r="AI17" s="301">
        <v>0</v>
      </c>
      <c r="AJ17" s="134">
        <f t="shared" si="5"/>
        <v>3497</v>
      </c>
      <c r="AK17" s="134">
        <f t="shared" si="6"/>
        <v>-224</v>
      </c>
      <c r="AL17" s="123"/>
      <c r="AM17" s="123"/>
      <c r="AO17" s="135"/>
      <c r="AP17" s="322">
        <f t="shared" si="14"/>
        <v>377</v>
      </c>
      <c r="AQ17" s="282" t="s">
        <v>176</v>
      </c>
      <c r="AR17" s="261">
        <v>20305322.379767869</v>
      </c>
      <c r="AS17" s="261">
        <v>429183.2234269433</v>
      </c>
      <c r="AT17" s="259" t="e">
        <v>#N/A</v>
      </c>
      <c r="AU17" s="259" t="e">
        <v>#N/A</v>
      </c>
      <c r="AV17" s="1145" t="e">
        <v>#N/A</v>
      </c>
      <c r="AW17"/>
      <c r="AX17"/>
      <c r="BB17" s="123">
        <v>1984</v>
      </c>
      <c r="BC17" s="134">
        <f t="shared" si="15"/>
        <v>3545</v>
      </c>
      <c r="BD17" s="138">
        <f t="shared" si="7"/>
        <v>3273</v>
      </c>
      <c r="BE17" s="137">
        <f t="shared" si="16"/>
        <v>272</v>
      </c>
      <c r="BF17" s="138">
        <f t="shared" si="8"/>
        <v>3497</v>
      </c>
      <c r="BG17" s="489">
        <f t="shared" si="17"/>
        <v>48</v>
      </c>
      <c r="BH17" s="102"/>
    </row>
    <row r="18" spans="1:60">
      <c r="A18" s="123">
        <v>1985</v>
      </c>
      <c r="B18" s="139">
        <v>31203</v>
      </c>
      <c r="C18" s="131">
        <v>17</v>
      </c>
      <c r="D18" s="346" t="str">
        <f t="shared" si="2"/>
        <v>Wed</v>
      </c>
      <c r="E18" s="134">
        <f>[6]Hist!G70</f>
        <v>4548</v>
      </c>
      <c r="F18" s="134">
        <f>[6]Hist!H70</f>
        <v>4136</v>
      </c>
      <c r="G18" s="164">
        <f>SUM([6]Hist!M70:O70)</f>
        <v>97</v>
      </c>
      <c r="H18" s="164">
        <f>[6]Hist!L70</f>
        <v>30</v>
      </c>
      <c r="I18" s="164">
        <f>[6]Hist!P70</f>
        <v>0</v>
      </c>
      <c r="J18" s="133">
        <f t="shared" si="9"/>
        <v>4263</v>
      </c>
      <c r="K18" s="164">
        <f>[6]Hist!U70</f>
        <v>53</v>
      </c>
      <c r="L18" s="164">
        <f>[6]Hist!V70</f>
        <v>42</v>
      </c>
      <c r="M18" s="133">
        <f t="shared" si="10"/>
        <v>4316</v>
      </c>
      <c r="N18" s="164">
        <f>[6]Hist!AA70</f>
        <v>194</v>
      </c>
      <c r="O18" s="1377">
        <f t="shared" si="11"/>
        <v>4027</v>
      </c>
      <c r="P18" s="1336">
        <f>[4]Data!$I182</f>
        <v>927200</v>
      </c>
      <c r="U18" s="133">
        <f t="shared" si="0"/>
        <v>927200</v>
      </c>
      <c r="V18" s="132"/>
      <c r="W18" s="132">
        <f t="shared" si="1"/>
        <v>40790</v>
      </c>
      <c r="X18" s="339">
        <f>[5]Jun!$I13</f>
        <v>94.65</v>
      </c>
      <c r="Y18" s="339">
        <f>[5]Jun!$M13</f>
        <v>94.5</v>
      </c>
      <c r="AD18" s="123">
        <f t="shared" si="3"/>
        <v>1985</v>
      </c>
      <c r="AE18" s="133">
        <f t="shared" si="12"/>
        <v>4027</v>
      </c>
      <c r="AF18" s="132">
        <f t="shared" si="13"/>
        <v>927200</v>
      </c>
      <c r="AG18" s="140">
        <f t="shared" si="4"/>
        <v>94.5</v>
      </c>
      <c r="AH18" s="301">
        <v>0</v>
      </c>
      <c r="AI18" s="301">
        <v>0</v>
      </c>
      <c r="AJ18" s="134">
        <f t="shared" si="5"/>
        <v>4104</v>
      </c>
      <c r="AK18" s="134">
        <f t="shared" si="6"/>
        <v>-77</v>
      </c>
      <c r="AL18" s="134"/>
      <c r="AM18" s="134"/>
      <c r="AO18" s="135"/>
      <c r="AP18" s="322">
        <f t="shared" si="14"/>
        <v>754</v>
      </c>
      <c r="AQ18" s="262" t="s">
        <v>177</v>
      </c>
      <c r="AR18" s="263">
        <f>AR13/AR14</f>
        <v>-4.8261749598171972</v>
      </c>
      <c r="AS18" s="263">
        <f>AS13/AS14</f>
        <v>-0.25494962584250835</v>
      </c>
      <c r="AT18" s="263">
        <f>AT13/AT14</f>
        <v>4.8377919714334521</v>
      </c>
      <c r="AU18" s="263">
        <f>AU13/AU14</f>
        <v>27.277173898019072</v>
      </c>
      <c r="AV18" s="263">
        <f>AV13/AV14</f>
        <v>-5.6367723977621367</v>
      </c>
      <c r="AW18"/>
      <c r="AX18"/>
      <c r="BB18" s="123">
        <v>1985</v>
      </c>
      <c r="BC18" s="134">
        <f t="shared" si="15"/>
        <v>3790</v>
      </c>
      <c r="BD18" s="138">
        <f t="shared" si="7"/>
        <v>4027</v>
      </c>
      <c r="BE18" s="137">
        <f t="shared" si="16"/>
        <v>-237</v>
      </c>
      <c r="BF18" s="138">
        <f t="shared" si="8"/>
        <v>4104</v>
      </c>
      <c r="BG18" s="489">
        <f t="shared" si="17"/>
        <v>-314</v>
      </c>
      <c r="BH18" s="102"/>
    </row>
    <row r="19" spans="1:60">
      <c r="A19" s="123">
        <v>1986</v>
      </c>
      <c r="B19" s="139">
        <v>31590</v>
      </c>
      <c r="C19" s="131">
        <v>17</v>
      </c>
      <c r="D19" s="346" t="str">
        <f t="shared" si="2"/>
        <v>Fri</v>
      </c>
      <c r="E19" s="134">
        <f>[6]Hist!G82</f>
        <v>4084</v>
      </c>
      <c r="F19" s="134">
        <f>[6]Hist!H82</f>
        <v>3836</v>
      </c>
      <c r="G19" s="164">
        <f>SUM([6]Hist!M82:O82)</f>
        <v>0</v>
      </c>
      <c r="H19" s="164">
        <f>[6]Hist!L82</f>
        <v>0</v>
      </c>
      <c r="I19" s="164">
        <f>[6]Hist!P82</f>
        <v>0</v>
      </c>
      <c r="J19" s="133">
        <f t="shared" si="9"/>
        <v>3836</v>
      </c>
      <c r="K19" s="164">
        <f>[6]Hist!U82</f>
        <v>63</v>
      </c>
      <c r="L19" s="164">
        <f>[6]Hist!V82</f>
        <v>51</v>
      </c>
      <c r="M19" s="133">
        <f t="shared" si="10"/>
        <v>3899</v>
      </c>
      <c r="N19" s="164">
        <f>[6]Hist!AA82</f>
        <v>198</v>
      </c>
      <c r="O19" s="1377">
        <f t="shared" si="11"/>
        <v>3587</v>
      </c>
      <c r="P19" s="1336">
        <f>[4]Data!$I183</f>
        <v>964411</v>
      </c>
      <c r="U19" s="133">
        <f t="shared" si="0"/>
        <v>964411</v>
      </c>
      <c r="V19" s="132"/>
      <c r="W19" s="132">
        <f t="shared" si="1"/>
        <v>37211</v>
      </c>
      <c r="X19" s="339">
        <f>[5]Jun!$I14</f>
        <v>90.7</v>
      </c>
      <c r="Y19" s="339">
        <f>[5]Jun!$M14</f>
        <v>90.5</v>
      </c>
      <c r="AD19" s="123">
        <f t="shared" si="3"/>
        <v>1986</v>
      </c>
      <c r="AE19" s="133">
        <f t="shared" si="12"/>
        <v>3587</v>
      </c>
      <c r="AF19" s="132">
        <f t="shared" si="13"/>
        <v>964411</v>
      </c>
      <c r="AG19" s="140">
        <f t="shared" si="4"/>
        <v>90.5</v>
      </c>
      <c r="AH19" s="301">
        <v>0</v>
      </c>
      <c r="AI19" s="301">
        <v>0</v>
      </c>
      <c r="AJ19" s="134">
        <f t="shared" si="5"/>
        <v>3946</v>
      </c>
      <c r="AK19" s="134">
        <f t="shared" si="6"/>
        <v>-359</v>
      </c>
      <c r="AL19" s="134"/>
      <c r="AM19" s="134"/>
      <c r="AO19" s="135"/>
      <c r="AP19" s="322">
        <f t="shared" si="14"/>
        <v>-440</v>
      </c>
      <c r="AV19" s="290"/>
      <c r="AW19"/>
      <c r="AX19"/>
      <c r="BB19" s="123">
        <v>1986</v>
      </c>
      <c r="BC19" s="134">
        <f t="shared" si="15"/>
        <v>4013</v>
      </c>
      <c r="BD19" s="138">
        <f t="shared" si="7"/>
        <v>3587</v>
      </c>
      <c r="BE19" s="137">
        <f t="shared" si="16"/>
        <v>426</v>
      </c>
      <c r="BF19" s="138">
        <f t="shared" si="8"/>
        <v>3946</v>
      </c>
      <c r="BG19" s="489">
        <f t="shared" si="17"/>
        <v>67</v>
      </c>
      <c r="BH19" s="102"/>
    </row>
    <row r="20" spans="1:60">
      <c r="A20" s="123">
        <v>1987</v>
      </c>
      <c r="B20" s="139">
        <v>31952</v>
      </c>
      <c r="C20" s="131">
        <v>16</v>
      </c>
      <c r="D20" s="346" t="str">
        <f t="shared" si="2"/>
        <v>Wed</v>
      </c>
      <c r="E20" s="134">
        <f>[6]Hist!G94</f>
        <v>4701</v>
      </c>
      <c r="F20" s="134">
        <f>[6]Hist!H94</f>
        <v>4356</v>
      </c>
      <c r="G20" s="164">
        <f>SUM([6]Hist!M94:O94)</f>
        <v>0</v>
      </c>
      <c r="H20" s="164">
        <f>[6]Hist!L94</f>
        <v>0</v>
      </c>
      <c r="I20" s="164">
        <f>[6]Hist!P94</f>
        <v>0</v>
      </c>
      <c r="J20" s="133">
        <f t="shared" si="9"/>
        <v>4356</v>
      </c>
      <c r="K20" s="164">
        <f>[6]Hist!U94</f>
        <v>70</v>
      </c>
      <c r="L20" s="164">
        <f>[6]Hist!V94</f>
        <v>58</v>
      </c>
      <c r="M20" s="133">
        <f t="shared" si="10"/>
        <v>4426</v>
      </c>
      <c r="N20" s="164">
        <f>[6]Hist!AA94</f>
        <v>233</v>
      </c>
      <c r="O20" s="1377">
        <f t="shared" si="11"/>
        <v>4065</v>
      </c>
      <c r="P20" s="1336">
        <f>[4]Data!$I184</f>
        <v>1008290</v>
      </c>
      <c r="U20" s="133">
        <f t="shared" si="0"/>
        <v>1008290</v>
      </c>
      <c r="V20" s="132"/>
      <c r="W20" s="132">
        <f t="shared" si="1"/>
        <v>43879</v>
      </c>
      <c r="X20" s="339">
        <f>[5]Jun!$I15</f>
        <v>91.7</v>
      </c>
      <c r="Y20" s="339">
        <f>[5]Jun!$M15</f>
        <v>91.9</v>
      </c>
      <c r="AD20" s="123">
        <f t="shared" si="3"/>
        <v>1987</v>
      </c>
      <c r="AE20" s="133">
        <f t="shared" si="12"/>
        <v>4065</v>
      </c>
      <c r="AF20" s="132">
        <f t="shared" si="13"/>
        <v>1008290</v>
      </c>
      <c r="AG20" s="140">
        <f t="shared" si="4"/>
        <v>91.9</v>
      </c>
      <c r="AH20" s="301">
        <v>1</v>
      </c>
      <c r="AI20" s="301">
        <v>0</v>
      </c>
      <c r="AJ20" s="134">
        <f t="shared" si="5"/>
        <v>4311</v>
      </c>
      <c r="AK20" s="134">
        <f t="shared" si="6"/>
        <v>-246</v>
      </c>
      <c r="AL20" s="134"/>
      <c r="AM20" s="134"/>
      <c r="AO20" s="135"/>
      <c r="AP20" s="322">
        <f t="shared" si="14"/>
        <v>478</v>
      </c>
      <c r="AV20" s="291"/>
      <c r="AW20"/>
      <c r="AX20"/>
      <c r="BB20" s="123">
        <v>1987</v>
      </c>
      <c r="BC20" s="134">
        <f t="shared" si="15"/>
        <v>4244</v>
      </c>
      <c r="BD20" s="138">
        <f t="shared" si="7"/>
        <v>4065</v>
      </c>
      <c r="BE20" s="137">
        <f t="shared" si="16"/>
        <v>179</v>
      </c>
      <c r="BF20" s="138">
        <f t="shared" si="8"/>
        <v>4311</v>
      </c>
      <c r="BG20" s="489">
        <f t="shared" si="17"/>
        <v>-67</v>
      </c>
      <c r="BH20" s="102"/>
    </row>
    <row r="21" spans="1:60">
      <c r="A21" s="123">
        <v>1988</v>
      </c>
      <c r="B21" s="139">
        <v>32323</v>
      </c>
      <c r="C21" s="131">
        <v>17</v>
      </c>
      <c r="D21" s="346" t="str">
        <f t="shared" si="2"/>
        <v>Wed</v>
      </c>
      <c r="E21" s="134">
        <f>[6]Hist!G106</f>
        <v>4945</v>
      </c>
      <c r="F21" s="134">
        <f>[6]Hist!H106</f>
        <v>4312</v>
      </c>
      <c r="G21" s="164">
        <f>SUM([6]Hist!M106:O106)</f>
        <v>0</v>
      </c>
      <c r="H21" s="164">
        <f>[6]Hist!L106</f>
        <v>0</v>
      </c>
      <c r="I21" s="164">
        <f>[6]Hist!P106</f>
        <v>0</v>
      </c>
      <c r="J21" s="133">
        <f t="shared" si="9"/>
        <v>4312</v>
      </c>
      <c r="K21" s="164">
        <f>[6]Hist!U106</f>
        <v>75</v>
      </c>
      <c r="L21" s="164">
        <f>[6]Hist!V106</f>
        <v>61</v>
      </c>
      <c r="M21" s="133">
        <f t="shared" si="10"/>
        <v>4387</v>
      </c>
      <c r="N21" s="164">
        <f>[6]Hist!AA106</f>
        <v>256</v>
      </c>
      <c r="O21" s="1377">
        <f t="shared" si="11"/>
        <v>3995</v>
      </c>
      <c r="P21" s="1336">
        <f>[4]Data!$I185</f>
        <v>1044687</v>
      </c>
      <c r="U21" s="133">
        <f t="shared" si="0"/>
        <v>1044687</v>
      </c>
      <c r="V21" s="132"/>
      <c r="W21" s="132">
        <f t="shared" si="1"/>
        <v>36397</v>
      </c>
      <c r="X21" s="339">
        <f>[5]Jun!$I16</f>
        <v>87.65</v>
      </c>
      <c r="Y21" s="339">
        <f>[5]Jun!$M16</f>
        <v>88.6</v>
      </c>
      <c r="AD21" s="123">
        <f t="shared" si="3"/>
        <v>1988</v>
      </c>
      <c r="AE21" s="133">
        <f t="shared" si="12"/>
        <v>3995</v>
      </c>
      <c r="AF21" s="132">
        <f t="shared" si="13"/>
        <v>1044687</v>
      </c>
      <c r="AG21" s="140">
        <f t="shared" si="4"/>
        <v>88.6</v>
      </c>
      <c r="AH21" s="301">
        <v>0</v>
      </c>
      <c r="AI21" s="301">
        <v>0</v>
      </c>
      <c r="AJ21" s="134">
        <f t="shared" si="5"/>
        <v>4248</v>
      </c>
      <c r="AK21" s="134">
        <f t="shared" si="6"/>
        <v>-253</v>
      </c>
      <c r="AL21" s="134"/>
      <c r="AM21" s="134"/>
      <c r="AO21" s="135"/>
      <c r="AP21" s="322">
        <f t="shared" si="14"/>
        <v>-70</v>
      </c>
      <c r="AV21" s="292"/>
      <c r="AW21"/>
      <c r="AX21"/>
      <c r="BB21" s="123">
        <v>1988</v>
      </c>
      <c r="BC21" s="134">
        <f t="shared" si="15"/>
        <v>4495</v>
      </c>
      <c r="BD21" s="138">
        <f t="shared" si="7"/>
        <v>3995</v>
      </c>
      <c r="BE21" s="137">
        <f t="shared" si="16"/>
        <v>500</v>
      </c>
      <c r="BF21" s="138">
        <f t="shared" si="8"/>
        <v>4248</v>
      </c>
      <c r="BG21" s="489">
        <f t="shared" si="17"/>
        <v>247</v>
      </c>
      <c r="BH21" s="102"/>
    </row>
    <row r="22" spans="1:60">
      <c r="A22" s="123">
        <v>1989</v>
      </c>
      <c r="B22" s="139">
        <v>32674</v>
      </c>
      <c r="C22" s="131">
        <v>18</v>
      </c>
      <c r="D22" s="346" t="str">
        <f t="shared" si="2"/>
        <v>Thu</v>
      </c>
      <c r="E22" s="134">
        <f>[6]Hist!G118</f>
        <v>5525</v>
      </c>
      <c r="F22" s="134">
        <f>[6]Hist!H118</f>
        <v>5058</v>
      </c>
      <c r="G22" s="164">
        <f>SUM([6]Hist!M118:O118)</f>
        <v>0</v>
      </c>
      <c r="H22" s="164">
        <f>[6]Hist!L118</f>
        <v>0</v>
      </c>
      <c r="I22" s="164">
        <f>[6]Hist!P118</f>
        <v>0</v>
      </c>
      <c r="J22" s="133">
        <f t="shared" si="9"/>
        <v>5058</v>
      </c>
      <c r="K22" s="164">
        <f>[6]Hist!U118</f>
        <v>79</v>
      </c>
      <c r="L22" s="164">
        <f>[6]Hist!V118</f>
        <v>66</v>
      </c>
      <c r="M22" s="133">
        <f t="shared" si="10"/>
        <v>5137</v>
      </c>
      <c r="N22" s="164">
        <f>[6]Hist!AA118</f>
        <v>213</v>
      </c>
      <c r="O22" s="1377">
        <f t="shared" si="11"/>
        <v>4779</v>
      </c>
      <c r="P22" s="1336">
        <f>[4]Data!$I186</f>
        <v>1086531</v>
      </c>
      <c r="U22" s="133">
        <f t="shared" si="0"/>
        <v>1086531</v>
      </c>
      <c r="V22" s="132"/>
      <c r="W22" s="132">
        <f t="shared" si="1"/>
        <v>41844</v>
      </c>
      <c r="X22" s="339">
        <f>[5]Jun!$I17</f>
        <v>91.3</v>
      </c>
      <c r="Y22" s="339">
        <f>[5]Jun!$M17</f>
        <v>91.6</v>
      </c>
      <c r="AD22" s="123">
        <f t="shared" si="3"/>
        <v>1989</v>
      </c>
      <c r="AE22" s="133">
        <f t="shared" si="12"/>
        <v>4779</v>
      </c>
      <c r="AF22" s="132">
        <f t="shared" si="13"/>
        <v>1086531</v>
      </c>
      <c r="AG22" s="140">
        <f t="shared" si="4"/>
        <v>91.6</v>
      </c>
      <c r="AH22" s="301">
        <v>0</v>
      </c>
      <c r="AI22" s="301">
        <v>0</v>
      </c>
      <c r="AJ22" s="134">
        <f t="shared" si="5"/>
        <v>4785</v>
      </c>
      <c r="AK22" s="134">
        <f t="shared" si="6"/>
        <v>-6</v>
      </c>
      <c r="AL22" s="134"/>
      <c r="AM22" s="134"/>
      <c r="AO22" s="129"/>
      <c r="AP22" s="322">
        <f t="shared" si="14"/>
        <v>784</v>
      </c>
      <c r="AV22" s="292"/>
      <c r="AW22"/>
      <c r="AX22"/>
      <c r="BB22" s="123">
        <v>1989</v>
      </c>
      <c r="BC22" s="134">
        <f t="shared" si="15"/>
        <v>4747</v>
      </c>
      <c r="BD22" s="138">
        <f t="shared" si="7"/>
        <v>4779</v>
      </c>
      <c r="BE22" s="137">
        <f t="shared" si="16"/>
        <v>-32</v>
      </c>
      <c r="BF22" s="138">
        <f t="shared" si="8"/>
        <v>4785</v>
      </c>
      <c r="BG22" s="489">
        <f t="shared" si="17"/>
        <v>-38</v>
      </c>
      <c r="BH22" s="102"/>
    </row>
    <row r="23" spans="1:60">
      <c r="A23" s="123">
        <v>1990</v>
      </c>
      <c r="B23" s="139">
        <v>33044</v>
      </c>
      <c r="C23" s="131">
        <v>19</v>
      </c>
      <c r="D23" s="346" t="str">
        <f t="shared" si="2"/>
        <v>Wed</v>
      </c>
      <c r="E23" s="133">
        <f>[7]MoCoinMW!F10</f>
        <v>5946</v>
      </c>
      <c r="F23" s="133">
        <f>[7]MoCoinMW!G10</f>
        <v>5313.6279037321237</v>
      </c>
      <c r="G23" s="164">
        <f>SUM([6]Hist!M130:O130)</f>
        <v>-52</v>
      </c>
      <c r="H23" s="164">
        <f>[6]Hist!L130</f>
        <v>0</v>
      </c>
      <c r="I23" s="164">
        <f>[6]Hist!P130</f>
        <v>0</v>
      </c>
      <c r="J23" s="133">
        <f t="shared" si="9"/>
        <v>5261.6279037321237</v>
      </c>
      <c r="K23" s="164">
        <f>[6]Hist!U130</f>
        <v>84</v>
      </c>
      <c r="L23" s="164">
        <f>[6]Hist!V130</f>
        <v>66</v>
      </c>
      <c r="M23" s="133">
        <f t="shared" si="10"/>
        <v>5345.6279037321237</v>
      </c>
      <c r="N23" s="164">
        <f>[6]Hist!AA130</f>
        <v>198</v>
      </c>
      <c r="O23" s="1377">
        <f t="shared" si="11"/>
        <v>4997.6279037321237</v>
      </c>
      <c r="P23" s="1336">
        <f>[4]Data!$I187</f>
        <v>1120028</v>
      </c>
      <c r="U23" s="133">
        <f t="shared" si="0"/>
        <v>1120028</v>
      </c>
      <c r="V23" s="132"/>
      <c r="W23" s="132">
        <f t="shared" si="1"/>
        <v>33497</v>
      </c>
      <c r="X23" s="339">
        <f>[5]Jun!$I18</f>
        <v>89.55</v>
      </c>
      <c r="Y23" s="339">
        <f>[5]Jun!$M18</f>
        <v>91.5</v>
      </c>
      <c r="AD23" s="123">
        <f t="shared" si="3"/>
        <v>1990</v>
      </c>
      <c r="AE23" s="133">
        <f t="shared" si="12"/>
        <v>4997.6279037321237</v>
      </c>
      <c r="AF23" s="132">
        <f t="shared" si="13"/>
        <v>1120028</v>
      </c>
      <c r="AG23" s="140">
        <f t="shared" si="4"/>
        <v>91.5</v>
      </c>
      <c r="AH23" s="301">
        <v>0</v>
      </c>
      <c r="AI23" s="301">
        <v>0</v>
      </c>
      <c r="AJ23" s="134">
        <f t="shared" si="5"/>
        <v>4976</v>
      </c>
      <c r="AK23" s="134">
        <f t="shared" si="6"/>
        <v>21.627903732123741</v>
      </c>
      <c r="AL23" s="134"/>
      <c r="AM23" s="134"/>
      <c r="AO23" s="129"/>
      <c r="AP23" s="322">
        <f t="shared" si="14"/>
        <v>218.62790373212374</v>
      </c>
      <c r="AV23" s="292"/>
      <c r="AW23"/>
      <c r="AX23"/>
      <c r="BB23" s="123">
        <v>1990</v>
      </c>
      <c r="BC23" s="134">
        <f t="shared" si="15"/>
        <v>4948</v>
      </c>
      <c r="BD23" s="138">
        <f t="shared" si="7"/>
        <v>4997.6279037321237</v>
      </c>
      <c r="BE23" s="137">
        <f t="shared" si="16"/>
        <v>-49.627903732123741</v>
      </c>
      <c r="BF23" s="138">
        <f t="shared" si="8"/>
        <v>4976</v>
      </c>
      <c r="BG23" s="489">
        <f t="shared" si="17"/>
        <v>-28</v>
      </c>
      <c r="BH23" s="102"/>
    </row>
    <row r="24" spans="1:60" ht="13.5" thickBot="1">
      <c r="A24" s="123">
        <v>1991</v>
      </c>
      <c r="B24" s="139">
        <v>33417</v>
      </c>
      <c r="C24" s="131">
        <v>17</v>
      </c>
      <c r="D24" s="346" t="str">
        <f t="shared" si="2"/>
        <v>Fri</v>
      </c>
      <c r="E24" s="133">
        <f>[7]MoCoinMW!F22</f>
        <v>5820</v>
      </c>
      <c r="F24" s="133">
        <f>[7]MoCoinMW!G22</f>
        <v>5133.5008138588537</v>
      </c>
      <c r="G24" s="164">
        <f>SUM([6]Hist!M142:O142)</f>
        <v>0</v>
      </c>
      <c r="H24" s="164">
        <f>[6]Hist!L142</f>
        <v>0</v>
      </c>
      <c r="I24" s="164">
        <f>[6]Hist!P142</f>
        <v>0</v>
      </c>
      <c r="J24" s="133">
        <f t="shared" si="9"/>
        <v>5133.5008138588537</v>
      </c>
      <c r="K24" s="164">
        <f>[6]Hist!U142</f>
        <v>87</v>
      </c>
      <c r="L24" s="164">
        <f>[6]Hist!V142</f>
        <v>65.5</v>
      </c>
      <c r="M24" s="133">
        <f t="shared" si="10"/>
        <v>5220.5008138588537</v>
      </c>
      <c r="N24" s="164">
        <f>[6]Hist!AA142</f>
        <v>211</v>
      </c>
      <c r="O24" s="1377">
        <f t="shared" si="11"/>
        <v>4857.0008138588537</v>
      </c>
      <c r="P24" s="1336">
        <f>[4]Data!$I188</f>
        <v>1143191</v>
      </c>
      <c r="U24" s="133">
        <f t="shared" si="0"/>
        <v>1143191</v>
      </c>
      <c r="V24" s="132"/>
      <c r="W24" s="132">
        <f t="shared" si="1"/>
        <v>23163</v>
      </c>
      <c r="X24" s="339">
        <f>[5]Jun!$I19</f>
        <v>91.55</v>
      </c>
      <c r="Y24" s="339">
        <f>[5]Jun!$M19</f>
        <v>91.2</v>
      </c>
      <c r="AD24" s="121">
        <f t="shared" si="3"/>
        <v>1991</v>
      </c>
      <c r="AE24" s="910">
        <f t="shared" si="12"/>
        <v>4857.0008138588537</v>
      </c>
      <c r="AF24" s="898">
        <f t="shared" si="13"/>
        <v>1143191</v>
      </c>
      <c r="AG24" s="911">
        <f t="shared" si="4"/>
        <v>91.2</v>
      </c>
      <c r="AH24" s="913">
        <v>0</v>
      </c>
      <c r="AI24" s="913">
        <v>0</v>
      </c>
      <c r="AJ24" s="898">
        <f t="shared" si="5"/>
        <v>5087</v>
      </c>
      <c r="AK24" s="898">
        <f t="shared" si="6"/>
        <v>-229.99918614114631</v>
      </c>
      <c r="AL24" s="898"/>
      <c r="AM24" s="898"/>
      <c r="AN24" s="122"/>
      <c r="AO24" s="1480"/>
      <c r="AP24" s="901">
        <f t="shared" si="14"/>
        <v>-140.62708987327005</v>
      </c>
      <c r="AV24" s="293"/>
      <c r="AW24" s="28"/>
      <c r="AX24" s="28"/>
      <c r="BB24" s="123">
        <v>1991</v>
      </c>
      <c r="BC24" s="134">
        <f t="shared" si="15"/>
        <v>5087</v>
      </c>
      <c r="BD24" s="138">
        <f t="shared" si="7"/>
        <v>4857.0008138588537</v>
      </c>
      <c r="BE24" s="137">
        <f t="shared" si="16"/>
        <v>229.99918614114631</v>
      </c>
      <c r="BF24" s="138">
        <f t="shared" si="8"/>
        <v>5087</v>
      </c>
      <c r="BG24" s="489">
        <f t="shared" si="17"/>
        <v>0</v>
      </c>
      <c r="BH24" s="102"/>
    </row>
    <row r="25" spans="1:60">
      <c r="A25" s="123">
        <v>1992</v>
      </c>
      <c r="B25" s="139">
        <v>33777</v>
      </c>
      <c r="C25" s="131">
        <v>18</v>
      </c>
      <c r="D25" s="346" t="str">
        <f t="shared" si="2"/>
        <v>Mon</v>
      </c>
      <c r="E25" s="133">
        <f>[7]MoCoinMW!F34</f>
        <v>5929</v>
      </c>
      <c r="F25" s="133">
        <f>[7]MoCoinMW!G34</f>
        <v>5249.1810007948898</v>
      </c>
      <c r="G25" s="164">
        <f>SUM([6]Hist!M154:O154)</f>
        <v>-2</v>
      </c>
      <c r="H25" s="164">
        <f>[6]Hist!L154</f>
        <v>0</v>
      </c>
      <c r="I25" s="164">
        <f>[6]Hist!P154</f>
        <v>0</v>
      </c>
      <c r="J25" s="133">
        <f t="shared" si="9"/>
        <v>5247.1810007948898</v>
      </c>
      <c r="K25" s="164">
        <f>[6]Hist!U154</f>
        <v>95</v>
      </c>
      <c r="L25" s="164">
        <f>[6]Hist!V154</f>
        <v>65.5</v>
      </c>
      <c r="M25" s="133">
        <f t="shared" si="10"/>
        <v>5342.1810007948898</v>
      </c>
      <c r="N25" s="164">
        <f>[6]Hist!AA154</f>
        <v>171</v>
      </c>
      <c r="O25" s="1377">
        <f t="shared" si="11"/>
        <v>5010.6810007948898</v>
      </c>
      <c r="P25" s="1336">
        <f>[4]Data!$I189</f>
        <v>1165112</v>
      </c>
      <c r="U25" s="133">
        <f t="shared" si="0"/>
        <v>1165112</v>
      </c>
      <c r="V25" s="132"/>
      <c r="W25" s="132">
        <f t="shared" si="1"/>
        <v>21921</v>
      </c>
      <c r="X25" s="339">
        <f>[5]Jun!$I20</f>
        <v>89.05</v>
      </c>
      <c r="Y25" s="339">
        <f>[5]Jun!$M20</f>
        <v>90.3</v>
      </c>
      <c r="AD25" s="123">
        <f t="shared" si="3"/>
        <v>1992</v>
      </c>
      <c r="AE25" s="133">
        <f t="shared" si="12"/>
        <v>5010.6810007948898</v>
      </c>
      <c r="AF25" s="132">
        <f t="shared" si="13"/>
        <v>1165112</v>
      </c>
      <c r="AG25" s="140">
        <f t="shared" si="4"/>
        <v>90.3</v>
      </c>
      <c r="AH25" s="301">
        <v>0</v>
      </c>
      <c r="AI25" s="301">
        <v>0</v>
      </c>
      <c r="AJ25" s="134">
        <f t="shared" si="5"/>
        <v>5133</v>
      </c>
      <c r="AK25" s="134">
        <f t="shared" si="6"/>
        <v>-122.31899920511023</v>
      </c>
      <c r="AL25" s="134"/>
      <c r="AM25" s="134"/>
      <c r="AO25" s="135"/>
      <c r="AP25" s="322">
        <f t="shared" si="14"/>
        <v>153.68018693603608</v>
      </c>
      <c r="AQ25" s="1"/>
      <c r="AR25" s="1"/>
      <c r="AS25" s="1"/>
      <c r="AT25" s="1"/>
      <c r="AU25" s="1"/>
      <c r="AV25" s="1"/>
      <c r="AW25" s="28"/>
      <c r="AX25" s="28"/>
      <c r="BB25" s="123">
        <v>1992</v>
      </c>
      <c r="BC25" s="134">
        <f t="shared" si="15"/>
        <v>5218</v>
      </c>
      <c r="BD25" s="138">
        <f t="shared" si="7"/>
        <v>5010.6810007948898</v>
      </c>
      <c r="BE25" s="137">
        <f t="shared" si="16"/>
        <v>207.31899920511023</v>
      </c>
      <c r="BF25" s="138">
        <f t="shared" si="8"/>
        <v>5133</v>
      </c>
      <c r="BG25" s="489">
        <f t="shared" si="17"/>
        <v>85</v>
      </c>
      <c r="BH25" s="102"/>
    </row>
    <row r="26" spans="1:60">
      <c r="A26" s="123">
        <v>1993</v>
      </c>
      <c r="B26" s="139">
        <v>34128</v>
      </c>
      <c r="C26" s="131">
        <v>17</v>
      </c>
      <c r="D26" s="346" t="str">
        <f t="shared" si="2"/>
        <v>Tue</v>
      </c>
      <c r="E26" s="133">
        <f>[7]MoCoinMW!F46</f>
        <v>6438</v>
      </c>
      <c r="F26" s="133">
        <f>[7]MoCoinMW!G46</f>
        <v>5635.5756201557833</v>
      </c>
      <c r="G26" s="164">
        <f>SUM([6]Hist!M166:O166)</f>
        <v>0</v>
      </c>
      <c r="H26" s="164">
        <f>[6]Hist!L166</f>
        <v>0</v>
      </c>
      <c r="I26" s="164">
        <f>[6]Hist!P166</f>
        <v>0</v>
      </c>
      <c r="J26" s="133">
        <f t="shared" si="9"/>
        <v>5635.5756201557833</v>
      </c>
      <c r="K26" s="164">
        <f>[6]Hist!U166</f>
        <v>111</v>
      </c>
      <c r="L26" s="164">
        <f>[6]Hist!V166</f>
        <v>65.5</v>
      </c>
      <c r="M26" s="133">
        <f t="shared" si="10"/>
        <v>5746.5756201557833</v>
      </c>
      <c r="N26" s="164">
        <f>[6]Hist!AA166</f>
        <v>244</v>
      </c>
      <c r="O26" s="1377">
        <f t="shared" si="11"/>
        <v>5326.0756201557833</v>
      </c>
      <c r="P26" s="1336">
        <f>[4]Data!$I190</f>
        <v>1200237</v>
      </c>
      <c r="U26" s="133">
        <f t="shared" si="0"/>
        <v>1200237</v>
      </c>
      <c r="V26" s="132"/>
      <c r="W26" s="132">
        <f t="shared" si="1"/>
        <v>35125</v>
      </c>
      <c r="X26" s="339">
        <f>[5]Jun!$I21</f>
        <v>93.65</v>
      </c>
      <c r="Y26" s="339">
        <f>[5]Jun!$M21</f>
        <v>93.2</v>
      </c>
      <c r="AD26" s="123">
        <f t="shared" si="3"/>
        <v>1993</v>
      </c>
      <c r="AE26" s="133">
        <f t="shared" si="12"/>
        <v>5326.0756201557833</v>
      </c>
      <c r="AF26" s="132">
        <f t="shared" si="13"/>
        <v>1200237</v>
      </c>
      <c r="AG26" s="140">
        <f t="shared" si="4"/>
        <v>93.2</v>
      </c>
      <c r="AH26" s="301">
        <v>0</v>
      </c>
      <c r="AI26" s="301">
        <v>1</v>
      </c>
      <c r="AJ26" s="134">
        <f t="shared" si="5"/>
        <v>5169</v>
      </c>
      <c r="AK26" s="134">
        <f t="shared" si="6"/>
        <v>157.07562015578333</v>
      </c>
      <c r="AL26" s="134"/>
      <c r="AM26" s="134"/>
      <c r="AO26" s="135"/>
      <c r="AP26" s="322">
        <f t="shared" si="14"/>
        <v>315.39461936089356</v>
      </c>
      <c r="AQ26" s="271"/>
      <c r="AR26" s="271"/>
      <c r="AS26" s="266"/>
      <c r="AT26" s="266"/>
      <c r="AU26" s="266"/>
      <c r="AV26" s="28"/>
      <c r="AW26" s="28"/>
      <c r="AX26" s="28"/>
      <c r="BB26" s="123">
        <v>1993</v>
      </c>
      <c r="BC26" s="134">
        <f t="shared" si="15"/>
        <v>4978</v>
      </c>
      <c r="BD26" s="138">
        <f t="shared" si="7"/>
        <v>5326.0756201557833</v>
      </c>
      <c r="BE26" s="137">
        <f t="shared" si="16"/>
        <v>-348.07562015578333</v>
      </c>
      <c r="BF26" s="138">
        <f t="shared" si="8"/>
        <v>5169</v>
      </c>
      <c r="BG26" s="489">
        <f t="shared" si="17"/>
        <v>-191</v>
      </c>
      <c r="BH26" s="102"/>
    </row>
    <row r="27" spans="1:60">
      <c r="A27" s="123">
        <v>1994</v>
      </c>
      <c r="B27" s="139">
        <v>34512</v>
      </c>
      <c r="C27" s="131">
        <v>18</v>
      </c>
      <c r="D27" s="346" t="str">
        <f t="shared" si="2"/>
        <v>Mon</v>
      </c>
      <c r="E27" s="133">
        <f>[7]MoCoinMW!F58</f>
        <v>6681</v>
      </c>
      <c r="F27" s="133">
        <f>[7]MoCoinMW!G58</f>
        <v>5893.8649815541876</v>
      </c>
      <c r="G27" s="164">
        <f>SUM([6]Hist!M178:O178)</f>
        <v>0</v>
      </c>
      <c r="H27" s="164">
        <f>[6]Hist!L178</f>
        <v>0</v>
      </c>
      <c r="I27" s="164">
        <f>[6]Hist!P178</f>
        <v>0</v>
      </c>
      <c r="J27" s="133">
        <f t="shared" si="9"/>
        <v>5893.8649815541876</v>
      </c>
      <c r="K27" s="164">
        <f>[6]Hist!U178</f>
        <v>133</v>
      </c>
      <c r="L27" s="164">
        <f>[6]Hist!V178</f>
        <v>65.5</v>
      </c>
      <c r="M27" s="133">
        <f t="shared" si="10"/>
        <v>6026.8649815541876</v>
      </c>
      <c r="N27" s="164">
        <f>[6]Hist!AA178</f>
        <v>262</v>
      </c>
      <c r="O27" s="1377">
        <f t="shared" si="11"/>
        <v>5566.3649815541876</v>
      </c>
      <c r="P27" s="1336">
        <f>[4]Data!$I191</f>
        <v>1226448</v>
      </c>
      <c r="U27" s="133">
        <f t="shared" si="0"/>
        <v>1226448</v>
      </c>
      <c r="W27" s="132">
        <f t="shared" ref="W27:W58" si="18">U27-U26</f>
        <v>26211</v>
      </c>
      <c r="X27" s="339">
        <f>[5]Jun!$I22</f>
        <v>91.9</v>
      </c>
      <c r="Y27" s="339">
        <f>[5]Jun!$M22</f>
        <v>92.5</v>
      </c>
      <c r="AD27" s="123">
        <f t="shared" si="3"/>
        <v>1994</v>
      </c>
      <c r="AE27" s="133">
        <f t="shared" si="12"/>
        <v>5566.3649815541876</v>
      </c>
      <c r="AF27" s="132">
        <f t="shared" si="13"/>
        <v>1226448</v>
      </c>
      <c r="AG27" s="140">
        <f t="shared" si="4"/>
        <v>92.5</v>
      </c>
      <c r="AH27" s="301">
        <v>0</v>
      </c>
      <c r="AI27" s="301">
        <v>0</v>
      </c>
      <c r="AJ27" s="134">
        <f t="shared" si="5"/>
        <v>5711</v>
      </c>
      <c r="AK27" s="134">
        <f t="shared" si="6"/>
        <v>-144.63501844581242</v>
      </c>
      <c r="AL27" s="134"/>
      <c r="AM27" s="134"/>
      <c r="AO27" s="135"/>
      <c r="AP27" s="322">
        <f t="shared" si="14"/>
        <v>240.28936139840425</v>
      </c>
      <c r="AQ27" s="272"/>
      <c r="AR27" s="273"/>
      <c r="AS27" s="274"/>
      <c r="AT27" s="273"/>
      <c r="AU27" s="267"/>
      <c r="AV27" s="28"/>
      <c r="AW27" s="28"/>
      <c r="AX27" s="28"/>
      <c r="BB27" s="123">
        <v>1994</v>
      </c>
      <c r="BC27" s="134">
        <f t="shared" si="15"/>
        <v>5587</v>
      </c>
      <c r="BD27" s="138">
        <f t="shared" si="7"/>
        <v>5566.3649815541876</v>
      </c>
      <c r="BE27" s="137">
        <f t="shared" si="16"/>
        <v>20.63501844581242</v>
      </c>
      <c r="BF27" s="138">
        <f t="shared" si="8"/>
        <v>5711</v>
      </c>
      <c r="BG27" s="489">
        <f t="shared" si="17"/>
        <v>-124</v>
      </c>
      <c r="BH27" s="102"/>
    </row>
    <row r="28" spans="1:60">
      <c r="A28" s="123">
        <v>1995</v>
      </c>
      <c r="B28" s="139">
        <v>34859</v>
      </c>
      <c r="C28" s="131">
        <v>17</v>
      </c>
      <c r="D28" s="346" t="str">
        <f t="shared" si="2"/>
        <v>Fri</v>
      </c>
      <c r="E28" s="133">
        <f>[7]MoCoinMW!F70</f>
        <v>6814</v>
      </c>
      <c r="F28" s="133">
        <f>[7]MoCoinMW!G70</f>
        <v>6000.0078042363939</v>
      </c>
      <c r="G28" s="164">
        <f>SUM([6]Hist!M190:O190)</f>
        <v>0</v>
      </c>
      <c r="H28" s="164">
        <f>[6]Hist!L190</f>
        <v>0</v>
      </c>
      <c r="I28" s="164">
        <f>[6]Hist!P190</f>
        <v>0</v>
      </c>
      <c r="J28" s="133">
        <f t="shared" si="9"/>
        <v>6000.0078042363939</v>
      </c>
      <c r="K28" s="164">
        <f>[6]Hist!U190</f>
        <v>157</v>
      </c>
      <c r="L28" s="164">
        <f>[6]Hist!V190</f>
        <v>65.5</v>
      </c>
      <c r="M28" s="133">
        <f t="shared" si="10"/>
        <v>6157.0078042363939</v>
      </c>
      <c r="N28" s="164">
        <f>[6]Hist!AA190</f>
        <v>247</v>
      </c>
      <c r="O28" s="1377">
        <f t="shared" si="11"/>
        <v>5687.5078042363939</v>
      </c>
      <c r="P28" s="814">
        <f>'[12]1996'!$K$109-[4]Data!$G$192</f>
        <v>1249082</v>
      </c>
      <c r="U28" s="133">
        <f t="shared" si="0"/>
        <v>1249082</v>
      </c>
      <c r="W28" s="132">
        <f t="shared" si="18"/>
        <v>22634</v>
      </c>
      <c r="X28" s="339">
        <f>[5]Jun!$I23</f>
        <v>87.2</v>
      </c>
      <c r="Y28" s="339">
        <f>[5]Jun!$M23</f>
        <v>91.2</v>
      </c>
      <c r="AD28" s="123">
        <f t="shared" si="3"/>
        <v>1995</v>
      </c>
      <c r="AE28" s="133">
        <f t="shared" si="12"/>
        <v>5687.5078042363939</v>
      </c>
      <c r="AF28" s="132">
        <f t="shared" si="13"/>
        <v>1249082</v>
      </c>
      <c r="AG28" s="140">
        <f t="shared" si="4"/>
        <v>91.2</v>
      </c>
      <c r="AH28" s="301">
        <v>0</v>
      </c>
      <c r="AI28" s="301">
        <v>0</v>
      </c>
      <c r="AJ28" s="134">
        <f t="shared" si="5"/>
        <v>5723</v>
      </c>
      <c r="AK28" s="134">
        <f t="shared" si="6"/>
        <v>-35.492195763606105</v>
      </c>
      <c r="AL28" s="134"/>
      <c r="AM28" s="134"/>
      <c r="AO28" s="129"/>
      <c r="AP28" s="322">
        <f t="shared" si="14"/>
        <v>121.14282268220632</v>
      </c>
      <c r="AQ28" s="275"/>
      <c r="AR28" s="268"/>
      <c r="AS28" s="276"/>
      <c r="AT28" s="268"/>
      <c r="AU28" s="268"/>
      <c r="AV28" s="28"/>
      <c r="AW28" s="28"/>
      <c r="AX28" s="28"/>
      <c r="BB28" s="123">
        <v>1995</v>
      </c>
      <c r="BC28" s="134">
        <f t="shared" si="15"/>
        <v>5723</v>
      </c>
      <c r="BD28" s="138">
        <f t="shared" si="7"/>
        <v>5687.5078042363939</v>
      </c>
      <c r="BE28" s="137">
        <f t="shared" si="16"/>
        <v>35.492195763606105</v>
      </c>
      <c r="BF28" s="138">
        <f t="shared" si="8"/>
        <v>5723</v>
      </c>
      <c r="BG28" s="489">
        <f t="shared" si="17"/>
        <v>0</v>
      </c>
      <c r="BH28" s="102"/>
    </row>
    <row r="29" spans="1:60">
      <c r="A29" s="123">
        <v>1996</v>
      </c>
      <c r="B29" s="139">
        <v>35241</v>
      </c>
      <c r="C29" s="131">
        <v>15</v>
      </c>
      <c r="D29" s="346" t="str">
        <f t="shared" si="2"/>
        <v>Tue</v>
      </c>
      <c r="E29" s="133">
        <f>[7]MoCoinMW!F82</f>
        <v>6768</v>
      </c>
      <c r="F29" s="133">
        <f>[7]MoCoinMW!G82</f>
        <v>6048.7818121429518</v>
      </c>
      <c r="G29" s="164">
        <f>SUM([6]Hist!M202:O202)</f>
        <v>0</v>
      </c>
      <c r="H29" s="164">
        <f>[6]Hist!L202</f>
        <v>0</v>
      </c>
      <c r="I29" s="164">
        <f>[6]Hist!P202</f>
        <v>0</v>
      </c>
      <c r="J29" s="133">
        <f t="shared" si="9"/>
        <v>6048.7818121429518</v>
      </c>
      <c r="K29" s="164">
        <f>[6]Hist!U202</f>
        <v>185</v>
      </c>
      <c r="L29" s="164">
        <f>[6]Hist!V202</f>
        <v>71.5</v>
      </c>
      <c r="M29" s="133">
        <f t="shared" si="10"/>
        <v>6233.7818121429518</v>
      </c>
      <c r="N29" s="164">
        <f>[6]Hist!AA202</f>
        <v>306</v>
      </c>
      <c r="O29" s="1377">
        <f t="shared" si="11"/>
        <v>5671.2818121429518</v>
      </c>
      <c r="P29" s="814">
        <f>[8]FCST!$BH3</f>
        <v>1274003</v>
      </c>
      <c r="S29" s="677" t="s">
        <v>336</v>
      </c>
      <c r="U29" s="133">
        <f t="shared" si="0"/>
        <v>1274003</v>
      </c>
      <c r="W29" s="132">
        <f t="shared" si="18"/>
        <v>24921</v>
      </c>
      <c r="X29" s="339">
        <f>[5]Jun!$I24</f>
        <v>88.65</v>
      </c>
      <c r="Y29" s="339">
        <f>[5]Jun!$M24</f>
        <v>91.1</v>
      </c>
      <c r="AD29" s="123">
        <f t="shared" si="3"/>
        <v>1996</v>
      </c>
      <c r="AE29" s="133">
        <f t="shared" si="12"/>
        <v>5671.2818121429518</v>
      </c>
      <c r="AF29" s="132">
        <f t="shared" si="13"/>
        <v>1274003</v>
      </c>
      <c r="AG29" s="140">
        <f t="shared" si="4"/>
        <v>91.1</v>
      </c>
      <c r="AH29" s="301">
        <v>1</v>
      </c>
      <c r="AI29" s="301">
        <v>0</v>
      </c>
      <c r="AJ29" s="134">
        <f t="shared" si="5"/>
        <v>5830</v>
      </c>
      <c r="AK29" s="134">
        <f t="shared" si="6"/>
        <v>-158.71818785704818</v>
      </c>
      <c r="AL29" s="134"/>
      <c r="AM29" s="134"/>
      <c r="AO29" s="142"/>
      <c r="AP29" s="322">
        <f t="shared" si="14"/>
        <v>-16.225992093442073</v>
      </c>
      <c r="AQ29" s="277"/>
      <c r="AR29" s="278"/>
      <c r="AS29" s="269"/>
      <c r="AT29" s="269"/>
      <c r="AU29" s="269"/>
      <c r="AV29" s="45"/>
      <c r="AW29" s="45"/>
      <c r="AX29" s="45"/>
      <c r="BB29" s="123">
        <v>1996</v>
      </c>
      <c r="BC29" s="134">
        <f t="shared" si="15"/>
        <v>5840</v>
      </c>
      <c r="BD29" s="138">
        <f t="shared" si="7"/>
        <v>5671.2818121429518</v>
      </c>
      <c r="BE29" s="137">
        <f t="shared" si="16"/>
        <v>168.71818785704818</v>
      </c>
      <c r="BF29" s="138">
        <f t="shared" si="8"/>
        <v>5830</v>
      </c>
      <c r="BG29" s="489">
        <f t="shared" si="17"/>
        <v>10</v>
      </c>
      <c r="BH29" s="102"/>
    </row>
    <row r="30" spans="1:60">
      <c r="A30" s="123">
        <v>1997</v>
      </c>
      <c r="B30" s="139">
        <v>35600</v>
      </c>
      <c r="C30" s="131">
        <v>17</v>
      </c>
      <c r="D30" s="346" t="str">
        <f t="shared" si="2"/>
        <v>Thu</v>
      </c>
      <c r="E30" s="133">
        <f>[7]MoCoinMW!F94</f>
        <v>6964</v>
      </c>
      <c r="F30" s="133">
        <f>[7]MoCoinMW!G94</f>
        <v>6320.5249420450382</v>
      </c>
      <c r="G30" s="164">
        <f>SUM([6]Hist!M214:O214)</f>
        <v>0</v>
      </c>
      <c r="H30" s="164">
        <f>[6]Hist!L214</f>
        <v>0</v>
      </c>
      <c r="I30" s="164">
        <f>[6]Hist!P214</f>
        <v>0</v>
      </c>
      <c r="J30" s="133">
        <f t="shared" si="9"/>
        <v>6320.5249420450382</v>
      </c>
      <c r="K30" s="164">
        <f>[6]Hist!U214</f>
        <v>204.5</v>
      </c>
      <c r="L30" s="164">
        <f>[6]Hist!V214</f>
        <v>71.5</v>
      </c>
      <c r="M30" s="133">
        <f t="shared" si="10"/>
        <v>6525.0249420450382</v>
      </c>
      <c r="N30" s="164">
        <f>[6]Hist!AA214</f>
        <v>322</v>
      </c>
      <c r="O30" s="1377">
        <f>J30-N30-L30</f>
        <v>5927.0249420450382</v>
      </c>
      <c r="P30" s="132">
        <f>[8]FCST!$BH4</f>
        <v>1300019</v>
      </c>
      <c r="S30" s="123">
        <f>[9]Sheet1!$R$12</f>
        <v>4160</v>
      </c>
      <c r="U30" s="133">
        <f>P30-Q30+S30</f>
        <v>1304179</v>
      </c>
      <c r="W30" s="132">
        <f t="shared" si="18"/>
        <v>30176</v>
      </c>
      <c r="X30" s="339">
        <f>[5]Jun!$I25</f>
        <v>91.15</v>
      </c>
      <c r="Y30" s="339">
        <f>[5]Jun!$M25</f>
        <v>90.8</v>
      </c>
      <c r="AD30" s="123">
        <f t="shared" si="3"/>
        <v>1997</v>
      </c>
      <c r="AE30" s="133">
        <f t="shared" si="12"/>
        <v>5927.0249420450382</v>
      </c>
      <c r="AF30" s="132">
        <f t="shared" si="13"/>
        <v>1300019</v>
      </c>
      <c r="AG30" s="140">
        <f t="shared" si="4"/>
        <v>90.8</v>
      </c>
      <c r="AH30" s="301">
        <v>0</v>
      </c>
      <c r="AI30" s="301">
        <v>0</v>
      </c>
      <c r="AJ30" s="134">
        <f t="shared" si="5"/>
        <v>5991</v>
      </c>
      <c r="AK30" s="134">
        <f t="shared" si="6"/>
        <v>-63.975057954961812</v>
      </c>
      <c r="AL30" s="134"/>
      <c r="AM30" s="134"/>
      <c r="AO30" s="135"/>
      <c r="AP30" s="322">
        <f t="shared" si="14"/>
        <v>255.74312990208637</v>
      </c>
      <c r="AQ30" s="268"/>
      <c r="AR30" s="279"/>
      <c r="AS30" s="269"/>
      <c r="AT30" s="269"/>
      <c r="AU30" s="269"/>
      <c r="AV30" s="1"/>
      <c r="AW30" s="1"/>
      <c r="AX30" s="1"/>
      <c r="BB30" s="123">
        <v>1997</v>
      </c>
      <c r="BC30" s="134">
        <f t="shared" si="15"/>
        <v>6029</v>
      </c>
      <c r="BD30" s="138">
        <f t="shared" si="7"/>
        <v>5927.0249420450382</v>
      </c>
      <c r="BE30" s="137">
        <f t="shared" si="16"/>
        <v>101.97505795496181</v>
      </c>
      <c r="BF30" s="138">
        <f t="shared" si="8"/>
        <v>5991</v>
      </c>
      <c r="BG30" s="489">
        <f t="shared" si="17"/>
        <v>38</v>
      </c>
      <c r="BH30" s="102"/>
    </row>
    <row r="31" spans="1:60">
      <c r="A31" s="123">
        <v>1998</v>
      </c>
      <c r="B31" s="139">
        <v>35965</v>
      </c>
      <c r="C31" s="131">
        <v>15</v>
      </c>
      <c r="D31" s="346" t="str">
        <f t="shared" si="2"/>
        <v>Fri</v>
      </c>
      <c r="E31" s="133">
        <f>[7]MoCoinMW!F106</f>
        <v>8109</v>
      </c>
      <c r="F31" s="133">
        <f>[7]MoCoinMW!G106</f>
        <v>6959.868516902432</v>
      </c>
      <c r="G31" s="164">
        <f>SUM([6]Hist!M226:O226)</f>
        <v>37</v>
      </c>
      <c r="H31" s="164">
        <f>[6]Hist!L226</f>
        <v>0</v>
      </c>
      <c r="I31" s="164">
        <f>[6]Hist!P226</f>
        <v>0</v>
      </c>
      <c r="J31" s="133">
        <f t="shared" si="9"/>
        <v>6996.868516902432</v>
      </c>
      <c r="K31" s="164">
        <f>[6]Hist!U226</f>
        <v>235</v>
      </c>
      <c r="L31" s="164">
        <f>[6]Hist!V226</f>
        <v>75</v>
      </c>
      <c r="M31" s="133">
        <f t="shared" si="10"/>
        <v>7231.868516902432</v>
      </c>
      <c r="N31" s="164">
        <f>'Interruptible Forecast'!AM9</f>
        <v>341</v>
      </c>
      <c r="O31" s="1377">
        <f t="shared" si="11"/>
        <v>6580.868516902432</v>
      </c>
      <c r="P31" s="132">
        <f>[8]FCST!$BH5</f>
        <v>1326500</v>
      </c>
      <c r="Q31" s="463">
        <f>[8]FCST!$DJ5</f>
        <v>11668</v>
      </c>
      <c r="S31" s="123">
        <f>[9]Sheet1!$R$24</f>
        <v>6634</v>
      </c>
      <c r="U31" s="133">
        <f t="shared" ref="U31:U40" si="19">P31-Q31+S$31</f>
        <v>1321466</v>
      </c>
      <c r="W31" s="132">
        <f t="shared" si="18"/>
        <v>17287</v>
      </c>
      <c r="X31" s="339">
        <f>[5]Jun!$I26</f>
        <v>95.3</v>
      </c>
      <c r="Y31" s="339">
        <f>[5]Jun!$M26</f>
        <v>94</v>
      </c>
      <c r="AD31" s="123">
        <f t="shared" si="3"/>
        <v>1998</v>
      </c>
      <c r="AE31" s="133">
        <f t="shared" si="12"/>
        <v>6580.868516902432</v>
      </c>
      <c r="AF31" s="132">
        <f t="shared" si="13"/>
        <v>1326500</v>
      </c>
      <c r="AG31" s="140">
        <f t="shared" si="4"/>
        <v>94</v>
      </c>
      <c r="AH31" s="301">
        <v>1</v>
      </c>
      <c r="AI31" s="301">
        <v>0</v>
      </c>
      <c r="AJ31" s="134">
        <f t="shared" si="5"/>
        <v>6422</v>
      </c>
      <c r="AK31" s="134">
        <f t="shared" si="6"/>
        <v>158.86851690243202</v>
      </c>
      <c r="AL31" s="134"/>
      <c r="AM31" s="134"/>
      <c r="AO31" s="135"/>
      <c r="AP31" s="322">
        <f t="shared" si="14"/>
        <v>653.84357485739383</v>
      </c>
      <c r="AQ31" s="279"/>
      <c r="AR31" s="279"/>
      <c r="AS31" s="269"/>
      <c r="AT31" s="269"/>
      <c r="AU31" s="269"/>
      <c r="AV31" s="1"/>
      <c r="AW31" s="1"/>
      <c r="AX31" s="1"/>
      <c r="BB31" s="123">
        <v>1998</v>
      </c>
      <c r="BC31" s="134">
        <f>ROUND($AV$13+$AU$13*$AF31+$AT$13*$AG$73+$AS$13*$AH31+$AR$13*$AI31,0)</f>
        <v>6155</v>
      </c>
      <c r="BD31" s="138">
        <f t="shared" si="7"/>
        <v>6580.868516902432</v>
      </c>
      <c r="BE31" s="137">
        <f t="shared" si="16"/>
        <v>-425.86851690243202</v>
      </c>
      <c r="BF31" s="138">
        <f t="shared" si="8"/>
        <v>6422</v>
      </c>
      <c r="BG31" s="489">
        <f t="shared" si="17"/>
        <v>-267</v>
      </c>
      <c r="BH31" s="102"/>
    </row>
    <row r="32" spans="1:60">
      <c r="A32" s="123">
        <v>1999</v>
      </c>
      <c r="B32" s="139">
        <v>36326</v>
      </c>
      <c r="C32" s="131">
        <v>17</v>
      </c>
      <c r="D32" s="346" t="str">
        <f t="shared" si="2"/>
        <v>Tue</v>
      </c>
      <c r="E32" s="133">
        <f>[7]MoCoinMW!F118</f>
        <v>7571</v>
      </c>
      <c r="F32" s="133">
        <f>[7]MoCoinMW!G118</f>
        <v>6611.2579545949839</v>
      </c>
      <c r="G32" s="164">
        <f>SUM([6]Hist!M238:O238)</f>
        <v>0</v>
      </c>
      <c r="H32" s="164">
        <f>[6]Hist!L238</f>
        <v>0</v>
      </c>
      <c r="I32" s="164">
        <f>[6]Hist!P238</f>
        <v>0</v>
      </c>
      <c r="J32" s="133">
        <f t="shared" si="9"/>
        <v>6611.2579545949839</v>
      </c>
      <c r="K32" s="164">
        <f>[6]Hist!U238</f>
        <v>253</v>
      </c>
      <c r="L32" s="164">
        <f>[6]Hist!V238</f>
        <v>75</v>
      </c>
      <c r="M32" s="133">
        <f t="shared" si="10"/>
        <v>6864.2579545949839</v>
      </c>
      <c r="N32" s="164">
        <f>'Interruptible Forecast'!AM10</f>
        <v>305</v>
      </c>
      <c r="O32" s="1377">
        <f t="shared" si="11"/>
        <v>6231.2579545949839</v>
      </c>
      <c r="P32" s="132">
        <f>[8]FCST!$BH6</f>
        <v>1357193</v>
      </c>
      <c r="Q32" s="463">
        <f>[8]FCST!$DJ6</f>
        <v>18970</v>
      </c>
      <c r="U32" s="133">
        <f t="shared" si="19"/>
        <v>1344857</v>
      </c>
      <c r="W32" s="132">
        <f t="shared" si="18"/>
        <v>23391</v>
      </c>
      <c r="X32" s="339">
        <f>[5]Jun!$I27</f>
        <v>87.2</v>
      </c>
      <c r="Y32" s="339">
        <f>[5]Jun!$M27</f>
        <v>89.2</v>
      </c>
      <c r="AD32" s="123">
        <f t="shared" si="3"/>
        <v>1999</v>
      </c>
      <c r="AE32" s="133">
        <f t="shared" si="12"/>
        <v>6231.2579545949839</v>
      </c>
      <c r="AF32" s="132">
        <f t="shared" si="13"/>
        <v>1357193</v>
      </c>
      <c r="AG32" s="140">
        <f t="shared" si="4"/>
        <v>89.2</v>
      </c>
      <c r="AH32" s="301">
        <v>0</v>
      </c>
      <c r="AI32" s="301">
        <v>0</v>
      </c>
      <c r="AJ32" s="134">
        <f t="shared" si="5"/>
        <v>6181</v>
      </c>
      <c r="AK32" s="134">
        <f t="shared" si="6"/>
        <v>50.257954594983858</v>
      </c>
      <c r="AL32" s="134"/>
      <c r="AM32" s="134"/>
      <c r="AN32" s="134"/>
      <c r="AO32" s="135"/>
      <c r="AP32" s="322">
        <f t="shared" si="14"/>
        <v>-349.61056230744816</v>
      </c>
      <c r="AQ32" s="270"/>
      <c r="AR32" s="270"/>
      <c r="AS32" s="270"/>
      <c r="AT32" s="270"/>
      <c r="AU32" s="270"/>
      <c r="AV32" s="1"/>
      <c r="AW32" s="1"/>
      <c r="AX32" s="1"/>
      <c r="BB32" s="123">
        <v>1999</v>
      </c>
      <c r="BC32" s="134">
        <f t="shared" si="15"/>
        <v>6372</v>
      </c>
      <c r="BD32" s="138">
        <f t="shared" si="7"/>
        <v>6231.2579545949839</v>
      </c>
      <c r="BE32" s="137">
        <f t="shared" si="16"/>
        <v>140.74204540501614</v>
      </c>
      <c r="BF32" s="138">
        <f t="shared" si="8"/>
        <v>6181</v>
      </c>
      <c r="BG32" s="489">
        <f t="shared" si="17"/>
        <v>191</v>
      </c>
      <c r="BH32" s="102"/>
    </row>
    <row r="33" spans="1:60">
      <c r="A33" s="123">
        <v>2000</v>
      </c>
      <c r="B33" s="327">
        <v>36682</v>
      </c>
      <c r="C33" s="123">
        <v>17</v>
      </c>
      <c r="D33" s="346" t="str">
        <f t="shared" si="2"/>
        <v>Mon</v>
      </c>
      <c r="E33" s="133">
        <f>[7]MoCoinMW!F130</f>
        <v>8139</v>
      </c>
      <c r="F33" s="133">
        <f>[7]MoCoinMW!G130</f>
        <v>6989.68</v>
      </c>
      <c r="G33" s="164">
        <f>SUM([6]Hist!M250:O250)</f>
        <v>0</v>
      </c>
      <c r="H33" s="164">
        <f>[6]Hist!L250</f>
        <v>0</v>
      </c>
      <c r="I33" s="164">
        <f>[6]Hist!P250</f>
        <v>0</v>
      </c>
      <c r="J33" s="133">
        <f t="shared" si="9"/>
        <v>6989.68</v>
      </c>
      <c r="K33" s="164">
        <f>[6]Hist!U250</f>
        <v>268</v>
      </c>
      <c r="L33" s="164">
        <f>[6]Hist!V250</f>
        <v>75</v>
      </c>
      <c r="M33" s="133">
        <f t="shared" si="10"/>
        <v>7257.68</v>
      </c>
      <c r="N33" s="164">
        <f>'Interruptible Forecast'!AM11</f>
        <v>281</v>
      </c>
      <c r="O33" s="1377">
        <f t="shared" si="11"/>
        <v>6633.68</v>
      </c>
      <c r="P33" s="132">
        <f>[8]FCST!$BH7</f>
        <v>1395758</v>
      </c>
      <c r="Q33" s="463">
        <f>[8]FCST!$DJ7</f>
        <v>23974</v>
      </c>
      <c r="U33" s="133">
        <f t="shared" si="19"/>
        <v>1378418</v>
      </c>
      <c r="W33" s="132">
        <f t="shared" si="18"/>
        <v>33561</v>
      </c>
      <c r="X33" s="339">
        <f>[5]Jun!$I28</f>
        <v>91.2</v>
      </c>
      <c r="Y33" s="339">
        <f>[5]Jun!$M28</f>
        <v>92.1</v>
      </c>
      <c r="Z33" s="144"/>
      <c r="AD33" s="123">
        <f t="shared" si="3"/>
        <v>2000</v>
      </c>
      <c r="AE33" s="133">
        <f t="shared" si="12"/>
        <v>6633.68</v>
      </c>
      <c r="AF33" s="132">
        <f t="shared" si="13"/>
        <v>1395758</v>
      </c>
      <c r="AG33" s="140">
        <f t="shared" si="4"/>
        <v>92.1</v>
      </c>
      <c r="AH33" s="301">
        <v>0</v>
      </c>
      <c r="AI33" s="284">
        <v>0</v>
      </c>
      <c r="AJ33" s="134">
        <f t="shared" si="5"/>
        <v>6689</v>
      </c>
      <c r="AK33" s="134">
        <f t="shared" si="6"/>
        <v>-55.319999999999709</v>
      </c>
      <c r="AL33" s="134"/>
      <c r="AM33" s="134"/>
      <c r="AN33" s="134"/>
      <c r="AO33" s="138"/>
      <c r="AP33" s="322">
        <f t="shared" si="14"/>
        <v>402.42204540501643</v>
      </c>
      <c r="AQ33" s="1"/>
      <c r="AR33" s="1"/>
      <c r="AS33" s="1"/>
      <c r="AT33" s="1"/>
      <c r="AU33" s="1"/>
      <c r="AV33" s="1"/>
      <c r="AW33" s="1"/>
      <c r="AX33" s="1"/>
      <c r="BB33" s="123">
        <v>2000</v>
      </c>
      <c r="BC33" s="134">
        <f t="shared" si="15"/>
        <v>6604</v>
      </c>
      <c r="BD33" s="138">
        <f t="shared" si="7"/>
        <v>6633.68</v>
      </c>
      <c r="BE33" s="137">
        <f t="shared" si="16"/>
        <v>-29.680000000000291</v>
      </c>
      <c r="BF33" s="138">
        <f t="shared" si="8"/>
        <v>6689</v>
      </c>
      <c r="BG33" s="489">
        <f t="shared" si="17"/>
        <v>-85</v>
      </c>
      <c r="BH33" s="102"/>
    </row>
    <row r="34" spans="1:60">
      <c r="A34" s="123">
        <v>2001</v>
      </c>
      <c r="B34" s="327">
        <v>37055</v>
      </c>
      <c r="C34" s="123">
        <v>18</v>
      </c>
      <c r="D34" s="346" t="str">
        <f t="shared" si="2"/>
        <v>Wed</v>
      </c>
      <c r="E34" s="133">
        <f>[7]MoCoinMW!F142</f>
        <v>8269</v>
      </c>
      <c r="F34" s="133">
        <f>[7]MoCoinMW!G142</f>
        <v>7275.3</v>
      </c>
      <c r="G34" s="164">
        <f>SUM([6]Hist!M262:O262)</f>
        <v>0</v>
      </c>
      <c r="H34" s="164">
        <f>[6]Hist!L262</f>
        <v>0</v>
      </c>
      <c r="I34" s="164">
        <f>[6]Hist!P262</f>
        <v>0</v>
      </c>
      <c r="J34" s="133">
        <f t="shared" si="9"/>
        <v>7275.3</v>
      </c>
      <c r="K34" s="164">
        <f>[6]Hist!U262</f>
        <v>282</v>
      </c>
      <c r="L34" s="164">
        <f>[6]Hist!V262</f>
        <v>75</v>
      </c>
      <c r="M34" s="133">
        <f t="shared" si="10"/>
        <v>7557.3</v>
      </c>
      <c r="N34" s="164">
        <f>'Interruptible Forecast'!AM12</f>
        <v>312</v>
      </c>
      <c r="O34" s="1377">
        <f t="shared" si="11"/>
        <v>6888.3</v>
      </c>
      <c r="P34" s="132">
        <f>[8]FCST!$BH8</f>
        <v>1433294</v>
      </c>
      <c r="Q34" s="463">
        <f>[8]FCST!$DJ8</f>
        <v>27518</v>
      </c>
      <c r="U34" s="133">
        <f t="shared" si="19"/>
        <v>1412410</v>
      </c>
      <c r="W34" s="132">
        <f t="shared" si="18"/>
        <v>33992</v>
      </c>
      <c r="X34" s="339">
        <f>[5]Jun!$I29</f>
        <v>89.7</v>
      </c>
      <c r="Y34" s="339">
        <f>[5]Jun!$M29</f>
        <v>91.5</v>
      </c>
      <c r="AD34" s="123">
        <f t="shared" si="3"/>
        <v>2001</v>
      </c>
      <c r="AE34" s="133">
        <f t="shared" si="12"/>
        <v>6888.3</v>
      </c>
      <c r="AF34" s="132">
        <f t="shared" si="13"/>
        <v>1433294</v>
      </c>
      <c r="AG34" s="140">
        <f t="shared" si="4"/>
        <v>91.5</v>
      </c>
      <c r="AH34" s="301">
        <v>0</v>
      </c>
      <c r="AI34" s="284">
        <v>0</v>
      </c>
      <c r="AJ34" s="134">
        <f t="shared" si="5"/>
        <v>6858</v>
      </c>
      <c r="AK34" s="134">
        <f t="shared" ref="AK34:AK39" si="20">AE34-AJ34</f>
        <v>30.300000000000182</v>
      </c>
      <c r="AL34" s="301"/>
      <c r="AM34" s="134"/>
      <c r="AN34" s="134"/>
      <c r="AO34" s="138"/>
      <c r="AP34" s="322">
        <f t="shared" ref="AP34:AP44" si="21">AE34-AE33</f>
        <v>254.61999999999989</v>
      </c>
      <c r="AQ34" s="1"/>
      <c r="AR34" s="1"/>
      <c r="AS34" s="1"/>
      <c r="AT34" s="1"/>
      <c r="AU34" s="1"/>
      <c r="AV34" s="1"/>
      <c r="AW34" s="1"/>
      <c r="AX34" s="1"/>
      <c r="BB34" s="123">
        <v>2001</v>
      </c>
      <c r="BC34" s="134">
        <f t="shared" si="15"/>
        <v>6829</v>
      </c>
      <c r="BD34" s="138">
        <f t="shared" si="7"/>
        <v>6888.3</v>
      </c>
      <c r="BE34" s="137">
        <f t="shared" si="16"/>
        <v>-59.300000000000182</v>
      </c>
      <c r="BF34" s="138">
        <f t="shared" si="8"/>
        <v>6858</v>
      </c>
      <c r="BG34" s="489">
        <f t="shared" si="17"/>
        <v>-29</v>
      </c>
      <c r="BH34" s="102"/>
    </row>
    <row r="35" spans="1:60">
      <c r="A35" s="123">
        <v>2002</v>
      </c>
      <c r="B35" s="327">
        <v>37420</v>
      </c>
      <c r="C35" s="123">
        <v>17</v>
      </c>
      <c r="D35" s="346" t="str">
        <f t="shared" ref="D35:D40" si="22">TEXT(WEEKDAY(B35),"ddd")</f>
        <v>Thu</v>
      </c>
      <c r="E35" s="133">
        <f>[7]MoCoinMW!F154</f>
        <v>8076</v>
      </c>
      <c r="F35" s="133">
        <f>[7]MoCoinMW!G154</f>
        <v>7330</v>
      </c>
      <c r="G35" s="164">
        <f>SUM([6]Hist!M274:O274)</f>
        <v>0</v>
      </c>
      <c r="H35" s="164">
        <f>[6]Hist!L274</f>
        <v>0</v>
      </c>
      <c r="I35" s="164">
        <f>[6]Hist!P274</f>
        <v>0</v>
      </c>
      <c r="J35" s="133">
        <f t="shared" ref="J35:J40" si="23">SUM(F35:I35)</f>
        <v>7330</v>
      </c>
      <c r="K35" s="164">
        <f>[6]Hist!U274</f>
        <v>297</v>
      </c>
      <c r="L35" s="164">
        <f>[6]Hist!V274</f>
        <v>75</v>
      </c>
      <c r="M35" s="133">
        <f t="shared" si="10"/>
        <v>7627</v>
      </c>
      <c r="N35" s="164">
        <f>'Interruptible Forecast'!AM13</f>
        <v>290</v>
      </c>
      <c r="O35" s="1377">
        <f t="shared" si="11"/>
        <v>6965</v>
      </c>
      <c r="P35" s="132">
        <f>[8]FCST!$BH9</f>
        <v>1467262</v>
      </c>
      <c r="Q35" s="463">
        <f>[8]FCST!$DJ9</f>
        <v>31575</v>
      </c>
      <c r="T35" s="387"/>
      <c r="U35" s="133">
        <f t="shared" si="19"/>
        <v>1442321</v>
      </c>
      <c r="W35" s="132">
        <f t="shared" si="18"/>
        <v>29911</v>
      </c>
      <c r="X35" s="339">
        <f>[5]Jun!$I30</f>
        <v>87.9</v>
      </c>
      <c r="Y35" s="339">
        <f>[5]Jun!$M30</f>
        <v>88.8</v>
      </c>
      <c r="AD35" s="123">
        <f t="shared" si="3"/>
        <v>2002</v>
      </c>
      <c r="AE35" s="133">
        <f t="shared" si="12"/>
        <v>6965</v>
      </c>
      <c r="AF35" s="132">
        <f t="shared" si="13"/>
        <v>1467262</v>
      </c>
      <c r="AG35" s="140">
        <f t="shared" si="4"/>
        <v>88.8</v>
      </c>
      <c r="AH35" s="301">
        <v>0</v>
      </c>
      <c r="AI35" s="284">
        <v>0</v>
      </c>
      <c r="AJ35" s="134">
        <f t="shared" si="5"/>
        <v>6804</v>
      </c>
      <c r="AK35" s="134">
        <f t="shared" si="20"/>
        <v>161</v>
      </c>
      <c r="AL35" s="301"/>
      <c r="AM35" s="134"/>
      <c r="AN35" s="134"/>
      <c r="AO35" s="138"/>
      <c r="AP35" s="322">
        <f t="shared" si="21"/>
        <v>76.699999999999818</v>
      </c>
      <c r="AQ35"/>
      <c r="AR35"/>
      <c r="AS35"/>
      <c r="AT35"/>
      <c r="AU35"/>
      <c r="AV35"/>
      <c r="AW35"/>
      <c r="AX35"/>
      <c r="BB35" s="123">
        <v>2002</v>
      </c>
      <c r="BC35" s="134">
        <f t="shared" si="15"/>
        <v>7033</v>
      </c>
      <c r="BD35" s="138">
        <f t="shared" si="7"/>
        <v>6965</v>
      </c>
      <c r="BE35" s="137">
        <f t="shared" si="16"/>
        <v>68</v>
      </c>
      <c r="BF35" s="138">
        <f t="shared" si="8"/>
        <v>6804</v>
      </c>
      <c r="BG35" s="489">
        <f t="shared" si="17"/>
        <v>229</v>
      </c>
      <c r="BH35" s="102"/>
    </row>
    <row r="36" spans="1:60">
      <c r="A36" s="123">
        <v>2003</v>
      </c>
      <c r="B36" s="327">
        <v>37783</v>
      </c>
      <c r="C36" s="123">
        <v>17</v>
      </c>
      <c r="D36" s="346" t="str">
        <f t="shared" si="22"/>
        <v>Wed</v>
      </c>
      <c r="E36" s="133">
        <f>[7]MoCoinMW!F$166</f>
        <v>8287</v>
      </c>
      <c r="F36" s="133">
        <f>[7]MoCoinMW!G$166</f>
        <v>7558.9</v>
      </c>
      <c r="G36" s="164">
        <f>SUM([6]Hist!M$286:O$286)</f>
        <v>0</v>
      </c>
      <c r="H36" s="164">
        <f>[6]Hist!L$286</f>
        <v>0</v>
      </c>
      <c r="I36" s="164">
        <f>[6]Hist!P$286</f>
        <v>0</v>
      </c>
      <c r="J36" s="133">
        <f t="shared" si="23"/>
        <v>7558.9</v>
      </c>
      <c r="K36" s="164">
        <f>[6]Hist!U$286</f>
        <v>314</v>
      </c>
      <c r="L36" s="164">
        <f>[6]Hist!V$286</f>
        <v>75</v>
      </c>
      <c r="M36" s="133">
        <f t="shared" si="10"/>
        <v>7872.9</v>
      </c>
      <c r="N36" s="164">
        <f>'Interruptible Forecast'!AM14</f>
        <v>244</v>
      </c>
      <c r="O36" s="1377">
        <f t="shared" si="11"/>
        <v>7239.9</v>
      </c>
      <c r="P36" s="132">
        <f>[8]FCST!$BH10</f>
        <v>1504504</v>
      </c>
      <c r="Q36" s="463">
        <f>[8]FCST!$DJ10</f>
        <v>32016</v>
      </c>
      <c r="R36" s="558"/>
      <c r="S36" s="371">
        <f>[8]FCST!$CR10</f>
        <v>49937</v>
      </c>
      <c r="T36" s="387"/>
      <c r="U36" s="133">
        <f t="shared" si="19"/>
        <v>1479122</v>
      </c>
      <c r="W36" s="132">
        <f t="shared" si="18"/>
        <v>36801</v>
      </c>
      <c r="X36" s="339">
        <f>[5]Jun!$I31</f>
        <v>88.25</v>
      </c>
      <c r="Y36" s="339">
        <f>[5]Jun!$M31</f>
        <v>89.4</v>
      </c>
      <c r="Z36" s="125"/>
      <c r="AD36" s="123">
        <f t="shared" si="3"/>
        <v>2003</v>
      </c>
      <c r="AE36" s="133">
        <f t="shared" si="12"/>
        <v>7239.9</v>
      </c>
      <c r="AF36" s="132">
        <f t="shared" si="13"/>
        <v>1504504</v>
      </c>
      <c r="AG36" s="140">
        <f t="shared" ref="AG36:AG46" si="24">Y36</f>
        <v>89.4</v>
      </c>
      <c r="AH36" s="301">
        <v>0</v>
      </c>
      <c r="AI36" s="284">
        <v>0</v>
      </c>
      <c r="AJ36" s="134">
        <f t="shared" si="5"/>
        <v>7085</v>
      </c>
      <c r="AK36" s="134">
        <f t="shared" si="20"/>
        <v>154.89999999999964</v>
      </c>
      <c r="AL36" s="134"/>
      <c r="AM36" s="134"/>
      <c r="AN36" s="134"/>
      <c r="AO36" s="138"/>
      <c r="AP36" s="322">
        <f t="shared" si="21"/>
        <v>274.89999999999964</v>
      </c>
      <c r="AQ36"/>
      <c r="AR36"/>
      <c r="AS36"/>
      <c r="AT36"/>
      <c r="AU36"/>
      <c r="AV36"/>
      <c r="AW36"/>
      <c r="AX36"/>
      <c r="BB36" s="123">
        <v>2003</v>
      </c>
      <c r="BC36" s="134">
        <f t="shared" si="15"/>
        <v>7257</v>
      </c>
      <c r="BD36" s="138">
        <f t="shared" si="7"/>
        <v>7239.9</v>
      </c>
      <c r="BE36" s="137">
        <f t="shared" ref="BE36:BE41" si="25">BC36-BD36</f>
        <v>17.100000000000364</v>
      </c>
      <c r="BF36" s="138">
        <f t="shared" si="8"/>
        <v>7085</v>
      </c>
      <c r="BG36" s="489">
        <f t="shared" ref="BG36:BG41" si="26">BC36-BF36</f>
        <v>172</v>
      </c>
    </row>
    <row r="37" spans="1:60">
      <c r="A37" s="123">
        <v>2004</v>
      </c>
      <c r="B37" s="327">
        <v>38162</v>
      </c>
      <c r="C37" s="123">
        <v>17</v>
      </c>
      <c r="D37" s="346" t="str">
        <f t="shared" si="22"/>
        <v>Thu</v>
      </c>
      <c r="E37" s="133">
        <f>[7]MoCoinMW!F$178</f>
        <v>9125.2999999999993</v>
      </c>
      <c r="F37" s="133">
        <f>[7]MoCoinMW!G$178</f>
        <v>8058.0999999999995</v>
      </c>
      <c r="G37" s="164">
        <f>SUM([6]Hist!M$298:O$298)</f>
        <v>0</v>
      </c>
      <c r="H37" s="164">
        <f>[6]Hist!L$298</f>
        <v>0</v>
      </c>
      <c r="I37" s="164">
        <f>[6]Hist!P$298</f>
        <v>0</v>
      </c>
      <c r="J37" s="133">
        <f t="shared" si="23"/>
        <v>8058.0999999999995</v>
      </c>
      <c r="K37" s="164">
        <f>[6]Hist!U$298</f>
        <v>331</v>
      </c>
      <c r="L37" s="164">
        <f>[6]Hist!V$298</f>
        <v>110</v>
      </c>
      <c r="M37" s="133">
        <f t="shared" si="10"/>
        <v>8389.0999999999985</v>
      </c>
      <c r="N37" s="164">
        <f>'Interruptible Forecast'!AM15</f>
        <v>256</v>
      </c>
      <c r="O37" s="1377">
        <f t="shared" si="11"/>
        <v>7692.0999999999995</v>
      </c>
      <c r="P37" s="132">
        <f>[8]FCST!$BH11</f>
        <v>1542552</v>
      </c>
      <c r="Q37" s="463">
        <f>[8]FCST!$DJ11</f>
        <v>32161</v>
      </c>
      <c r="R37" s="558"/>
      <c r="S37" s="371">
        <f>[8]FCST!$CR11</f>
        <v>53798</v>
      </c>
      <c r="T37" s="387"/>
      <c r="U37" s="133">
        <f t="shared" si="19"/>
        <v>1517025</v>
      </c>
      <c r="W37" s="132">
        <f t="shared" si="18"/>
        <v>37903</v>
      </c>
      <c r="X37" s="339">
        <f>[5]Jun!$I32</f>
        <v>92.9</v>
      </c>
      <c r="Y37" s="339">
        <f>[5]Jun!$M32</f>
        <v>90.8</v>
      </c>
      <c r="AD37" s="123">
        <f t="shared" si="3"/>
        <v>2004</v>
      </c>
      <c r="AE37" s="133">
        <f t="shared" si="12"/>
        <v>7692.0999999999995</v>
      </c>
      <c r="AF37" s="132">
        <f t="shared" si="13"/>
        <v>1542552</v>
      </c>
      <c r="AG37" s="140">
        <f t="shared" si="24"/>
        <v>90.8</v>
      </c>
      <c r="AH37" s="301">
        <v>0</v>
      </c>
      <c r="AI37" s="284">
        <v>0</v>
      </c>
      <c r="AJ37" s="134">
        <f t="shared" si="5"/>
        <v>7447</v>
      </c>
      <c r="AK37" s="134">
        <f t="shared" si="20"/>
        <v>245.09999999999945</v>
      </c>
      <c r="AL37" s="569"/>
      <c r="AM37" s="134"/>
      <c r="AN37" s="134"/>
      <c r="AO37" s="138"/>
      <c r="AP37" s="322">
        <f t="shared" si="21"/>
        <v>452.19999999999982</v>
      </c>
      <c r="AQ37"/>
      <c r="AR37"/>
      <c r="AS37"/>
      <c r="AT37"/>
      <c r="AU37"/>
      <c r="AV37"/>
      <c r="AW37"/>
      <c r="AX37"/>
      <c r="BB37" s="123">
        <v>2004</v>
      </c>
      <c r="BC37" s="134">
        <f t="shared" si="15"/>
        <v>7485</v>
      </c>
      <c r="BD37" s="138">
        <f t="shared" si="7"/>
        <v>7692.0999999999995</v>
      </c>
      <c r="BE37" s="137">
        <f t="shared" si="25"/>
        <v>-207.09999999999945</v>
      </c>
      <c r="BF37" s="138">
        <f t="shared" si="8"/>
        <v>7447</v>
      </c>
      <c r="BG37" s="489">
        <f t="shared" si="26"/>
        <v>38</v>
      </c>
    </row>
    <row r="38" spans="1:60">
      <c r="A38" s="123">
        <v>2005</v>
      </c>
      <c r="B38" s="327">
        <v>38517</v>
      </c>
      <c r="C38" s="123">
        <v>18</v>
      </c>
      <c r="D38" s="346" t="str">
        <f t="shared" si="22"/>
        <v>Tue</v>
      </c>
      <c r="E38" s="133">
        <f>[7]MoCoinMW!F$190</f>
        <v>8927.2999999999993</v>
      </c>
      <c r="F38" s="133">
        <f>[7]MoCoinMW!G$190</f>
        <v>7894.9999999999991</v>
      </c>
      <c r="G38" s="164">
        <f>SUM([6]Hist!M$310:O$310)</f>
        <v>0</v>
      </c>
      <c r="H38" s="164">
        <f>[6]Hist!L$310</f>
        <v>0</v>
      </c>
      <c r="I38" s="164">
        <f>[6]Hist!P$310</f>
        <v>0</v>
      </c>
      <c r="J38" s="133">
        <f t="shared" si="23"/>
        <v>7894.9999999999991</v>
      </c>
      <c r="K38" s="164">
        <f>[6]Hist!U$310</f>
        <v>350</v>
      </c>
      <c r="L38" s="164">
        <f>[6]Hist!V$310</f>
        <v>110</v>
      </c>
      <c r="M38" s="133">
        <f t="shared" si="10"/>
        <v>8245</v>
      </c>
      <c r="N38" s="164">
        <f>'Interruptible Forecast'!AM16</f>
        <v>346</v>
      </c>
      <c r="O38" s="1377">
        <f t="shared" si="11"/>
        <v>7438.9999999999991</v>
      </c>
      <c r="P38" s="132">
        <f>[8]FCST!$BH12</f>
        <v>1564584</v>
      </c>
      <c r="Q38" s="463">
        <f>[8]FCST!$DJ12</f>
        <v>34765</v>
      </c>
      <c r="R38" s="558"/>
      <c r="S38" s="371">
        <f>[8]FCST!$CR12</f>
        <v>53622</v>
      </c>
      <c r="T38" s="387"/>
      <c r="U38" s="133">
        <f t="shared" si="19"/>
        <v>1536453</v>
      </c>
      <c r="V38" s="374">
        <f>[10]WP2004!$D$39</f>
        <v>13726</v>
      </c>
      <c r="W38" s="132">
        <f t="shared" si="18"/>
        <v>19428</v>
      </c>
      <c r="X38" s="339">
        <f>[5]Jun!$I33</f>
        <v>90.25</v>
      </c>
      <c r="Y38" s="339">
        <f>[5]Jun!$M33</f>
        <v>89.1</v>
      </c>
      <c r="AD38" s="123">
        <f t="shared" si="3"/>
        <v>2005</v>
      </c>
      <c r="AE38" s="133">
        <f t="shared" si="12"/>
        <v>7438.9999999999991</v>
      </c>
      <c r="AF38" s="132">
        <f t="shared" si="13"/>
        <v>1564584</v>
      </c>
      <c r="AG38" s="140">
        <f t="shared" si="24"/>
        <v>89.1</v>
      </c>
      <c r="AH38" s="301">
        <v>0</v>
      </c>
      <c r="AI38" s="284">
        <v>0</v>
      </c>
      <c r="AJ38" s="134">
        <f t="shared" si="5"/>
        <v>7417</v>
      </c>
      <c r="AK38" s="134">
        <f t="shared" si="20"/>
        <v>21.999999999999091</v>
      </c>
      <c r="AL38" s="569"/>
      <c r="AM38" s="134"/>
      <c r="AN38" s="134"/>
      <c r="AO38" s="138"/>
      <c r="AP38" s="322">
        <f t="shared" si="21"/>
        <v>-253.10000000000036</v>
      </c>
      <c r="BB38" s="123">
        <v>2005</v>
      </c>
      <c r="BC38" s="134">
        <f t="shared" si="15"/>
        <v>7618</v>
      </c>
      <c r="BD38" s="138">
        <f t="shared" si="7"/>
        <v>7438.9999999999991</v>
      </c>
      <c r="BE38" s="137">
        <f t="shared" si="25"/>
        <v>179.00000000000091</v>
      </c>
      <c r="BF38" s="138">
        <f t="shared" si="8"/>
        <v>7417</v>
      </c>
      <c r="BG38" s="489">
        <f t="shared" si="26"/>
        <v>201</v>
      </c>
    </row>
    <row r="39" spans="1:60">
      <c r="A39" s="123">
        <v>2006</v>
      </c>
      <c r="B39" s="327">
        <v>38889</v>
      </c>
      <c r="C39" s="123">
        <v>17</v>
      </c>
      <c r="D39" s="346" t="str">
        <f t="shared" si="22"/>
        <v>Wed</v>
      </c>
      <c r="E39" s="133">
        <f>[7]MoCoinMW!F$202</f>
        <v>9348</v>
      </c>
      <c r="F39" s="133">
        <f>[7]MoCoinMW!G$202</f>
        <v>8200.1</v>
      </c>
      <c r="G39" s="164">
        <f>SUM([6]Hist!M$322:O$322)</f>
        <v>0</v>
      </c>
      <c r="H39" s="164">
        <f>[6]Hist!L$322</f>
        <v>0</v>
      </c>
      <c r="I39" s="164">
        <f>[6]Hist!P$322</f>
        <v>0</v>
      </c>
      <c r="J39" s="133">
        <f t="shared" si="23"/>
        <v>8200.1</v>
      </c>
      <c r="K39" s="164">
        <f>[6]Hist!U$322</f>
        <v>372</v>
      </c>
      <c r="L39" s="164">
        <f>[6]Hist!V$322</f>
        <v>66</v>
      </c>
      <c r="M39" s="133">
        <f t="shared" si="10"/>
        <v>8572.1</v>
      </c>
      <c r="N39" s="164">
        <f>'Interruptible Forecast'!AM17</f>
        <v>331</v>
      </c>
      <c r="O39" s="1377">
        <f t="shared" si="11"/>
        <v>7803.1</v>
      </c>
      <c r="P39" s="132">
        <f>[8]FCST!$BH13</f>
        <v>1607801</v>
      </c>
      <c r="Q39" s="463">
        <f>[8]FCST!$DJ13</f>
        <v>34188</v>
      </c>
      <c r="R39" s="558"/>
      <c r="S39" s="371">
        <f>[8]FCST!$CR13</f>
        <v>58159</v>
      </c>
      <c r="T39" s="387"/>
      <c r="U39" s="133">
        <f t="shared" si="19"/>
        <v>1580247</v>
      </c>
      <c r="V39" s="374">
        <f>ROUND(V38*1.01,0)</f>
        <v>13863</v>
      </c>
      <c r="W39" s="132">
        <f t="shared" si="18"/>
        <v>43794</v>
      </c>
      <c r="X39" s="339">
        <f>[5]Jun!$I34</f>
        <v>90.8</v>
      </c>
      <c r="Y39" s="339">
        <f>[5]Jun!$M34</f>
        <v>89</v>
      </c>
      <c r="Z39" s="265"/>
      <c r="AD39" s="123">
        <f t="shared" si="3"/>
        <v>2006</v>
      </c>
      <c r="AE39" s="133">
        <f t="shared" si="12"/>
        <v>7803.1</v>
      </c>
      <c r="AF39" s="132">
        <f t="shared" si="13"/>
        <v>1607801</v>
      </c>
      <c r="AG39" s="140">
        <f t="shared" si="24"/>
        <v>89</v>
      </c>
      <c r="AH39" s="301">
        <v>0</v>
      </c>
      <c r="AI39" s="284">
        <v>0</v>
      </c>
      <c r="AJ39" s="134">
        <f t="shared" si="5"/>
        <v>7667</v>
      </c>
      <c r="AK39" s="134">
        <f t="shared" si="20"/>
        <v>136.10000000000036</v>
      </c>
      <c r="AL39" s="569"/>
      <c r="AM39" s="778"/>
      <c r="AN39" s="134"/>
      <c r="AO39" s="138"/>
      <c r="AP39" s="322">
        <f t="shared" si="21"/>
        <v>364.10000000000127</v>
      </c>
      <c r="BB39" s="123">
        <v>2006</v>
      </c>
      <c r="BC39" s="134">
        <f t="shared" si="15"/>
        <v>7877</v>
      </c>
      <c r="BD39" s="138">
        <f t="shared" si="7"/>
        <v>7803.1</v>
      </c>
      <c r="BE39" s="137">
        <f t="shared" si="25"/>
        <v>73.899999999999636</v>
      </c>
      <c r="BF39" s="138">
        <f t="shared" si="8"/>
        <v>7667</v>
      </c>
      <c r="BG39" s="489">
        <f t="shared" si="26"/>
        <v>210</v>
      </c>
    </row>
    <row r="40" spans="1:60">
      <c r="A40" s="123">
        <v>2007</v>
      </c>
      <c r="B40" s="327">
        <v>39244</v>
      </c>
      <c r="C40" s="123">
        <v>16</v>
      </c>
      <c r="D40" s="346" t="str">
        <f t="shared" si="22"/>
        <v>Mon</v>
      </c>
      <c r="E40" s="133">
        <f>[7]MoCoinMW!F$214</f>
        <v>9398</v>
      </c>
      <c r="F40" s="133">
        <f>[7]MoCoinMW!G$214</f>
        <v>8125</v>
      </c>
      <c r="G40" s="164">
        <f>SUM([6]Hist!M$334:O$334)</f>
        <v>0</v>
      </c>
      <c r="H40" s="164">
        <f>[6]Hist!L$334</f>
        <v>0</v>
      </c>
      <c r="I40" s="164">
        <f>[6]Hist!P$334</f>
        <v>0</v>
      </c>
      <c r="J40" s="133">
        <f t="shared" si="23"/>
        <v>8125</v>
      </c>
      <c r="K40" s="164">
        <f>[6]Hist!U$334</f>
        <v>395</v>
      </c>
      <c r="L40" s="164">
        <f>[6]Hist!V$334</f>
        <v>110</v>
      </c>
      <c r="M40" s="133">
        <f>SUM(J40:K40)</f>
        <v>8520</v>
      </c>
      <c r="N40" s="164">
        <f>'Interruptible Forecast'!AM18</f>
        <v>262</v>
      </c>
      <c r="O40" s="1377">
        <f t="shared" si="11"/>
        <v>7753</v>
      </c>
      <c r="P40" s="132">
        <f>[8]FCST!$BH14</f>
        <v>1634138</v>
      </c>
      <c r="Q40" s="463">
        <f>[8]FCST!$DJ14</f>
        <v>36181</v>
      </c>
      <c r="R40" s="558"/>
      <c r="S40" s="371">
        <f>[8]FCST!$CR14</f>
        <v>58027</v>
      </c>
      <c r="T40" s="387"/>
      <c r="U40" s="133">
        <f t="shared" si="19"/>
        <v>1604591</v>
      </c>
      <c r="V40" s="374">
        <f>ROUND(V39*1.01,0)</f>
        <v>14002</v>
      </c>
      <c r="W40" s="132">
        <f t="shared" si="18"/>
        <v>24344</v>
      </c>
      <c r="X40" s="339">
        <f>[5]Jun!$I35</f>
        <v>91.55</v>
      </c>
      <c r="Y40" s="339">
        <f>[5]Jun!$M35</f>
        <v>89</v>
      </c>
      <c r="AD40" s="123">
        <f t="shared" si="3"/>
        <v>2007</v>
      </c>
      <c r="AE40" s="133">
        <f t="shared" si="12"/>
        <v>7753</v>
      </c>
      <c r="AF40" s="132">
        <f t="shared" si="13"/>
        <v>1634138</v>
      </c>
      <c r="AG40" s="140">
        <f t="shared" si="24"/>
        <v>89</v>
      </c>
      <c r="AH40" s="301">
        <v>0</v>
      </c>
      <c r="AI40" s="284">
        <v>0</v>
      </c>
      <c r="AJ40" s="134">
        <f t="shared" si="5"/>
        <v>7826</v>
      </c>
      <c r="AK40" s="134">
        <f>AE40-AJ40</f>
        <v>-73</v>
      </c>
      <c r="AL40" s="569"/>
      <c r="AM40" s="577"/>
      <c r="AN40" s="134"/>
      <c r="AO40" s="138"/>
      <c r="AP40" s="322">
        <f t="shared" si="21"/>
        <v>-50.100000000000364</v>
      </c>
      <c r="BB40" s="123">
        <v>2007</v>
      </c>
      <c r="BC40" s="134">
        <f t="shared" si="15"/>
        <v>8035</v>
      </c>
      <c r="BD40" s="138">
        <f>AE40</f>
        <v>7753</v>
      </c>
      <c r="BE40" s="137">
        <f t="shared" si="25"/>
        <v>282</v>
      </c>
      <c r="BF40" s="138">
        <f>AJ40</f>
        <v>7826</v>
      </c>
      <c r="BG40" s="489">
        <f t="shared" si="26"/>
        <v>209</v>
      </c>
    </row>
    <row r="41" spans="1:60">
      <c r="A41" s="123">
        <v>2008</v>
      </c>
      <c r="B41" s="327">
        <v>39605</v>
      </c>
      <c r="C41" s="123">
        <v>17</v>
      </c>
      <c r="D41" s="346" t="str">
        <f>TEXT(WEEKDAY(B41),"ddd")</f>
        <v>Fri</v>
      </c>
      <c r="E41" s="133">
        <f>[7]MoCoinMW!F$226</f>
        <v>9898</v>
      </c>
      <c r="F41" s="133">
        <f>[7]MoCoinMW!G$226</f>
        <v>8314</v>
      </c>
      <c r="G41" s="164">
        <f>SUM([6]Hist!M$346:O$346)</f>
        <v>0</v>
      </c>
      <c r="H41" s="164">
        <f>[6]Hist!L$346</f>
        <v>0</v>
      </c>
      <c r="I41" s="164">
        <f>[6]Hist!P$346</f>
        <v>0</v>
      </c>
      <c r="J41" s="133">
        <f>SUM(F41:I41)</f>
        <v>8314</v>
      </c>
      <c r="K41" s="164">
        <f>[6]Hist!U$346</f>
        <v>423</v>
      </c>
      <c r="L41" s="164">
        <f>[6]Hist!V$346</f>
        <v>110</v>
      </c>
      <c r="M41" s="133">
        <f>SUM(J41:K41)</f>
        <v>8737</v>
      </c>
      <c r="N41" s="164">
        <f>'Interruptible Forecast'!AM19</f>
        <v>340</v>
      </c>
      <c r="O41" s="1377">
        <f t="shared" si="11"/>
        <v>7864</v>
      </c>
      <c r="P41" s="132">
        <f>[8]FCST!$BH15</f>
        <v>1635905</v>
      </c>
      <c r="Q41" s="463">
        <f>[8]FCST!$DJ15</f>
        <v>33485</v>
      </c>
      <c r="R41" s="558"/>
      <c r="S41" s="371">
        <f>[8]FCST!$CR15</f>
        <v>60481</v>
      </c>
      <c r="T41" s="387"/>
      <c r="U41" s="909">
        <f t="shared" ref="U41:U58" si="27">P41-Q41+S$31</f>
        <v>1609054</v>
      </c>
      <c r="V41" s="374">
        <f>ROUND(V40*1.005,0)</f>
        <v>14072</v>
      </c>
      <c r="W41" s="132">
        <f t="shared" si="18"/>
        <v>4463</v>
      </c>
      <c r="X41" s="339">
        <f>[5]Jun!$I36</f>
        <v>93.9</v>
      </c>
      <c r="Y41" s="339">
        <f>[5]Jun!$M36</f>
        <v>91.7</v>
      </c>
      <c r="AD41" s="123">
        <f t="shared" si="3"/>
        <v>2008</v>
      </c>
      <c r="AE41" s="133">
        <f t="shared" si="12"/>
        <v>7864</v>
      </c>
      <c r="AF41" s="132">
        <f t="shared" si="13"/>
        <v>1635905</v>
      </c>
      <c r="AG41" s="140">
        <f t="shared" si="24"/>
        <v>91.7</v>
      </c>
      <c r="AH41" s="301">
        <v>0</v>
      </c>
      <c r="AI41" s="284">
        <v>0</v>
      </c>
      <c r="AJ41" s="134">
        <f t="shared" si="5"/>
        <v>8093</v>
      </c>
      <c r="AK41" s="134">
        <f>AE41-AJ41</f>
        <v>-229</v>
      </c>
      <c r="AL41" s="569"/>
      <c r="AM41" s="577"/>
      <c r="AN41" s="134"/>
      <c r="AO41" s="138"/>
      <c r="AP41" s="322">
        <f t="shared" si="21"/>
        <v>111</v>
      </c>
      <c r="BB41" s="123">
        <v>2008</v>
      </c>
      <c r="BC41" s="134">
        <f t="shared" si="15"/>
        <v>8046</v>
      </c>
      <c r="BD41" s="138">
        <f>AE41</f>
        <v>7864</v>
      </c>
      <c r="BE41" s="137">
        <f t="shared" si="25"/>
        <v>182</v>
      </c>
      <c r="BF41" s="138">
        <f>AJ41</f>
        <v>8093</v>
      </c>
      <c r="BG41" s="489">
        <f t="shared" si="26"/>
        <v>-47</v>
      </c>
    </row>
    <row r="42" spans="1:60">
      <c r="A42" s="123">
        <v>2009</v>
      </c>
      <c r="B42" s="327">
        <v>39986</v>
      </c>
      <c r="C42" s="123">
        <v>18</v>
      </c>
      <c r="D42" s="346" t="str">
        <f>TEXT(WEEKDAY(B42),"ddd")</f>
        <v>Mon</v>
      </c>
      <c r="E42" s="133">
        <f>[7]MoCoinMW!F$238</f>
        <v>10247</v>
      </c>
      <c r="F42" s="133">
        <f>[7]MoCoinMW!G$238</f>
        <v>8629</v>
      </c>
      <c r="G42" s="164">
        <f>SUM([6]Hist!M$358:O$358)</f>
        <v>14</v>
      </c>
      <c r="H42" s="164">
        <f>[6]Hist!L$358</f>
        <v>0</v>
      </c>
      <c r="I42" s="164">
        <f>[6]Hist!P$358</f>
        <v>0</v>
      </c>
      <c r="J42" s="133">
        <f>SUM(F42:I42)</f>
        <v>8643</v>
      </c>
      <c r="K42" s="164">
        <f>[6]Hist!U$358</f>
        <v>457</v>
      </c>
      <c r="L42" s="164">
        <f>[6]Hist!V$358</f>
        <v>110</v>
      </c>
      <c r="M42" s="133">
        <f>SUM(J42:K42)</f>
        <v>9100</v>
      </c>
      <c r="N42" s="164">
        <f>'Interruptible Forecast'!AM20</f>
        <v>250</v>
      </c>
      <c r="O42" s="1377">
        <f t="shared" si="11"/>
        <v>8283</v>
      </c>
      <c r="P42" s="132">
        <f>[8]FCST!$BH16</f>
        <v>1627485</v>
      </c>
      <c r="Q42" s="463">
        <f>[8]FCST!$DJ16</f>
        <v>35541</v>
      </c>
      <c r="R42" s="558"/>
      <c r="S42" s="371">
        <f>[8]FCST!$CR16</f>
        <v>62231</v>
      </c>
      <c r="T42" s="387"/>
      <c r="U42" s="909">
        <f t="shared" si="27"/>
        <v>1598578</v>
      </c>
      <c r="V42" s="374">
        <f t="shared" ref="V42:V63" si="28">ROUND(V41*1.005,0)</f>
        <v>14142</v>
      </c>
      <c r="W42" s="132">
        <f t="shared" si="18"/>
        <v>-10476</v>
      </c>
      <c r="X42" s="339">
        <f>[5]Jun!$I37</f>
        <v>95.35</v>
      </c>
      <c r="Y42" s="339">
        <f>[5]Jun!$M37</f>
        <v>95.2</v>
      </c>
      <c r="AD42" s="123">
        <f t="shared" si="3"/>
        <v>2009</v>
      </c>
      <c r="AE42" s="133">
        <f t="shared" si="12"/>
        <v>8283</v>
      </c>
      <c r="AF42" s="132">
        <f t="shared" si="13"/>
        <v>1627485</v>
      </c>
      <c r="AG42" s="140">
        <f t="shared" si="24"/>
        <v>95.2</v>
      </c>
      <c r="AH42" s="301">
        <v>0</v>
      </c>
      <c r="AI42" s="284">
        <v>0</v>
      </c>
      <c r="AJ42" s="134">
        <f t="shared" si="5"/>
        <v>8376</v>
      </c>
      <c r="AK42" s="134">
        <f>AE42-AJ42</f>
        <v>-93</v>
      </c>
      <c r="AL42" s="569"/>
      <c r="AM42" s="577"/>
      <c r="AN42" s="134"/>
      <c r="AO42" s="138"/>
      <c r="AP42" s="322">
        <f t="shared" si="21"/>
        <v>419</v>
      </c>
      <c r="BB42" s="123">
        <v>2009</v>
      </c>
      <c r="BC42" s="134">
        <f t="shared" si="15"/>
        <v>7995</v>
      </c>
      <c r="BD42" s="138">
        <f>AE42</f>
        <v>8283</v>
      </c>
      <c r="BE42" s="137">
        <f>BC42-BD42</f>
        <v>-288</v>
      </c>
      <c r="BF42" s="138">
        <f>AJ42</f>
        <v>8376</v>
      </c>
      <c r="BG42" s="489">
        <f>BC42-BF42</f>
        <v>-381</v>
      </c>
    </row>
    <row r="43" spans="1:60">
      <c r="A43" s="123">
        <v>2010</v>
      </c>
      <c r="B43" s="327">
        <v>40343</v>
      </c>
      <c r="C43" s="123">
        <v>17</v>
      </c>
      <c r="D43" s="346" t="str">
        <f>TEXT(WEEKDAY(B43),"ddd")</f>
        <v>Mon</v>
      </c>
      <c r="E43" s="133">
        <f>[7]MoCoinMW!F$250</f>
        <v>9516</v>
      </c>
      <c r="F43" s="133">
        <f>[7]MoCoinMW!G$250</f>
        <v>8373</v>
      </c>
      <c r="G43" s="164">
        <f>SUM([6]Hist!M$370:O$370)</f>
        <v>0</v>
      </c>
      <c r="H43" s="164">
        <f>[6]Hist!L$370</f>
        <v>0</v>
      </c>
      <c r="I43" s="164">
        <f>[6]Hist!P$370</f>
        <v>0</v>
      </c>
      <c r="J43" s="133">
        <f>SUM(F43:I43)</f>
        <v>8373</v>
      </c>
      <c r="K43" s="164">
        <f>[6]Hist!U$370</f>
        <v>495</v>
      </c>
      <c r="L43" s="164">
        <f>[6]Hist!V$370</f>
        <v>110</v>
      </c>
      <c r="M43" s="133">
        <f>SUM(J43:K43)</f>
        <v>8868</v>
      </c>
      <c r="N43" s="164">
        <f>'Interruptible Forecast'!AM21</f>
        <v>272</v>
      </c>
      <c r="O43" s="1377">
        <f t="shared" si="11"/>
        <v>7991</v>
      </c>
      <c r="P43" s="132">
        <f>[8]FCST!$BH17</f>
        <v>1632839</v>
      </c>
      <c r="Q43" s="463">
        <f>[8]FCST!$DJ17</f>
        <v>33219</v>
      </c>
      <c r="R43" s="558"/>
      <c r="S43" s="371">
        <f>[8]FCST!$CR17</f>
        <v>63876</v>
      </c>
      <c r="T43" s="387"/>
      <c r="U43" s="909">
        <f t="shared" si="27"/>
        <v>1606254</v>
      </c>
      <c r="V43" s="374">
        <f t="shared" si="28"/>
        <v>14213</v>
      </c>
      <c r="W43" s="132">
        <f t="shared" si="18"/>
        <v>7676</v>
      </c>
      <c r="X43" s="339">
        <f>[5]Jun!$I38</f>
        <v>94.6</v>
      </c>
      <c r="Y43" s="339">
        <f>[5]Jun!$M38</f>
        <v>92.8</v>
      </c>
      <c r="AD43" s="123">
        <f t="shared" si="3"/>
        <v>2010</v>
      </c>
      <c r="AE43" s="133">
        <f t="shared" si="12"/>
        <v>7991</v>
      </c>
      <c r="AF43" s="132">
        <f t="shared" si="13"/>
        <v>1632839</v>
      </c>
      <c r="AG43" s="140">
        <f t="shared" si="24"/>
        <v>92.8</v>
      </c>
      <c r="AH43" s="301">
        <v>0</v>
      </c>
      <c r="AI43" s="284">
        <v>0.5</v>
      </c>
      <c r="AJ43" s="134">
        <f t="shared" si="5"/>
        <v>7954</v>
      </c>
      <c r="AK43" s="134">
        <f>AE43-AJ43</f>
        <v>37</v>
      </c>
      <c r="AL43" s="569"/>
      <c r="AM43" s="577"/>
      <c r="AN43" s="134"/>
      <c r="AO43" s="138"/>
      <c r="AP43" s="322">
        <f t="shared" si="21"/>
        <v>-292</v>
      </c>
      <c r="BB43" s="123">
        <v>2010</v>
      </c>
      <c r="BC43" s="134">
        <f t="shared" si="15"/>
        <v>7802</v>
      </c>
      <c r="BD43" s="138">
        <f>AE43</f>
        <v>7991</v>
      </c>
      <c r="BE43" s="137">
        <f>BC43-BD43</f>
        <v>-189</v>
      </c>
      <c r="BF43" s="138">
        <f>AJ43</f>
        <v>7954</v>
      </c>
      <c r="BG43" s="489">
        <f>BC43-BF43</f>
        <v>-152</v>
      </c>
    </row>
    <row r="44" spans="1:60">
      <c r="A44" s="123">
        <v>2011</v>
      </c>
      <c r="B44" s="327">
        <v>40715</v>
      </c>
      <c r="C44" s="123">
        <v>17</v>
      </c>
      <c r="D44" s="346" t="str">
        <f>TEXT(WEEKDAY(B44),"ddd")</f>
        <v>Tue</v>
      </c>
      <c r="E44" s="133">
        <f>[7]MoCoinMW!F$262</f>
        <v>9277</v>
      </c>
      <c r="F44" s="133">
        <f>[7]MoCoinMW!G$262</f>
        <v>8343</v>
      </c>
      <c r="G44" s="164">
        <f>SUM([6]Hist!M$382:O$382)</f>
        <v>0</v>
      </c>
      <c r="H44" s="164">
        <f>[6]Hist!L$382</f>
        <v>0</v>
      </c>
      <c r="I44" s="164">
        <f>[6]Hist!P$382</f>
        <v>0</v>
      </c>
      <c r="J44" s="133">
        <f>SUM(F44:I44)</f>
        <v>8343</v>
      </c>
      <c r="K44" s="164">
        <f>[6]Hist!U$382</f>
        <v>546</v>
      </c>
      <c r="L44" s="164">
        <f>[6]Hist!V$382</f>
        <v>110</v>
      </c>
      <c r="M44" s="133">
        <f>SUM(J44:K44)</f>
        <v>8889</v>
      </c>
      <c r="N44" s="164">
        <f>'Interruptible Forecast'!AM22</f>
        <v>227</v>
      </c>
      <c r="O44" s="1377">
        <f t="shared" si="11"/>
        <v>8006</v>
      </c>
      <c r="P44" s="132">
        <f>[8]FCST!$BH18</f>
        <v>1640668</v>
      </c>
      <c r="Q44" s="463">
        <f>[8]FCST!$DJ18</f>
        <v>34325</v>
      </c>
      <c r="R44" s="558"/>
      <c r="S44" s="371">
        <f>[8]FCST!$CR18</f>
        <v>61899</v>
      </c>
      <c r="T44" s="387"/>
      <c r="U44" s="909">
        <f t="shared" si="27"/>
        <v>1612977</v>
      </c>
      <c r="V44" s="374">
        <f t="shared" si="28"/>
        <v>14284</v>
      </c>
      <c r="W44" s="132">
        <f t="shared" si="18"/>
        <v>6723</v>
      </c>
      <c r="X44" s="339">
        <f>[5]Jun!$I39</f>
        <v>95.55</v>
      </c>
      <c r="Y44" s="339">
        <f>[5]Jun!$M39</f>
        <v>93.5</v>
      </c>
      <c r="AD44" s="123">
        <f t="shared" si="3"/>
        <v>2011</v>
      </c>
      <c r="AE44" s="133">
        <f t="shared" si="12"/>
        <v>8006</v>
      </c>
      <c r="AF44" s="132">
        <f t="shared" si="13"/>
        <v>1640668</v>
      </c>
      <c r="AG44" s="140">
        <f t="shared" si="24"/>
        <v>93.5</v>
      </c>
      <c r="AH44" s="301">
        <v>0</v>
      </c>
      <c r="AI44" s="284">
        <v>1</v>
      </c>
      <c r="AJ44" s="134">
        <f>ROUND($AV$13+$AU$13*$AF44+$AT$13*$AG44+$AS$13*$AH44+$AR$13*$AI44,0)</f>
        <v>7843</v>
      </c>
      <c r="AK44" s="134">
        <f>AE44-AJ44</f>
        <v>163</v>
      </c>
      <c r="AL44" s="569"/>
      <c r="AM44" s="577"/>
      <c r="AN44" s="134"/>
      <c r="AO44" s="138"/>
      <c r="AP44" s="322">
        <f t="shared" si="21"/>
        <v>15</v>
      </c>
      <c r="BB44" s="123">
        <v>2011</v>
      </c>
      <c r="BC44" s="134">
        <f t="shared" si="15"/>
        <v>7624</v>
      </c>
      <c r="BD44" s="138">
        <f>AE44</f>
        <v>8006</v>
      </c>
      <c r="BE44" s="137">
        <f>BC44-BD44</f>
        <v>-382</v>
      </c>
      <c r="BF44" s="138">
        <f>AJ44</f>
        <v>7843</v>
      </c>
      <c r="BG44" s="489">
        <f>BC44-BF44</f>
        <v>-219</v>
      </c>
    </row>
    <row r="45" spans="1:60">
      <c r="A45" s="123">
        <v>2012</v>
      </c>
      <c r="B45" s="327">
        <v>41071</v>
      </c>
      <c r="C45" s="123">
        <v>17</v>
      </c>
      <c r="D45" s="346" t="str">
        <f t="shared" ref="D45:D46" si="29">TEXT(WEEKDAY(B45),"ddd")</f>
        <v>Mon</v>
      </c>
      <c r="E45" s="133">
        <f>[7]MoCoinMW!F$274</f>
        <v>8185</v>
      </c>
      <c r="F45" s="133">
        <f>[7]MoCoinMW!G$274</f>
        <v>7783</v>
      </c>
      <c r="G45" s="164">
        <f>SUM([6]Hist!M$394:O$394)</f>
        <v>0</v>
      </c>
      <c r="H45" s="164">
        <f>[6]Hist!L$394</f>
        <v>0</v>
      </c>
      <c r="I45" s="164">
        <f>[6]Hist!P$394</f>
        <v>0</v>
      </c>
      <c r="J45" s="133">
        <f t="shared" ref="J45:J46" si="30">SUM(F45:I45)</f>
        <v>7783</v>
      </c>
      <c r="K45" s="164">
        <f>[6]Hist!U$382</f>
        <v>546</v>
      </c>
      <c r="L45" s="164">
        <f>[6]Hist!V$394</f>
        <v>124</v>
      </c>
      <c r="M45" s="133">
        <f t="shared" ref="M45:M46" si="31">SUM(J45:K45)</f>
        <v>8329</v>
      </c>
      <c r="N45" s="164">
        <f>'Interruptible Forecast'!AM23</f>
        <v>249</v>
      </c>
      <c r="O45" s="1377">
        <f t="shared" si="11"/>
        <v>7410</v>
      </c>
      <c r="P45" s="132">
        <f>[8]FCST!$BH19</f>
        <v>1652480</v>
      </c>
      <c r="Q45" s="463">
        <f>[8]FCST!$DJ19</f>
        <v>32297</v>
      </c>
      <c r="R45" s="558"/>
      <c r="S45" s="371">
        <f>[8]FCST!$CR19</f>
        <v>61345</v>
      </c>
      <c r="T45" s="387"/>
      <c r="U45" s="909">
        <f t="shared" si="27"/>
        <v>1626817</v>
      </c>
      <c r="V45" s="374">
        <f t="shared" si="28"/>
        <v>14355</v>
      </c>
      <c r="W45" s="132">
        <f t="shared" si="18"/>
        <v>13840</v>
      </c>
      <c r="X45" s="339">
        <f>[5]Jun!$I40</f>
        <v>90.05</v>
      </c>
      <c r="Y45" s="339">
        <f>[5]Jun!$M40</f>
        <v>88.8</v>
      </c>
      <c r="AD45" s="123">
        <f t="shared" si="3"/>
        <v>2012</v>
      </c>
      <c r="AE45" s="133">
        <f t="shared" si="12"/>
        <v>7410</v>
      </c>
      <c r="AF45" s="132">
        <f t="shared" si="13"/>
        <v>1652480</v>
      </c>
      <c r="AG45" s="140">
        <f t="shared" si="24"/>
        <v>88.8</v>
      </c>
      <c r="AH45" s="301">
        <v>0</v>
      </c>
      <c r="AI45" s="284">
        <v>1</v>
      </c>
      <c r="AJ45" s="134">
        <f t="shared" ref="AJ45:AJ46" si="32">ROUND($AV$13+$AU$13*$AF45+$AT$13*$AG45+$AS$13*$AH45+$AR$13*$AI45,0)</f>
        <v>7466</v>
      </c>
      <c r="AK45" s="134">
        <f t="shared" ref="AK45:AK46" si="33">AE45-AJ45</f>
        <v>-56</v>
      </c>
      <c r="AL45" s="569"/>
      <c r="AM45" s="577"/>
      <c r="AN45" s="134"/>
      <c r="AO45" s="138"/>
      <c r="AP45" s="381">
        <f>AM45-AE44</f>
        <v>-8006</v>
      </c>
      <c r="BB45" s="123">
        <v>2012</v>
      </c>
      <c r="BC45" s="134">
        <f t="shared" si="15"/>
        <v>7694</v>
      </c>
      <c r="BD45" s="138">
        <f t="shared" ref="BD45:BD46" si="34">AE45</f>
        <v>7410</v>
      </c>
      <c r="BE45" s="137">
        <f t="shared" ref="BE45:BE46" si="35">BC45-BD45</f>
        <v>284</v>
      </c>
      <c r="BF45" s="138">
        <f t="shared" ref="BF45:BF46" si="36">AJ45</f>
        <v>7466</v>
      </c>
      <c r="BG45" s="489">
        <f t="shared" ref="BG45:BG46" si="37">BC45-BF45</f>
        <v>228</v>
      </c>
    </row>
    <row r="46" spans="1:60">
      <c r="A46" s="123">
        <v>2013</v>
      </c>
      <c r="B46" s="327">
        <v>41438</v>
      </c>
      <c r="C46" s="123">
        <v>17</v>
      </c>
      <c r="D46" s="346" t="str">
        <f t="shared" si="29"/>
        <v>Thu</v>
      </c>
      <c r="E46" s="133">
        <f>[7]MoCoinMW!F$286</f>
        <v>8514</v>
      </c>
      <c r="F46" s="133">
        <f>[7]MoCoinMW!G$286</f>
        <v>7817</v>
      </c>
      <c r="G46" s="164">
        <f>SUM([6]Hist!M$406:O$406)</f>
        <v>0</v>
      </c>
      <c r="H46" s="164">
        <f>[6]Hist!L$406</f>
        <v>0</v>
      </c>
      <c r="I46" s="164">
        <f>[6]Hist!P$406</f>
        <v>0</v>
      </c>
      <c r="J46" s="133">
        <f t="shared" si="30"/>
        <v>7817</v>
      </c>
      <c r="K46" s="164">
        <f>[6]Hist!U$406</f>
        <v>632</v>
      </c>
      <c r="L46" s="164">
        <f>[6]Hist!V$406</f>
        <v>124</v>
      </c>
      <c r="M46" s="133">
        <f t="shared" si="31"/>
        <v>8449</v>
      </c>
      <c r="N46" s="164">
        <f>'Interruptible Forecast'!AM24</f>
        <v>270</v>
      </c>
      <c r="O46" s="1377">
        <f t="shared" si="11"/>
        <v>7423</v>
      </c>
      <c r="P46" s="132">
        <f>[8]FCST!$BH20</f>
        <v>1670249</v>
      </c>
      <c r="Q46" s="463">
        <f>[8]FCST!$DJ20</f>
        <v>35479</v>
      </c>
      <c r="R46" s="558"/>
      <c r="S46" s="371">
        <f>[8]FCST!$CR20</f>
        <v>63172</v>
      </c>
      <c r="T46" s="387"/>
      <c r="U46" s="909">
        <f t="shared" si="27"/>
        <v>1641404</v>
      </c>
      <c r="V46" s="374">
        <f t="shared" si="28"/>
        <v>14427</v>
      </c>
      <c r="W46" s="132">
        <f t="shared" si="18"/>
        <v>14587</v>
      </c>
      <c r="X46" s="339">
        <f>[5]Jun!$I41</f>
        <v>90.94</v>
      </c>
      <c r="Y46" s="339">
        <f>[5]Jun!$M41</f>
        <v>90.2</v>
      </c>
      <c r="AD46" s="123">
        <f t="shared" si="3"/>
        <v>2013</v>
      </c>
      <c r="AE46" s="133">
        <f t="shared" si="12"/>
        <v>7423</v>
      </c>
      <c r="AF46" s="132">
        <f t="shared" ref="AF46:AF73" si="38">P46</f>
        <v>1670249</v>
      </c>
      <c r="AG46" s="140">
        <f t="shared" si="24"/>
        <v>90.2</v>
      </c>
      <c r="AH46" s="301">
        <v>0</v>
      </c>
      <c r="AI46" s="284">
        <v>1</v>
      </c>
      <c r="AJ46" s="134">
        <f t="shared" si="32"/>
        <v>7706</v>
      </c>
      <c r="AK46" s="134">
        <f t="shared" si="33"/>
        <v>-283</v>
      </c>
      <c r="AL46" s="569"/>
      <c r="AM46" s="577"/>
      <c r="AN46" s="134"/>
      <c r="AO46" s="138"/>
      <c r="AP46" s="381">
        <f t="shared" ref="AP46:AP58" si="39">AM46-AM45</f>
        <v>0</v>
      </c>
      <c r="BB46" s="123">
        <v>2013</v>
      </c>
      <c r="BC46" s="134">
        <f t="shared" si="15"/>
        <v>7801</v>
      </c>
      <c r="BD46" s="138">
        <f t="shared" si="34"/>
        <v>7423</v>
      </c>
      <c r="BE46" s="137">
        <f t="shared" si="35"/>
        <v>378</v>
      </c>
      <c r="BF46" s="138">
        <f t="shared" si="36"/>
        <v>7706</v>
      </c>
      <c r="BG46" s="489">
        <f t="shared" si="37"/>
        <v>95</v>
      </c>
    </row>
    <row r="47" spans="1:60">
      <c r="A47" s="123">
        <v>2014</v>
      </c>
      <c r="P47" s="132">
        <f>[8]FCST!$BH21</f>
        <v>1689497.46858248</v>
      </c>
      <c r="Q47" s="371">
        <f t="shared" ref="Q47:Q53" si="40">R47*S47</f>
        <v>25150.144344089804</v>
      </c>
      <c r="R47" s="558">
        <f t="shared" ref="R47:R73" si="41">$R$4</f>
        <v>0.40029999999999999</v>
      </c>
      <c r="S47" s="371">
        <f>[8]FCST!$CR21</f>
        <v>62828.239680464161</v>
      </c>
      <c r="T47" s="387">
        <f>[8]FCST!$BZ21</f>
        <v>1495910.46858248</v>
      </c>
      <c r="U47" s="678">
        <f t="shared" si="27"/>
        <v>1670981.3242383902</v>
      </c>
      <c r="V47" s="374">
        <f t="shared" si="28"/>
        <v>14499</v>
      </c>
      <c r="W47" s="132">
        <f t="shared" si="18"/>
        <v>29577.324238390196</v>
      </c>
      <c r="X47" s="123"/>
      <c r="Y47" s="123"/>
      <c r="AD47" s="123">
        <f t="shared" si="3"/>
        <v>2014</v>
      </c>
      <c r="AF47" s="132">
        <f t="shared" si="38"/>
        <v>1689497.46858248</v>
      </c>
      <c r="AG47" s="375">
        <f t="shared" ref="AG47:AG63" si="42">$Y$74</f>
        <v>91.2</v>
      </c>
      <c r="AH47" s="301">
        <v>0</v>
      </c>
      <c r="AI47" s="284">
        <v>0.8</v>
      </c>
      <c r="AJ47" s="134"/>
      <c r="AK47" s="134"/>
      <c r="AL47" s="469">
        <v>25</v>
      </c>
      <c r="AM47" s="577">
        <f t="shared" ref="AM47:AM73" si="43">ROUND($AV$13+$AU$13*$AF47+$AT$13*$AG47+$AS$13*$AH47+$AR$13*$AI47,0)-AL47</f>
        <v>7982</v>
      </c>
      <c r="AN47" s="134">
        <f>[11]Jun!$AM47</f>
        <v>8966</v>
      </c>
      <c r="AO47" s="138">
        <f t="shared" ref="AO47:AO53" si="44">AM47-AN47</f>
        <v>-984</v>
      </c>
      <c r="AP47" s="381">
        <f t="shared" si="39"/>
        <v>7982</v>
      </c>
    </row>
    <row r="48" spans="1:60">
      <c r="A48" s="123">
        <v>2015</v>
      </c>
      <c r="P48" s="132">
        <f>[8]FCST!$BH22</f>
        <v>1716304.5636603599</v>
      </c>
      <c r="Q48" s="371">
        <f t="shared" si="40"/>
        <v>25555.077413596169</v>
      </c>
      <c r="R48" s="558">
        <f t="shared" si="41"/>
        <v>0.40029999999999999</v>
      </c>
      <c r="S48" s="371">
        <f>[8]FCST!$CR22</f>
        <v>63839.813673735123</v>
      </c>
      <c r="T48" s="387">
        <f>[8]FCST!$BZ22</f>
        <v>1519995.5636603599</v>
      </c>
      <c r="U48" s="678">
        <f t="shared" si="27"/>
        <v>1697383.4862467637</v>
      </c>
      <c r="V48" s="374">
        <f t="shared" si="28"/>
        <v>14571</v>
      </c>
      <c r="W48" s="132">
        <f t="shared" si="18"/>
        <v>26402.162008373532</v>
      </c>
      <c r="X48" s="123"/>
      <c r="Y48" s="123"/>
      <c r="AD48" s="123">
        <f t="shared" si="3"/>
        <v>2015</v>
      </c>
      <c r="AF48" s="132">
        <f t="shared" si="38"/>
        <v>1716304.5636603599</v>
      </c>
      <c r="AG48" s="375">
        <f t="shared" si="42"/>
        <v>91.2</v>
      </c>
      <c r="AH48" s="301">
        <v>0</v>
      </c>
      <c r="AI48" s="284">
        <v>0.6</v>
      </c>
      <c r="AJ48" s="134"/>
      <c r="AK48" s="134"/>
      <c r="AL48" s="469">
        <v>25</v>
      </c>
      <c r="AM48" s="577">
        <f t="shared" si="43"/>
        <v>8233</v>
      </c>
      <c r="AN48" s="134">
        <f>[11]Jun!$AM48</f>
        <v>9161</v>
      </c>
      <c r="AO48" s="138">
        <f t="shared" si="44"/>
        <v>-928</v>
      </c>
      <c r="AP48" s="381">
        <f t="shared" si="39"/>
        <v>251</v>
      </c>
    </row>
    <row r="49" spans="1:42">
      <c r="A49" s="123">
        <v>2016</v>
      </c>
      <c r="P49" s="132">
        <f>[8]FCST!$BH23</f>
        <v>1742593.1406851499</v>
      </c>
      <c r="Q49" s="371">
        <f t="shared" si="40"/>
        <v>25951.696348883153</v>
      </c>
      <c r="R49" s="558">
        <f t="shared" si="41"/>
        <v>0.40029999999999999</v>
      </c>
      <c r="S49" s="371">
        <f>[8]FCST!$CR23</f>
        <v>64830.617908776301</v>
      </c>
      <c r="T49" s="387">
        <f>[8]FCST!$BZ23</f>
        <v>1543586.1406851499</v>
      </c>
      <c r="U49" s="678">
        <f t="shared" si="27"/>
        <v>1723275.4443362667</v>
      </c>
      <c r="V49" s="374">
        <f t="shared" si="28"/>
        <v>14644</v>
      </c>
      <c r="W49" s="132">
        <f t="shared" si="18"/>
        <v>25891.958089502994</v>
      </c>
      <c r="X49" s="123"/>
      <c r="Y49" s="123"/>
      <c r="AD49" s="123">
        <f t="shared" si="3"/>
        <v>2016</v>
      </c>
      <c r="AF49" s="132">
        <f t="shared" si="38"/>
        <v>1742593.1406851499</v>
      </c>
      <c r="AG49" s="375">
        <f t="shared" si="42"/>
        <v>91.2</v>
      </c>
      <c r="AH49" s="301">
        <v>0</v>
      </c>
      <c r="AI49" s="284">
        <v>0.4</v>
      </c>
      <c r="AJ49" s="134"/>
      <c r="AK49" s="134"/>
      <c r="AL49" s="469">
        <v>25</v>
      </c>
      <c r="AM49" s="577">
        <f t="shared" si="43"/>
        <v>8481</v>
      </c>
      <c r="AN49" s="134">
        <f>[11]Jun!$AM49</f>
        <v>9349</v>
      </c>
      <c r="AO49" s="138">
        <f t="shared" si="44"/>
        <v>-868</v>
      </c>
      <c r="AP49" s="381">
        <f t="shared" si="39"/>
        <v>248</v>
      </c>
    </row>
    <row r="50" spans="1:42">
      <c r="A50" s="123">
        <v>2017</v>
      </c>
      <c r="P50" s="132">
        <f>[8]FCST!$BH24</f>
        <v>1769284.7777657199</v>
      </c>
      <c r="Q50" s="371">
        <f t="shared" si="40"/>
        <v>26354.99089606394</v>
      </c>
      <c r="R50" s="558">
        <f t="shared" si="41"/>
        <v>0.40029999999999999</v>
      </c>
      <c r="S50" s="371">
        <f>[8]FCST!$CR24</f>
        <v>65838.098666160236</v>
      </c>
      <c r="T50" s="387">
        <f>[8]FCST!$BZ24</f>
        <v>1567573.7777657199</v>
      </c>
      <c r="U50" s="678">
        <f t="shared" si="27"/>
        <v>1749563.7868696561</v>
      </c>
      <c r="V50" s="374">
        <f t="shared" si="28"/>
        <v>14717</v>
      </c>
      <c r="W50" s="132">
        <f t="shared" si="18"/>
        <v>26288.342533389339</v>
      </c>
      <c r="X50" s="123"/>
      <c r="Y50" s="123"/>
      <c r="AD50" s="123">
        <f t="shared" si="3"/>
        <v>2017</v>
      </c>
      <c r="AF50" s="132">
        <f t="shared" si="38"/>
        <v>1769284.7777657199</v>
      </c>
      <c r="AG50" s="375">
        <f t="shared" si="42"/>
        <v>91.2</v>
      </c>
      <c r="AH50" s="301">
        <v>0</v>
      </c>
      <c r="AI50" s="284">
        <v>0.2</v>
      </c>
      <c r="AJ50" s="134"/>
      <c r="AK50" s="134"/>
      <c r="AL50" s="469">
        <v>25</v>
      </c>
      <c r="AM50" s="577">
        <f t="shared" si="43"/>
        <v>8732</v>
      </c>
      <c r="AN50" s="134">
        <f>[11]Jun!$AM50</f>
        <v>9544</v>
      </c>
      <c r="AO50" s="138">
        <f t="shared" si="44"/>
        <v>-812</v>
      </c>
      <c r="AP50" s="381">
        <f t="shared" si="39"/>
        <v>251</v>
      </c>
    </row>
    <row r="51" spans="1:42">
      <c r="A51" s="123">
        <v>2018</v>
      </c>
      <c r="P51" s="132">
        <f>[8]FCST!$BH25</f>
        <v>1794811.0899768199</v>
      </c>
      <c r="Q51" s="371">
        <f t="shared" si="40"/>
        <v>26740.845315144288</v>
      </c>
      <c r="R51" s="558">
        <f t="shared" si="41"/>
        <v>0.40029999999999999</v>
      </c>
      <c r="S51" s="371">
        <f>[8]FCST!$CR25</f>
        <v>66802.011779026448</v>
      </c>
      <c r="T51" s="387">
        <f>[8]FCST!$BZ25</f>
        <v>1590524.0899768199</v>
      </c>
      <c r="U51" s="678">
        <f t="shared" si="27"/>
        <v>1774704.2446616755</v>
      </c>
      <c r="V51" s="374">
        <f t="shared" si="28"/>
        <v>14791</v>
      </c>
      <c r="W51" s="132">
        <f t="shared" si="18"/>
        <v>25140.457792019472</v>
      </c>
      <c r="X51" s="123"/>
      <c r="Y51" s="123"/>
      <c r="AD51" s="123">
        <f t="shared" si="3"/>
        <v>2018</v>
      </c>
      <c r="AF51" s="132">
        <f t="shared" si="38"/>
        <v>1794811.0899768199</v>
      </c>
      <c r="AG51" s="375">
        <f t="shared" si="42"/>
        <v>91.2</v>
      </c>
      <c r="AH51" s="301">
        <v>0</v>
      </c>
      <c r="AI51" s="284"/>
      <c r="AJ51" s="134"/>
      <c r="AK51" s="134"/>
      <c r="AL51" s="469">
        <v>25</v>
      </c>
      <c r="AM51" s="577">
        <f t="shared" si="43"/>
        <v>8975</v>
      </c>
      <c r="AN51" s="134">
        <f>[11]Jun!$AM51</f>
        <v>9743</v>
      </c>
      <c r="AO51" s="138">
        <f t="shared" si="44"/>
        <v>-768</v>
      </c>
      <c r="AP51" s="381">
        <f t="shared" si="39"/>
        <v>243</v>
      </c>
    </row>
    <row r="52" spans="1:42">
      <c r="A52" s="123">
        <v>2019</v>
      </c>
      <c r="P52" s="132">
        <f>[8]FCST!$BH26</f>
        <v>1818712.65541211</v>
      </c>
      <c r="Q52" s="371">
        <f t="shared" si="40"/>
        <v>27102.493847581645</v>
      </c>
      <c r="R52" s="558">
        <f t="shared" si="41"/>
        <v>0.40029999999999999</v>
      </c>
      <c r="S52" s="371">
        <f>[8]FCST!$CR26</f>
        <v>67705.45552730863</v>
      </c>
      <c r="T52" s="387">
        <f>[8]FCST!$BZ26</f>
        <v>1612034.65541211</v>
      </c>
      <c r="U52" s="678">
        <f t="shared" si="27"/>
        <v>1798244.1615645285</v>
      </c>
      <c r="V52" s="374">
        <f t="shared" si="28"/>
        <v>14865</v>
      </c>
      <c r="W52" s="132">
        <f t="shared" si="18"/>
        <v>23539.916902852943</v>
      </c>
      <c r="X52" s="123"/>
      <c r="Y52" s="123"/>
      <c r="AD52" s="123">
        <f t="shared" si="3"/>
        <v>2019</v>
      </c>
      <c r="AF52" s="132">
        <f t="shared" si="38"/>
        <v>1818712.65541211</v>
      </c>
      <c r="AG52" s="375">
        <f t="shared" si="42"/>
        <v>91.2</v>
      </c>
      <c r="AH52" s="301">
        <v>0</v>
      </c>
      <c r="AI52" s="284"/>
      <c r="AJ52" s="134"/>
      <c r="AK52" s="134"/>
      <c r="AL52" s="469">
        <v>25</v>
      </c>
      <c r="AM52" s="577">
        <f t="shared" si="43"/>
        <v>9119</v>
      </c>
      <c r="AN52" s="134">
        <f>[11]Jun!$AM52</f>
        <v>9944</v>
      </c>
      <c r="AO52" s="138">
        <f t="shared" si="44"/>
        <v>-825</v>
      </c>
      <c r="AP52" s="381">
        <f t="shared" si="39"/>
        <v>144</v>
      </c>
    </row>
    <row r="53" spans="1:42">
      <c r="A53" s="123">
        <v>2020</v>
      </c>
      <c r="P53" s="132">
        <f>[8]FCST!$BH27</f>
        <v>1842274.4360599299</v>
      </c>
      <c r="Q53" s="371">
        <f t="shared" si="40"/>
        <v>27459.455282901181</v>
      </c>
      <c r="R53" s="558">
        <f t="shared" si="41"/>
        <v>0.40029999999999999</v>
      </c>
      <c r="S53" s="371">
        <f>[8]FCST!$CR27</f>
        <v>68597.190314517065</v>
      </c>
      <c r="T53" s="387">
        <f>[8]FCST!$BZ27</f>
        <v>1633266.4360599299</v>
      </c>
      <c r="U53" s="678">
        <f t="shared" si="27"/>
        <v>1821448.9807770287</v>
      </c>
      <c r="V53" s="374">
        <f t="shared" si="28"/>
        <v>14939</v>
      </c>
      <c r="W53" s="132">
        <f t="shared" si="18"/>
        <v>23204.819212500239</v>
      </c>
      <c r="X53" s="123"/>
      <c r="Y53" s="123"/>
      <c r="AD53" s="123">
        <f t="shared" si="3"/>
        <v>2020</v>
      </c>
      <c r="AF53" s="132">
        <f t="shared" si="38"/>
        <v>1842274.4360599299</v>
      </c>
      <c r="AG53" s="375">
        <f t="shared" si="42"/>
        <v>91.2</v>
      </c>
      <c r="AH53" s="301">
        <v>0</v>
      </c>
      <c r="AI53" s="284"/>
      <c r="AJ53" s="134"/>
      <c r="AK53" s="134"/>
      <c r="AL53" s="469">
        <v>25</v>
      </c>
      <c r="AM53" s="577">
        <f t="shared" si="43"/>
        <v>9260</v>
      </c>
      <c r="AN53" s="134">
        <f>[11]Jun!$AM53</f>
        <v>10143</v>
      </c>
      <c r="AO53" s="138">
        <f t="shared" si="44"/>
        <v>-883</v>
      </c>
      <c r="AP53" s="381">
        <f t="shared" si="39"/>
        <v>141</v>
      </c>
    </row>
    <row r="54" spans="1:42">
      <c r="A54" s="123">
        <v>2021</v>
      </c>
      <c r="P54" s="132">
        <f>[8]FCST!$BH28</f>
        <v>1864930.3940296699</v>
      </c>
      <c r="Q54" s="371">
        <f t="shared" ref="Q54:Q63" si="45">R54*S54</f>
        <v>27802.952806863232</v>
      </c>
      <c r="R54" s="558">
        <f t="shared" si="41"/>
        <v>0.40029999999999999</v>
      </c>
      <c r="S54" s="371">
        <f>[8]FCST!$CR28</f>
        <v>69455.290549246143</v>
      </c>
      <c r="T54" s="387">
        <f>[8]FCST!$BZ28</f>
        <v>1653697.3940296699</v>
      </c>
      <c r="U54" s="678">
        <f t="shared" si="27"/>
        <v>1843761.4412228067</v>
      </c>
      <c r="V54" s="374">
        <f t="shared" si="28"/>
        <v>15014</v>
      </c>
      <c r="W54" s="132">
        <f t="shared" si="18"/>
        <v>22312.460445777979</v>
      </c>
      <c r="AD54" s="123">
        <f t="shared" si="3"/>
        <v>2021</v>
      </c>
      <c r="AF54" s="132">
        <f t="shared" si="38"/>
        <v>1864930.3940296699</v>
      </c>
      <c r="AG54" s="375">
        <f t="shared" si="42"/>
        <v>91.2</v>
      </c>
      <c r="AH54" s="301">
        <v>0</v>
      </c>
      <c r="AI54" s="284"/>
      <c r="AL54" s="469">
        <v>25</v>
      </c>
      <c r="AM54" s="577">
        <f t="shared" si="43"/>
        <v>9396</v>
      </c>
      <c r="AN54" s="134">
        <f>[11]Jun!$AM54</f>
        <v>10340</v>
      </c>
      <c r="AO54" s="138">
        <f t="shared" ref="AO54:AO63" si="46">AM54-AN54</f>
        <v>-944</v>
      </c>
      <c r="AP54" s="381">
        <f t="shared" si="39"/>
        <v>136</v>
      </c>
    </row>
    <row r="55" spans="1:42">
      <c r="A55" s="123">
        <v>2022</v>
      </c>
      <c r="B55" s="327"/>
      <c r="D55" s="346"/>
      <c r="P55" s="132">
        <f>[8]FCST!$BH29</f>
        <v>1887126.3275363799</v>
      </c>
      <c r="Q55" s="371">
        <f t="shared" si="45"/>
        <v>28139.792129938145</v>
      </c>
      <c r="R55" s="558">
        <f t="shared" si="41"/>
        <v>0.40029999999999999</v>
      </c>
      <c r="S55" s="371">
        <f>[8]FCST!$CR29</f>
        <v>70296.757756527964</v>
      </c>
      <c r="T55" s="387">
        <f>[8]FCST!$BZ29</f>
        <v>1673732.3275363799</v>
      </c>
      <c r="U55" s="678">
        <f t="shared" si="27"/>
        <v>1865620.5354064417</v>
      </c>
      <c r="V55" s="374">
        <f t="shared" si="28"/>
        <v>15089</v>
      </c>
      <c r="W55" s="132">
        <f t="shared" si="18"/>
        <v>21859.094183634967</v>
      </c>
      <c r="AD55" s="123">
        <f t="shared" si="3"/>
        <v>2022</v>
      </c>
      <c r="AF55" s="132">
        <f t="shared" si="38"/>
        <v>1887126.3275363799</v>
      </c>
      <c r="AG55" s="375">
        <f t="shared" si="42"/>
        <v>91.2</v>
      </c>
      <c r="AH55" s="301">
        <v>0</v>
      </c>
      <c r="AI55" s="284"/>
      <c r="AL55" s="469">
        <v>25</v>
      </c>
      <c r="AM55" s="577">
        <f t="shared" si="43"/>
        <v>9530</v>
      </c>
      <c r="AN55" s="134">
        <f>[11]Jun!$AM55</f>
        <v>10534</v>
      </c>
      <c r="AO55" s="138">
        <f t="shared" si="46"/>
        <v>-1004</v>
      </c>
      <c r="AP55" s="381">
        <f t="shared" si="39"/>
        <v>134</v>
      </c>
    </row>
    <row r="56" spans="1:42">
      <c r="A56" s="123">
        <v>2023</v>
      </c>
      <c r="P56" s="132">
        <f>[8]FCST!$BH30</f>
        <v>1907823.8277713901</v>
      </c>
      <c r="Q56" s="371">
        <f t="shared" si="45"/>
        <v>28454.128909789277</v>
      </c>
      <c r="R56" s="558">
        <f t="shared" si="41"/>
        <v>0.40029999999999999</v>
      </c>
      <c r="S56" s="371">
        <f>[8]FCST!$CR30</f>
        <v>71082.010766398394</v>
      </c>
      <c r="T56" s="387">
        <f>[8]FCST!$BZ30</f>
        <v>1692428.8277713901</v>
      </c>
      <c r="U56" s="678">
        <f t="shared" si="27"/>
        <v>1886003.6988616008</v>
      </c>
      <c r="V56" s="374">
        <f t="shared" si="28"/>
        <v>15164</v>
      </c>
      <c r="W56" s="132">
        <f t="shared" si="18"/>
        <v>20383.163455159171</v>
      </c>
      <c r="AD56" s="123">
        <f t="shared" si="3"/>
        <v>2023</v>
      </c>
      <c r="AF56" s="132">
        <f t="shared" si="38"/>
        <v>1907823.8277713901</v>
      </c>
      <c r="AG56" s="375">
        <f t="shared" si="42"/>
        <v>91.2</v>
      </c>
      <c r="AH56" s="301">
        <v>0</v>
      </c>
      <c r="AI56" s="284"/>
      <c r="AL56" s="469">
        <v>25</v>
      </c>
      <c r="AM56" s="577">
        <f t="shared" si="43"/>
        <v>9654</v>
      </c>
      <c r="AN56" s="134">
        <f>[11]Jun!$AM56</f>
        <v>10725</v>
      </c>
      <c r="AO56" s="138">
        <f t="shared" si="46"/>
        <v>-1071</v>
      </c>
      <c r="AP56" s="381">
        <f t="shared" si="39"/>
        <v>124</v>
      </c>
    </row>
    <row r="57" spans="1:42">
      <c r="A57" s="123">
        <v>2024</v>
      </c>
      <c r="P57" s="132">
        <f>[8]FCST!$BH31</f>
        <v>1928021.9115313899</v>
      </c>
      <c r="Q57" s="371">
        <f t="shared" si="45"/>
        <v>28761.313332612648</v>
      </c>
      <c r="R57" s="558">
        <f t="shared" si="41"/>
        <v>0.40029999999999999</v>
      </c>
      <c r="S57" s="371">
        <f>[8]FCST!$CR31</f>
        <v>71849.396284318384</v>
      </c>
      <c r="T57" s="387">
        <f>[8]FCST!$BZ31</f>
        <v>1710699.9115313899</v>
      </c>
      <c r="U57" s="678">
        <f t="shared" si="27"/>
        <v>1905894.5981987773</v>
      </c>
      <c r="V57" s="374">
        <f t="shared" si="28"/>
        <v>15240</v>
      </c>
      <c r="W57" s="132">
        <f t="shared" si="18"/>
        <v>19890.899337176466</v>
      </c>
      <c r="AD57" s="123">
        <f t="shared" si="3"/>
        <v>2024</v>
      </c>
      <c r="AF57" s="132">
        <f t="shared" si="38"/>
        <v>1928021.9115313899</v>
      </c>
      <c r="AG57" s="375">
        <f t="shared" si="42"/>
        <v>91.2</v>
      </c>
      <c r="AH57" s="301">
        <v>0</v>
      </c>
      <c r="AI57" s="284"/>
      <c r="AL57" s="469">
        <v>25</v>
      </c>
      <c r="AM57" s="577">
        <f t="shared" si="43"/>
        <v>9775</v>
      </c>
      <c r="AN57" s="134">
        <f>[11]Jun!$AM57</f>
        <v>10914</v>
      </c>
      <c r="AO57" s="138">
        <f t="shared" si="46"/>
        <v>-1139</v>
      </c>
      <c r="AP57" s="381">
        <f t="shared" si="39"/>
        <v>121</v>
      </c>
    </row>
    <row r="58" spans="1:42">
      <c r="A58" s="123">
        <v>2025</v>
      </c>
      <c r="P58" s="132">
        <f>[8]FCST!$BH32</f>
        <v>1947288.3030673701</v>
      </c>
      <c r="Q58" s="371">
        <f t="shared" si="45"/>
        <v>29054.582097150465</v>
      </c>
      <c r="R58" s="558">
        <f t="shared" si="41"/>
        <v>0.40029999999999999</v>
      </c>
      <c r="S58" s="371">
        <f>[8]FCST!$CR32</f>
        <v>72582.018728829542</v>
      </c>
      <c r="T58" s="387">
        <f>[8]FCST!$BZ32</f>
        <v>1728143.3030673701</v>
      </c>
      <c r="U58" s="678">
        <f t="shared" si="27"/>
        <v>1924867.7209702197</v>
      </c>
      <c r="V58" s="374">
        <f t="shared" si="28"/>
        <v>15316</v>
      </c>
      <c r="W58" s="132">
        <f t="shared" si="18"/>
        <v>18973.122771442402</v>
      </c>
      <c r="Y58" s="474"/>
      <c r="AD58" s="123">
        <f t="shared" si="3"/>
        <v>2025</v>
      </c>
      <c r="AF58" s="132">
        <f t="shared" si="38"/>
        <v>1947288.3030673701</v>
      </c>
      <c r="AG58" s="375">
        <f t="shared" si="42"/>
        <v>91.2</v>
      </c>
      <c r="AH58" s="301">
        <v>0</v>
      </c>
      <c r="AI58" s="284"/>
      <c r="AL58" s="469">
        <v>25</v>
      </c>
      <c r="AM58" s="577">
        <f t="shared" si="43"/>
        <v>9891</v>
      </c>
      <c r="AN58" s="134">
        <f>[11]Jun!$AM58</f>
        <v>11101</v>
      </c>
      <c r="AO58" s="138">
        <f t="shared" si="46"/>
        <v>-1210</v>
      </c>
      <c r="AP58" s="381">
        <f t="shared" si="39"/>
        <v>116</v>
      </c>
    </row>
    <row r="59" spans="1:42">
      <c r="A59" s="123">
        <v>2026</v>
      </c>
      <c r="P59" s="132">
        <f>[8]FCST!$BH33</f>
        <v>1965571.5487887401</v>
      </c>
      <c r="Q59" s="371">
        <f t="shared" si="45"/>
        <v>29333.187822965574</v>
      </c>
      <c r="R59" s="558">
        <f t="shared" si="41"/>
        <v>0.40029999999999999</v>
      </c>
      <c r="S59" s="371">
        <f>[8]FCST!$CR33</f>
        <v>73278.01104912709</v>
      </c>
      <c r="T59" s="387">
        <f>[8]FCST!$BZ33</f>
        <v>1744714.5487887401</v>
      </c>
      <c r="U59" s="678">
        <f>P59-Q59+S$31</f>
        <v>1942872.3609657744</v>
      </c>
      <c r="V59" s="374">
        <f t="shared" si="28"/>
        <v>15393</v>
      </c>
      <c r="W59" s="132">
        <f>U59-U58</f>
        <v>18004.639995554695</v>
      </c>
      <c r="Y59" s="680"/>
      <c r="Z59" s="302"/>
      <c r="AD59" s="123">
        <f>A59</f>
        <v>2026</v>
      </c>
      <c r="AF59" s="132">
        <f t="shared" si="38"/>
        <v>1965571.5487887401</v>
      </c>
      <c r="AG59" s="375">
        <f t="shared" si="42"/>
        <v>91.2</v>
      </c>
      <c r="AH59" s="301">
        <v>0</v>
      </c>
      <c r="AI59" s="284"/>
      <c r="AL59" s="469">
        <v>25</v>
      </c>
      <c r="AM59" s="577">
        <f t="shared" si="43"/>
        <v>10001</v>
      </c>
      <c r="AN59" s="134">
        <f>[11]Jun!$AM59</f>
        <v>11287</v>
      </c>
      <c r="AO59" s="138">
        <f t="shared" si="46"/>
        <v>-1286</v>
      </c>
      <c r="AP59" s="381">
        <f>AM59-AM58</f>
        <v>110</v>
      </c>
    </row>
    <row r="60" spans="1:42">
      <c r="A60" s="123">
        <v>2027</v>
      </c>
      <c r="P60" s="132">
        <f>[8]FCST!$BH34</f>
        <v>1983431.78122518</v>
      </c>
      <c r="Q60" s="371">
        <f t="shared" si="45"/>
        <v>29605.690351626465</v>
      </c>
      <c r="R60" s="558">
        <f t="shared" si="41"/>
        <v>0.40029999999999999</v>
      </c>
      <c r="S60" s="371">
        <f>[8]FCST!$CR34</f>
        <v>73958.75681145757</v>
      </c>
      <c r="T60" s="387">
        <f>[8]FCST!$BZ34</f>
        <v>1760922.78122518</v>
      </c>
      <c r="U60" s="678">
        <f>P60-Q60+S$31</f>
        <v>1960460.0908735537</v>
      </c>
      <c r="V60" s="374">
        <f t="shared" si="28"/>
        <v>15470</v>
      </c>
      <c r="W60" s="132">
        <f>U60-U59</f>
        <v>17587.729907779256</v>
      </c>
      <c r="Y60" s="680"/>
      <c r="Z60" s="302"/>
      <c r="AD60" s="123">
        <f>A60</f>
        <v>2027</v>
      </c>
      <c r="AF60" s="132">
        <f t="shared" si="38"/>
        <v>1983431.78122518</v>
      </c>
      <c r="AG60" s="375">
        <f t="shared" si="42"/>
        <v>91.2</v>
      </c>
      <c r="AH60" s="301">
        <v>0</v>
      </c>
      <c r="AI60" s="284"/>
      <c r="AL60" s="469">
        <v>25</v>
      </c>
      <c r="AM60" s="577">
        <f t="shared" si="43"/>
        <v>10108</v>
      </c>
      <c r="AN60" s="134">
        <f>[11]Jun!$AM60</f>
        <v>11471</v>
      </c>
      <c r="AO60" s="138">
        <f t="shared" si="46"/>
        <v>-1363</v>
      </c>
      <c r="AP60" s="381">
        <f>AM60-AM59</f>
        <v>107</v>
      </c>
    </row>
    <row r="61" spans="1:42">
      <c r="A61" s="123">
        <v>2028</v>
      </c>
      <c r="P61" s="132">
        <f>[8]FCST!$BH35</f>
        <v>2000919.44562686</v>
      </c>
      <c r="Q61" s="371">
        <f t="shared" si="45"/>
        <v>29872.752860346147</v>
      </c>
      <c r="R61" s="558">
        <f t="shared" si="41"/>
        <v>0.40029999999999999</v>
      </c>
      <c r="S61" s="371">
        <f>[8]FCST!$CR35</f>
        <v>74625.912716328123</v>
      </c>
      <c r="T61" s="387">
        <f>[8]FCST!$BZ35</f>
        <v>1776807.44562686</v>
      </c>
      <c r="U61" s="678">
        <f>P61-Q61+S$31</f>
        <v>1977680.6927665139</v>
      </c>
      <c r="V61" s="374">
        <f t="shared" si="28"/>
        <v>15547</v>
      </c>
      <c r="W61" s="132">
        <f>U61-U60</f>
        <v>17220.601892960258</v>
      </c>
      <c r="Y61" s="680"/>
      <c r="Z61" s="302"/>
      <c r="AD61" s="123">
        <f>A61</f>
        <v>2028</v>
      </c>
      <c r="AF61" s="132">
        <f t="shared" si="38"/>
        <v>2000919.44562686</v>
      </c>
      <c r="AG61" s="375">
        <f t="shared" si="42"/>
        <v>91.2</v>
      </c>
      <c r="AH61" s="301">
        <v>0</v>
      </c>
      <c r="AI61" s="284"/>
      <c r="AL61" s="469">
        <v>25</v>
      </c>
      <c r="AM61" s="577">
        <f t="shared" si="43"/>
        <v>10213</v>
      </c>
      <c r="AN61" s="134">
        <f>[11]Jun!$AM61</f>
        <v>11654</v>
      </c>
      <c r="AO61" s="138">
        <f t="shared" si="46"/>
        <v>-1441</v>
      </c>
      <c r="AP61" s="381">
        <f>AM61-AM60</f>
        <v>105</v>
      </c>
    </row>
    <row r="62" spans="1:42">
      <c r="A62" s="123">
        <v>2029</v>
      </c>
      <c r="P62" s="132">
        <f>[8]FCST!$BH36</f>
        <v>2018025.28006001</v>
      </c>
      <c r="Q62" s="371">
        <f t="shared" si="45"/>
        <v>30134.236444536924</v>
      </c>
      <c r="R62" s="558">
        <f t="shared" si="41"/>
        <v>0.40029999999999999</v>
      </c>
      <c r="S62" s="371">
        <f>[8]FCST!$CR36</f>
        <v>75279.131762520425</v>
      </c>
      <c r="T62" s="387">
        <f>[8]FCST!$BZ36</f>
        <v>1792360.28006001</v>
      </c>
      <c r="U62" s="678">
        <f>P62-Q62+S$31</f>
        <v>1994525.0436154732</v>
      </c>
      <c r="V62" s="374">
        <f t="shared" si="28"/>
        <v>15625</v>
      </c>
      <c r="W62" s="132">
        <f>U62-U61</f>
        <v>16844.350848959293</v>
      </c>
      <c r="Y62" s="680"/>
      <c r="Z62" s="302"/>
      <c r="AD62" s="123">
        <f>A62</f>
        <v>2029</v>
      </c>
      <c r="AF62" s="132">
        <f t="shared" si="38"/>
        <v>2018025.28006001</v>
      </c>
      <c r="AG62" s="375">
        <f t="shared" si="42"/>
        <v>91.2</v>
      </c>
      <c r="AH62" s="301">
        <v>0</v>
      </c>
      <c r="AI62" s="284"/>
      <c r="AL62" s="469">
        <v>25</v>
      </c>
      <c r="AM62" s="577">
        <f t="shared" si="43"/>
        <v>10316</v>
      </c>
      <c r="AN62" s="134">
        <f>[11]Jun!$AM62</f>
        <v>11836</v>
      </c>
      <c r="AO62" s="138">
        <f t="shared" si="46"/>
        <v>-1520</v>
      </c>
      <c r="AP62" s="381">
        <f>AM62-AM61</f>
        <v>103</v>
      </c>
    </row>
    <row r="63" spans="1:42">
      <c r="A63" s="123">
        <v>2030</v>
      </c>
      <c r="P63" s="132">
        <f>[8]FCST!$BH37</f>
        <v>2034137.6511995799</v>
      </c>
      <c r="Q63" s="371">
        <f t="shared" si="45"/>
        <v>30380.799463358057</v>
      </c>
      <c r="R63" s="558">
        <f t="shared" si="41"/>
        <v>0.40029999999999999</v>
      </c>
      <c r="S63" s="371">
        <f>[8]FCST!$CR37</f>
        <v>75895.077350382358</v>
      </c>
      <c r="T63" s="387">
        <f>[8]FCST!$BZ37</f>
        <v>1807025.6511995799</v>
      </c>
      <c r="U63" s="678">
        <f>P63-Q63+S$31</f>
        <v>2010390.8517362219</v>
      </c>
      <c r="V63" s="374">
        <f t="shared" si="28"/>
        <v>15703</v>
      </c>
      <c r="W63" s="132">
        <f>U63-U62</f>
        <v>15865.808120748727</v>
      </c>
      <c r="AD63" s="123">
        <f>A63</f>
        <v>2030</v>
      </c>
      <c r="AF63" s="132">
        <f t="shared" si="38"/>
        <v>2034137.6511995799</v>
      </c>
      <c r="AG63" s="375">
        <f t="shared" si="42"/>
        <v>91.2</v>
      </c>
      <c r="AH63" s="301">
        <v>0</v>
      </c>
      <c r="AI63" s="284"/>
      <c r="AL63" s="469">
        <v>25</v>
      </c>
      <c r="AM63" s="577">
        <f t="shared" si="43"/>
        <v>10412</v>
      </c>
      <c r="AN63" s="134">
        <f>[11]Jun!$AM63</f>
        <v>12015</v>
      </c>
      <c r="AO63" s="138">
        <f t="shared" si="46"/>
        <v>-1603</v>
      </c>
      <c r="AP63" s="381">
        <f>AM63-AM62</f>
        <v>96</v>
      </c>
    </row>
    <row r="64" spans="1:42">
      <c r="A64" s="123">
        <v>2031</v>
      </c>
      <c r="P64" s="132">
        <f>[8]FCST!$BH38</f>
        <v>2049780.5295539801</v>
      </c>
      <c r="Q64" s="371">
        <f t="shared" ref="Q64:Q73" si="47">R64*S64</f>
        <v>30620.545094179248</v>
      </c>
      <c r="R64" s="558">
        <f t="shared" si="41"/>
        <v>0.40029999999999999</v>
      </c>
      <c r="S64" s="371">
        <f>[8]FCST!$CR38</f>
        <v>76493.992241267173</v>
      </c>
      <c r="T64" s="387">
        <f>[8]FCST!$BZ38</f>
        <v>1821285.5295539801</v>
      </c>
      <c r="U64" s="678">
        <f t="shared" ref="U64:U73" si="48">P64-Q64+S$31</f>
        <v>2025793.9844598009</v>
      </c>
      <c r="W64" s="132">
        <f t="shared" ref="W64:W73" si="49">U64-U63</f>
        <v>15403.13272357895</v>
      </c>
      <c r="AD64" s="123">
        <f t="shared" ref="AD64:AD73" si="50">A64</f>
        <v>2031</v>
      </c>
      <c r="AF64" s="132">
        <f t="shared" si="38"/>
        <v>2049780.5295539801</v>
      </c>
      <c r="AG64" s="375">
        <f t="shared" ref="AG64:AG73" si="51">$Y$74</f>
        <v>91.2</v>
      </c>
      <c r="AH64" s="301">
        <v>0</v>
      </c>
      <c r="AI64" s="123"/>
      <c r="AL64" s="469">
        <v>25</v>
      </c>
      <c r="AM64" s="577">
        <f t="shared" si="43"/>
        <v>10506</v>
      </c>
      <c r="AP64" s="381">
        <f t="shared" ref="AP64:AP73" si="52">AM64-AM63</f>
        <v>94</v>
      </c>
    </row>
    <row r="65" spans="1:42">
      <c r="A65" s="123">
        <v>2032</v>
      </c>
      <c r="P65" s="132">
        <f>[8]FCST!$BH39</f>
        <v>2065020.1424487899</v>
      </c>
      <c r="Q65" s="371">
        <f t="shared" si="47"/>
        <v>30854.368226734525</v>
      </c>
      <c r="R65" s="558">
        <f t="shared" si="41"/>
        <v>0.40029999999999999</v>
      </c>
      <c r="S65" s="371">
        <f>[8]FCST!$CR39</f>
        <v>77078.111982849179</v>
      </c>
      <c r="T65" s="387">
        <f>[8]FCST!$BZ39</f>
        <v>1835193.1424487899</v>
      </c>
      <c r="U65" s="678">
        <f t="shared" si="48"/>
        <v>2040799.7742220555</v>
      </c>
      <c r="W65" s="132">
        <f t="shared" si="49"/>
        <v>15005.789762254572</v>
      </c>
      <c r="AD65" s="123">
        <f t="shared" si="50"/>
        <v>2032</v>
      </c>
      <c r="AF65" s="132">
        <f t="shared" si="38"/>
        <v>2065020.1424487899</v>
      </c>
      <c r="AG65" s="375">
        <f t="shared" si="51"/>
        <v>91.2</v>
      </c>
      <c r="AH65" s="301">
        <v>0</v>
      </c>
      <c r="AI65" s="123"/>
      <c r="AL65" s="469">
        <v>25</v>
      </c>
      <c r="AM65" s="577">
        <f t="shared" si="43"/>
        <v>10598</v>
      </c>
      <c r="AP65" s="381">
        <f t="shared" si="52"/>
        <v>92</v>
      </c>
    </row>
    <row r="66" spans="1:42">
      <c r="A66" s="123">
        <v>2033</v>
      </c>
      <c r="P66" s="132">
        <f>[8]FCST!$BH40</f>
        <v>2079865.9711611699</v>
      </c>
      <c r="Q66" s="371">
        <f t="shared" si="47"/>
        <v>31082.411453344288</v>
      </c>
      <c r="R66" s="558">
        <f t="shared" si="41"/>
        <v>0.40029999999999999</v>
      </c>
      <c r="S66" s="371">
        <f>[8]FCST!$CR40</f>
        <v>77647.792788769148</v>
      </c>
      <c r="T66" s="387">
        <f>[8]FCST!$BZ40</f>
        <v>1848756.9711611699</v>
      </c>
      <c r="U66" s="678">
        <f t="shared" si="48"/>
        <v>2055417.5597078255</v>
      </c>
      <c r="W66" s="132">
        <f t="shared" si="49"/>
        <v>14617.785485770088</v>
      </c>
      <c r="AD66" s="123">
        <f t="shared" si="50"/>
        <v>2033</v>
      </c>
      <c r="AF66" s="132">
        <f t="shared" si="38"/>
        <v>2079865.9711611699</v>
      </c>
      <c r="AG66" s="375">
        <f t="shared" si="51"/>
        <v>91.2</v>
      </c>
      <c r="AH66" s="301">
        <v>0</v>
      </c>
      <c r="AI66" s="123"/>
      <c r="AL66" s="469">
        <v>25</v>
      </c>
      <c r="AM66" s="577">
        <f t="shared" si="43"/>
        <v>10687</v>
      </c>
      <c r="AP66" s="381">
        <f t="shared" si="52"/>
        <v>89</v>
      </c>
    </row>
    <row r="67" spans="1:42">
      <c r="A67" s="123">
        <v>2034</v>
      </c>
      <c r="P67" s="132">
        <f>[8]FCST!$BH41</f>
        <v>2094327.38729656</v>
      </c>
      <c r="Q67" s="371">
        <f t="shared" si="47"/>
        <v>31304.815522462144</v>
      </c>
      <c r="R67" s="558">
        <f t="shared" si="41"/>
        <v>0.40029999999999999</v>
      </c>
      <c r="S67" s="371">
        <f>[8]FCST!$CR41</f>
        <v>78203.38626645552</v>
      </c>
      <c r="T67" s="387">
        <f>[8]FCST!$BZ41</f>
        <v>1861985.38729656</v>
      </c>
      <c r="U67" s="678">
        <f t="shared" si="48"/>
        <v>2069656.5717740979</v>
      </c>
      <c r="W67" s="132">
        <f t="shared" si="49"/>
        <v>14239.01206627232</v>
      </c>
      <c r="AD67" s="123">
        <f t="shared" si="50"/>
        <v>2034</v>
      </c>
      <c r="AF67" s="132">
        <f t="shared" si="38"/>
        <v>2094327.38729656</v>
      </c>
      <c r="AG67" s="375">
        <f t="shared" si="51"/>
        <v>91.2</v>
      </c>
      <c r="AH67" s="301">
        <v>0</v>
      </c>
      <c r="AI67" s="123"/>
      <c r="AL67" s="469">
        <v>25</v>
      </c>
      <c r="AM67" s="577">
        <f t="shared" si="43"/>
        <v>10774</v>
      </c>
      <c r="AP67" s="381">
        <f t="shared" si="52"/>
        <v>87</v>
      </c>
    </row>
    <row r="68" spans="1:42">
      <c r="A68" s="123">
        <v>2035</v>
      </c>
      <c r="P68" s="132">
        <f>[8]FCST!$BH42</f>
        <v>2108412.7259032102</v>
      </c>
      <c r="Q68" s="371">
        <f t="shared" si="47"/>
        <v>31521.720567920311</v>
      </c>
      <c r="R68" s="558">
        <f t="shared" si="41"/>
        <v>0.40029999999999999</v>
      </c>
      <c r="S68" s="371">
        <f>[8]FCST!$CR42</f>
        <v>78745.242487934825</v>
      </c>
      <c r="T68" s="387">
        <f>[8]FCST!$BZ42</f>
        <v>1874886.72590321</v>
      </c>
      <c r="U68" s="678">
        <f t="shared" si="48"/>
        <v>2083525.00533529</v>
      </c>
      <c r="W68" s="132">
        <f t="shared" si="49"/>
        <v>13868.433561192127</v>
      </c>
      <c r="AD68" s="123">
        <f t="shared" si="50"/>
        <v>2035</v>
      </c>
      <c r="AF68" s="132">
        <f t="shared" si="38"/>
        <v>2108412.7259032102</v>
      </c>
      <c r="AG68" s="375">
        <f t="shared" si="51"/>
        <v>91.2</v>
      </c>
      <c r="AH68" s="301">
        <v>0</v>
      </c>
      <c r="AI68" s="123"/>
      <c r="AL68" s="469">
        <v>25</v>
      </c>
      <c r="AM68" s="577">
        <f t="shared" si="43"/>
        <v>10859</v>
      </c>
      <c r="AP68" s="381">
        <f t="shared" si="52"/>
        <v>85</v>
      </c>
    </row>
    <row r="69" spans="1:42">
      <c r="A69" s="123">
        <v>2036</v>
      </c>
      <c r="P69" s="132">
        <f>[8]FCST!$BH43</f>
        <v>2122140.7667492703</v>
      </c>
      <c r="Q69" s="371">
        <f t="shared" si="47"/>
        <v>31733.40870124878</v>
      </c>
      <c r="R69" s="558">
        <f t="shared" si="41"/>
        <v>0.40029999999999999</v>
      </c>
      <c r="S69" s="371">
        <f>[8]FCST!$CR43</f>
        <v>79274.066203469352</v>
      </c>
      <c r="T69" s="387">
        <f>[8]FCST!$BZ43</f>
        <v>1887477.76674927</v>
      </c>
      <c r="U69" s="678">
        <f t="shared" si="48"/>
        <v>2097041.3580480216</v>
      </c>
      <c r="W69" s="132">
        <f t="shared" si="49"/>
        <v>13516.352712731576</v>
      </c>
      <c r="AD69" s="123">
        <f t="shared" si="50"/>
        <v>2036</v>
      </c>
      <c r="AF69" s="132">
        <f t="shared" si="38"/>
        <v>2122140.7667492703</v>
      </c>
      <c r="AG69" s="375">
        <f t="shared" si="51"/>
        <v>91.2</v>
      </c>
      <c r="AH69" s="301">
        <v>0</v>
      </c>
      <c r="AI69" s="123"/>
      <c r="AL69" s="469">
        <v>25</v>
      </c>
      <c r="AM69" s="577">
        <f t="shared" si="43"/>
        <v>10941</v>
      </c>
      <c r="AP69" s="381">
        <f t="shared" si="52"/>
        <v>82</v>
      </c>
    </row>
    <row r="70" spans="1:42">
      <c r="A70" s="123">
        <v>2037</v>
      </c>
      <c r="P70" s="132">
        <f>[8]FCST!$BH44</f>
        <v>2136848.78410888</v>
      </c>
      <c r="Q70" s="371">
        <f t="shared" si="47"/>
        <v>31960.261404908953</v>
      </c>
      <c r="R70" s="558">
        <f t="shared" si="41"/>
        <v>0.40029999999999999</v>
      </c>
      <c r="S70" s="371">
        <f>[8]FCST!$CR44</f>
        <v>79840.77293257296</v>
      </c>
      <c r="T70" s="387">
        <f>[8]FCST!$BZ44</f>
        <v>1900970.78410888</v>
      </c>
      <c r="U70" s="678">
        <f t="shared" si="48"/>
        <v>2111522.5227039712</v>
      </c>
      <c r="W70" s="132">
        <f t="shared" si="49"/>
        <v>14481.164655949688</v>
      </c>
      <c r="AD70" s="123">
        <f t="shared" si="50"/>
        <v>2037</v>
      </c>
      <c r="AF70" s="132">
        <f t="shared" si="38"/>
        <v>2136848.78410888</v>
      </c>
      <c r="AG70" s="375">
        <f t="shared" si="51"/>
        <v>91.2</v>
      </c>
      <c r="AH70" s="301">
        <v>0</v>
      </c>
      <c r="AI70" s="123"/>
      <c r="AL70" s="469">
        <v>25</v>
      </c>
      <c r="AM70" s="577">
        <f t="shared" si="43"/>
        <v>11029</v>
      </c>
      <c r="AP70" s="381">
        <f t="shared" si="52"/>
        <v>88</v>
      </c>
    </row>
    <row r="71" spans="1:42">
      <c r="A71" s="123">
        <v>2038</v>
      </c>
      <c r="P71" s="132">
        <f>[8]FCST!$BH45</f>
        <v>2152124.0048053898</v>
      </c>
      <c r="Q71" s="371">
        <f t="shared" si="47"/>
        <v>32195.725578391102</v>
      </c>
      <c r="R71" s="558">
        <f t="shared" si="41"/>
        <v>0.40029999999999999</v>
      </c>
      <c r="S71" s="371">
        <f>[8]FCST!$CR45</f>
        <v>80428.99220182639</v>
      </c>
      <c r="T71" s="387">
        <f>[8]FCST!$BZ45</f>
        <v>1914976.00480539</v>
      </c>
      <c r="U71" s="678">
        <f t="shared" si="48"/>
        <v>2126562.2792269988</v>
      </c>
      <c r="W71" s="132">
        <f t="shared" si="49"/>
        <v>15039.75652302755</v>
      </c>
      <c r="AD71" s="123">
        <f t="shared" si="50"/>
        <v>2038</v>
      </c>
      <c r="AF71" s="132">
        <f t="shared" si="38"/>
        <v>2152124.0048053898</v>
      </c>
      <c r="AG71" s="375">
        <f t="shared" si="51"/>
        <v>91.2</v>
      </c>
      <c r="AH71" s="301">
        <v>0</v>
      </c>
      <c r="AI71" s="123"/>
      <c r="AL71" s="469">
        <v>25</v>
      </c>
      <c r="AM71" s="577">
        <f t="shared" si="43"/>
        <v>11121</v>
      </c>
      <c r="AP71" s="381">
        <f t="shared" si="52"/>
        <v>92</v>
      </c>
    </row>
    <row r="72" spans="1:42">
      <c r="A72" s="123">
        <v>2039</v>
      </c>
      <c r="P72" s="132">
        <f>[8]FCST!$BH46</f>
        <v>2166679.6979504703</v>
      </c>
      <c r="Q72" s="371">
        <f t="shared" si="47"/>
        <v>32420.336755362077</v>
      </c>
      <c r="R72" s="558">
        <f t="shared" si="41"/>
        <v>0.40029999999999999</v>
      </c>
      <c r="S72" s="371">
        <f>[8]FCST!$CR46</f>
        <v>80990.099313919753</v>
      </c>
      <c r="T72" s="387">
        <f>[8]FCST!$BZ46</f>
        <v>1928335.69795047</v>
      </c>
      <c r="U72" s="678">
        <f t="shared" si="48"/>
        <v>2140893.3611951084</v>
      </c>
      <c r="W72" s="132">
        <f t="shared" si="49"/>
        <v>14331.081968109589</v>
      </c>
      <c r="AD72" s="123">
        <f t="shared" si="50"/>
        <v>2039</v>
      </c>
      <c r="AF72" s="132">
        <f t="shared" si="38"/>
        <v>2166679.6979504703</v>
      </c>
      <c r="AG72" s="375">
        <f t="shared" si="51"/>
        <v>91.2</v>
      </c>
      <c r="AH72" s="301">
        <v>0</v>
      </c>
      <c r="AI72" s="123"/>
      <c r="AL72" s="469">
        <v>25</v>
      </c>
      <c r="AM72" s="577">
        <f t="shared" si="43"/>
        <v>11208</v>
      </c>
      <c r="AP72" s="381">
        <f t="shared" si="52"/>
        <v>87</v>
      </c>
    </row>
    <row r="73" spans="1:42">
      <c r="A73" s="123">
        <v>2040</v>
      </c>
      <c r="P73" s="132">
        <f>[8]FCST!$BH47</f>
        <v>2181756.8923931899</v>
      </c>
      <c r="Q73" s="371">
        <f t="shared" si="47"/>
        <v>32653.177721849748</v>
      </c>
      <c r="R73" s="558">
        <f t="shared" si="41"/>
        <v>0.40029999999999999</v>
      </c>
      <c r="S73" s="371">
        <f>[8]FCST!$CR47</f>
        <v>81571.76548051399</v>
      </c>
      <c r="T73" s="387">
        <f>[8]FCST!$BZ47</f>
        <v>1942184.8923931899</v>
      </c>
      <c r="U73" s="678">
        <f t="shared" si="48"/>
        <v>2155737.7146713403</v>
      </c>
      <c r="W73" s="132">
        <f t="shared" si="49"/>
        <v>14844.353476231918</v>
      </c>
      <c r="AD73" s="123">
        <f t="shared" si="50"/>
        <v>2040</v>
      </c>
      <c r="AF73" s="132">
        <f t="shared" si="38"/>
        <v>2181756.8923931899</v>
      </c>
      <c r="AG73" s="375">
        <f t="shared" si="51"/>
        <v>91.2</v>
      </c>
      <c r="AH73" s="301">
        <v>0</v>
      </c>
      <c r="AI73" s="123"/>
      <c r="AL73" s="469">
        <v>25</v>
      </c>
      <c r="AM73" s="577">
        <f t="shared" si="43"/>
        <v>11299</v>
      </c>
      <c r="AP73" s="381">
        <f t="shared" si="52"/>
        <v>91</v>
      </c>
    </row>
    <row r="74" spans="1:42">
      <c r="Y74" s="418">
        <f>ROUND(AVERAGE(Y14:Y43),1)</f>
        <v>91.2</v>
      </c>
      <c r="Z74" s="892" t="s">
        <v>446</v>
      </c>
      <c r="AI74" s="123"/>
    </row>
    <row r="75" spans="1:42" ht="13.5" customHeight="1">
      <c r="AD75" s="1476"/>
      <c r="AE75" s="701"/>
      <c r="AF75" s="1514"/>
      <c r="AG75" s="1507"/>
      <c r="AH75" s="1507"/>
      <c r="AI75" s="1514"/>
      <c r="AJ75" s="573"/>
      <c r="AK75" s="1515"/>
      <c r="AL75" s="1513"/>
      <c r="AM75" s="1514"/>
      <c r="AN75" s="573"/>
      <c r="AO75" s="573"/>
      <c r="AP75" s="1516"/>
    </row>
    <row r="76" spans="1:42" ht="13.5" customHeight="1">
      <c r="AD76" s="1476"/>
      <c r="AE76" s="701"/>
      <c r="AF76" s="1514"/>
      <c r="AG76" s="1008"/>
      <c r="AH76" s="1008"/>
      <c r="AI76" s="1514"/>
      <c r="AJ76" s="573"/>
      <c r="AK76" s="1517"/>
      <c r="AL76" s="823"/>
      <c r="AM76" s="1514"/>
      <c r="AN76" s="1514"/>
      <c r="AO76" s="573"/>
      <c r="AP76" s="1518"/>
    </row>
    <row r="77" spans="1:42">
      <c r="AF77" s="646"/>
      <c r="AG77" s="646"/>
      <c r="AH77" s="646"/>
      <c r="AI77" s="647"/>
      <c r="AJ77" s="646"/>
      <c r="AK77" s="646"/>
      <c r="AL77" s="646"/>
      <c r="AM77" s="646"/>
      <c r="AN77" s="646"/>
      <c r="AO77" s="646"/>
      <c r="AP77" s="646"/>
    </row>
    <row r="78" spans="1:42">
      <c r="AF78" s="646"/>
      <c r="AG78" s="646"/>
      <c r="AH78" s="646"/>
      <c r="AI78" s="647"/>
      <c r="AJ78" s="646"/>
      <c r="AK78" s="646"/>
      <c r="AL78" s="646"/>
      <c r="AM78" s="646"/>
      <c r="AN78" s="646"/>
      <c r="AO78" s="646"/>
      <c r="AP78" s="646"/>
    </row>
    <row r="79" spans="1:42">
      <c r="AI79" s="123"/>
    </row>
    <row r="80" spans="1:42">
      <c r="AI80" s="123"/>
    </row>
    <row r="81" spans="34:35">
      <c r="AI81" s="123"/>
    </row>
    <row r="82" spans="34:35">
      <c r="AI82" s="123"/>
    </row>
    <row r="83" spans="34:35">
      <c r="AI83" s="123"/>
    </row>
    <row r="84" spans="34:35">
      <c r="AI84" s="123"/>
    </row>
    <row r="85" spans="34:35">
      <c r="AH85" s="123"/>
    </row>
    <row r="86" spans="34:35">
      <c r="AH86" s="123"/>
    </row>
    <row r="87" spans="34:35">
      <c r="AH87" s="123"/>
    </row>
  </sheetData>
  <mergeCells count="1">
    <mergeCell ref="AD1:AU1"/>
  </mergeCells>
  <phoneticPr fontId="52" type="noConversion"/>
  <printOptions horizontalCentered="1"/>
  <pageMargins left="0.25" right="0.25" top="0.5" bottom="0.75" header="0" footer="0.25"/>
  <pageSetup scale="67" orientation="landscape" verticalDpi="300" r:id="rId1"/>
  <headerFooter alignWithMargins="0">
    <oddFooter>&amp;LLoad Forecasting : &amp;D&amp;R14LGBRA-NRGPOD1-6-DOC 38
14BGBRA-STAFFROG1-19A-DOC 38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G87"/>
  <sheetViews>
    <sheetView tabSelected="1" zoomScale="75" workbookViewId="0">
      <pane xSplit="4" ySplit="6" topLeftCell="S28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/>
  <cols>
    <col min="1" max="1" width="6.28515625" style="123" bestFit="1" customWidth="1"/>
    <col min="2" max="2" width="9.28515625" style="123" bestFit="1" customWidth="1"/>
    <col min="3" max="3" width="4" style="123" bestFit="1" customWidth="1"/>
    <col min="4" max="4" width="5.5703125" style="123" bestFit="1" customWidth="1"/>
    <col min="5" max="5" width="8.7109375" style="123" bestFit="1" customWidth="1"/>
    <col min="6" max="6" width="10.42578125" style="123" bestFit="1" customWidth="1"/>
    <col min="7" max="7" width="11.85546875" style="123" customWidth="1"/>
    <col min="8" max="8" width="8.28515625" style="123" bestFit="1" customWidth="1"/>
    <col min="9" max="9" width="9.42578125" style="123" bestFit="1" customWidth="1"/>
    <col min="10" max="10" width="8.7109375" style="123" bestFit="1" customWidth="1"/>
    <col min="11" max="11" width="10" style="123" bestFit="1" customWidth="1"/>
    <col min="12" max="12" width="7.7109375" style="123" bestFit="1" customWidth="1"/>
    <col min="13" max="13" width="11.42578125" style="123" bestFit="1" customWidth="1"/>
    <col min="14" max="14" width="7.140625" style="123" bestFit="1" customWidth="1"/>
    <col min="15" max="15" width="7.7109375" style="123" bestFit="1" customWidth="1"/>
    <col min="16" max="16" width="12.7109375" style="123" bestFit="1" customWidth="1"/>
    <col min="17" max="18" width="12.7109375" style="123" customWidth="1"/>
    <col min="19" max="19" width="14.28515625" style="123" bestFit="1" customWidth="1"/>
    <col min="20" max="20" width="13.85546875" style="123" bestFit="1" customWidth="1"/>
    <col min="21" max="21" width="12.7109375" style="123" bestFit="1" customWidth="1"/>
    <col min="22" max="22" width="8.85546875" style="124" customWidth="1"/>
    <col min="23" max="23" width="10.7109375" style="124" customWidth="1"/>
    <col min="24" max="28" width="9.140625" style="124"/>
    <col min="29" max="29" width="10" style="124" bestFit="1" customWidth="1"/>
    <col min="30" max="31" width="9.140625" style="124"/>
    <col min="32" max="32" width="10.28515625" style="124" bestFit="1" customWidth="1"/>
    <col min="33" max="33" width="9.140625" style="124"/>
    <col min="34" max="34" width="14.140625" style="124" bestFit="1" customWidth="1"/>
    <col min="35" max="35" width="2.85546875" style="124" customWidth="1"/>
    <col min="36" max="36" width="8.85546875" style="124" bestFit="1" customWidth="1"/>
    <col min="37" max="37" width="7.7109375" style="124" bestFit="1" customWidth="1"/>
    <col min="38" max="38" width="9.7109375" style="124" customWidth="1"/>
    <col min="39" max="39" width="8" style="124" customWidth="1"/>
    <col min="40" max="40" width="8.7109375" style="124" bestFit="1" customWidth="1"/>
    <col min="41" max="41" width="7" style="124" bestFit="1" customWidth="1"/>
    <col min="42" max="42" width="11.7109375" style="124" bestFit="1" customWidth="1"/>
    <col min="43" max="43" width="14.5703125" style="124" customWidth="1"/>
    <col min="44" max="47" width="12.7109375" style="124" customWidth="1"/>
    <col min="48" max="16384" width="9.140625" style="124"/>
  </cols>
  <sheetData>
    <row r="1" spans="1:59" s="122" customFormat="1" ht="13.5" thickBot="1">
      <c r="A1" s="906" t="s">
        <v>106</v>
      </c>
      <c r="B1" s="1583"/>
      <c r="C1" s="1583"/>
      <c r="D1" s="1583"/>
      <c r="E1" s="1583"/>
      <c r="F1" s="1583"/>
      <c r="G1" s="1583"/>
      <c r="H1" s="1583"/>
      <c r="I1" s="1583"/>
      <c r="J1" s="1583"/>
      <c r="K1" s="1583" t="s">
        <v>634</v>
      </c>
      <c r="L1" s="1583"/>
      <c r="M1" s="1583"/>
      <c r="N1" s="1583"/>
      <c r="O1" s="1583"/>
      <c r="P1" s="1583"/>
      <c r="Q1" s="1583" t="s">
        <v>634</v>
      </c>
      <c r="R1" s="1583" t="s">
        <v>634</v>
      </c>
      <c r="S1" s="1583" t="s">
        <v>634</v>
      </c>
      <c r="T1" s="1583" t="s">
        <v>634</v>
      </c>
      <c r="U1" s="1583" t="s">
        <v>634</v>
      </c>
      <c r="V1" s="122" t="s">
        <v>634</v>
      </c>
      <c r="W1" s="122" t="s">
        <v>634</v>
      </c>
      <c r="AD1" s="1603" t="s">
        <v>633</v>
      </c>
      <c r="AE1" s="1604"/>
      <c r="AF1" s="1604"/>
      <c r="AG1" s="1604"/>
      <c r="AH1" s="1604"/>
      <c r="AI1" s="1604"/>
      <c r="AJ1" s="1604"/>
      <c r="AK1" s="1604"/>
      <c r="AL1" s="1604"/>
      <c r="AM1" s="1604"/>
      <c r="AN1" s="1604"/>
      <c r="AO1" s="1604"/>
      <c r="AP1" s="1604"/>
      <c r="AQ1" s="1604"/>
      <c r="AR1" s="1604"/>
      <c r="AS1" s="1604"/>
      <c r="AT1" s="1604"/>
      <c r="AU1" s="1604"/>
    </row>
    <row r="2" spans="1:59">
      <c r="P2" s="1190" t="str">
        <f>Feb!P2</f>
        <v>CF_201309</v>
      </c>
      <c r="R2" s="1190" t="str">
        <f>Feb!R2</f>
        <v>13_EDB_Adjmt.xlsx</v>
      </c>
      <c r="S2" s="109"/>
      <c r="T2" s="1190" t="str">
        <f>P2</f>
        <v>CF_201309</v>
      </c>
    </row>
    <row r="3" spans="1:59">
      <c r="J3" s="265" t="s">
        <v>21</v>
      </c>
      <c r="M3" s="123" t="s">
        <v>58</v>
      </c>
      <c r="Q3" s="92"/>
      <c r="R3" s="92"/>
      <c r="S3" s="92"/>
      <c r="T3" s="92"/>
    </row>
    <row r="4" spans="1:59">
      <c r="J4" s="123" t="s">
        <v>6</v>
      </c>
      <c r="M4" s="123" t="s">
        <v>6</v>
      </c>
      <c r="O4" s="123" t="s">
        <v>1</v>
      </c>
      <c r="Q4" s="353" t="s">
        <v>186</v>
      </c>
      <c r="R4" s="1219">
        <f>[2]ssr!$K$178</f>
        <v>0.55389999999999995</v>
      </c>
      <c r="S4" s="370"/>
      <c r="T4" s="92"/>
      <c r="U4" s="810" t="s">
        <v>396</v>
      </c>
      <c r="AD4" s="125" t="s">
        <v>199</v>
      </c>
    </row>
    <row r="5" spans="1:59">
      <c r="G5" s="265"/>
      <c r="H5" s="265" t="s">
        <v>66</v>
      </c>
      <c r="I5" s="265" t="s">
        <v>206</v>
      </c>
      <c r="J5" s="123" t="s">
        <v>61</v>
      </c>
      <c r="L5" s="123" t="s">
        <v>87</v>
      </c>
      <c r="M5" s="123" t="s">
        <v>61</v>
      </c>
      <c r="N5" s="123" t="s">
        <v>0</v>
      </c>
      <c r="O5" s="123" t="s">
        <v>6</v>
      </c>
      <c r="P5" s="810" t="s">
        <v>396</v>
      </c>
      <c r="Q5" s="351" t="s">
        <v>187</v>
      </c>
      <c r="R5" s="350" t="s">
        <v>189</v>
      </c>
      <c r="S5" s="350" t="s">
        <v>21</v>
      </c>
      <c r="T5" s="92"/>
      <c r="U5" s="309" t="s">
        <v>315</v>
      </c>
      <c r="V5" s="351" t="s">
        <v>346</v>
      </c>
      <c r="W5" s="350" t="s">
        <v>194</v>
      </c>
      <c r="X5" s="265"/>
      <c r="Y5" s="123"/>
      <c r="AE5" s="309"/>
      <c r="AF5" s="265" t="s">
        <v>203</v>
      </c>
      <c r="AG5" s="265" t="s">
        <v>294</v>
      </c>
      <c r="AH5" s="265"/>
    </row>
    <row r="6" spans="1:59" s="129" customFormat="1" ht="13.5" thickBot="1">
      <c r="A6" s="121" t="s">
        <v>9</v>
      </c>
      <c r="B6" s="121" t="s">
        <v>88</v>
      </c>
      <c r="C6" s="121" t="s">
        <v>89</v>
      </c>
      <c r="D6" s="121" t="s">
        <v>90</v>
      </c>
      <c r="E6" s="121" t="s">
        <v>91</v>
      </c>
      <c r="F6" s="121" t="s">
        <v>92</v>
      </c>
      <c r="G6" s="178" t="s">
        <v>208</v>
      </c>
      <c r="H6" s="128" t="s">
        <v>205</v>
      </c>
      <c r="I6" s="128" t="s">
        <v>207</v>
      </c>
      <c r="J6" s="121" t="s">
        <v>62</v>
      </c>
      <c r="K6" s="121" t="s">
        <v>57</v>
      </c>
      <c r="L6" s="121" t="s">
        <v>77</v>
      </c>
      <c r="M6" s="121" t="s">
        <v>59</v>
      </c>
      <c r="N6" s="324" t="s">
        <v>66</v>
      </c>
      <c r="O6" s="1211" t="s">
        <v>567</v>
      </c>
      <c r="P6" s="178" t="s">
        <v>197</v>
      </c>
      <c r="Q6" s="352" t="s">
        <v>226</v>
      </c>
      <c r="R6" s="352" t="s">
        <v>190</v>
      </c>
      <c r="S6" s="359" t="s">
        <v>188</v>
      </c>
      <c r="T6" s="343" t="s">
        <v>191</v>
      </c>
      <c r="U6" s="112" t="s">
        <v>316</v>
      </c>
      <c r="V6" s="343" t="s">
        <v>345</v>
      </c>
      <c r="W6" s="359" t="s">
        <v>169</v>
      </c>
      <c r="X6" s="571" t="s">
        <v>301</v>
      </c>
      <c r="Y6" s="128" t="s">
        <v>96</v>
      </c>
      <c r="AD6" s="121" t="s">
        <v>9</v>
      </c>
      <c r="AE6" s="128" t="s">
        <v>179</v>
      </c>
      <c r="AF6" s="178" t="s">
        <v>97</v>
      </c>
      <c r="AG6" s="128" t="s">
        <v>170</v>
      </c>
      <c r="AH6" s="300" t="s">
        <v>129</v>
      </c>
      <c r="AI6" s="285" t="s">
        <v>130</v>
      </c>
      <c r="AJ6" s="121" t="s">
        <v>98</v>
      </c>
      <c r="AK6" s="121" t="s">
        <v>99</v>
      </c>
      <c r="AL6" s="121" t="s">
        <v>100</v>
      </c>
      <c r="AM6" s="178" t="str">
        <f>Jun!AM6</f>
        <v>Fall'13</v>
      </c>
      <c r="AN6" s="178" t="str">
        <f>Jun!AN6</f>
        <v>TYSP'13</v>
      </c>
      <c r="AO6" s="178" t="str">
        <f>Jun!AO6</f>
        <v>Diff</v>
      </c>
      <c r="AP6" s="178" t="str">
        <f>Jun!AP6</f>
        <v>Yr-Yr Growth</v>
      </c>
    </row>
    <row r="7" spans="1:59">
      <c r="V7" s="123"/>
      <c r="W7" s="123"/>
      <c r="X7" s="123"/>
      <c r="Y7" s="123"/>
    </row>
    <row r="8" spans="1:59">
      <c r="A8" s="123">
        <v>1975</v>
      </c>
      <c r="B8" s="139">
        <v>27583</v>
      </c>
      <c r="C8" s="341">
        <v>18</v>
      </c>
      <c r="D8" s="346" t="str">
        <f t="shared" ref="D8:D34" si="0">TEXT(WEEKDAY(B8),"ddd")</f>
        <v>Tue</v>
      </c>
      <c r="E8" s="347">
        <v>2746</v>
      </c>
      <c r="P8" s="132">
        <f>[4]Data!$I205</f>
        <v>611212</v>
      </c>
      <c r="U8" s="133">
        <f t="shared" ref="U8:U29" si="1">P8-Q8</f>
        <v>611212</v>
      </c>
      <c r="V8" s="123"/>
      <c r="X8" s="339"/>
      <c r="Y8" s="339"/>
    </row>
    <row r="9" spans="1:59">
      <c r="A9" s="123">
        <v>1976</v>
      </c>
      <c r="B9" s="139">
        <v>27957</v>
      </c>
      <c r="C9" s="341">
        <v>17</v>
      </c>
      <c r="D9" s="346" t="str">
        <f t="shared" si="0"/>
        <v>Fri</v>
      </c>
      <c r="E9" s="347">
        <v>3200</v>
      </c>
      <c r="P9" s="132">
        <f>[4]Data!$I206</f>
        <v>634277</v>
      </c>
      <c r="U9" s="133">
        <f t="shared" si="1"/>
        <v>634277</v>
      </c>
      <c r="V9" s="123"/>
      <c r="X9" s="339">
        <f>[5]Jul!$I4</f>
        <v>92.55</v>
      </c>
      <c r="Y9" s="339">
        <f>[5]Jul!$M4</f>
        <v>92.2</v>
      </c>
      <c r="AP9" s="383"/>
      <c r="AQ9" s="974" t="s">
        <v>546</v>
      </c>
      <c r="AR9"/>
      <c r="AS9"/>
      <c r="AT9"/>
      <c r="AU9"/>
    </row>
    <row r="10" spans="1:59">
      <c r="A10" s="123">
        <v>1977</v>
      </c>
      <c r="B10" s="139">
        <v>28333</v>
      </c>
      <c r="C10" s="341">
        <v>18</v>
      </c>
      <c r="D10" s="346" t="str">
        <f t="shared" si="0"/>
        <v>Wed</v>
      </c>
      <c r="E10" s="347">
        <v>3281</v>
      </c>
      <c r="P10" s="132">
        <f>[4]Data!$I207</f>
        <v>657996</v>
      </c>
      <c r="U10" s="133">
        <f t="shared" si="1"/>
        <v>657996</v>
      </c>
      <c r="V10" s="123"/>
      <c r="X10" s="339">
        <f>[5]Jul!$I5</f>
        <v>90.85</v>
      </c>
      <c r="Y10" s="339">
        <f>[5]Jul!$M5</f>
        <v>91.6</v>
      </c>
      <c r="AQ10" s="44"/>
      <c r="AR10" s="266"/>
      <c r="AS10" s="266"/>
      <c r="AT10" s="266"/>
      <c r="AU10" s="266"/>
    </row>
    <row r="11" spans="1:59">
      <c r="A11" s="123">
        <v>1978</v>
      </c>
      <c r="B11" s="139">
        <v>28674</v>
      </c>
      <c r="C11" s="131">
        <v>18</v>
      </c>
      <c r="D11" s="346" t="str">
        <f t="shared" si="0"/>
        <v>Mon</v>
      </c>
      <c r="E11" s="132">
        <v>3347</v>
      </c>
      <c r="F11" s="132"/>
      <c r="G11" s="132"/>
      <c r="H11" s="132"/>
      <c r="I11" s="132"/>
      <c r="J11" s="133"/>
      <c r="K11" s="132"/>
      <c r="L11" s="133"/>
      <c r="M11" s="133"/>
      <c r="N11" s="133"/>
      <c r="O11" s="133"/>
      <c r="P11" s="132">
        <f>[4]Data!$I208</f>
        <v>677150</v>
      </c>
      <c r="U11" s="133">
        <f t="shared" si="1"/>
        <v>677150</v>
      </c>
      <c r="V11" s="132"/>
      <c r="X11" s="339">
        <f>[5]Jul!$I6</f>
        <v>91.55</v>
      </c>
      <c r="Y11" s="339">
        <f>[5]Jul!$M6</f>
        <v>91.4</v>
      </c>
      <c r="AQ11" s="1"/>
      <c r="AR11" s="1"/>
      <c r="AS11"/>
      <c r="AT11"/>
      <c r="AU11"/>
    </row>
    <row r="12" spans="1:59" ht="13.5" thickBot="1">
      <c r="A12" s="123">
        <v>1979</v>
      </c>
      <c r="B12" s="139">
        <v>29067</v>
      </c>
      <c r="C12" s="131">
        <v>18</v>
      </c>
      <c r="D12" s="346" t="str">
        <f t="shared" si="0"/>
        <v>Tue</v>
      </c>
      <c r="E12" s="132">
        <v>3654</v>
      </c>
      <c r="F12" s="132"/>
      <c r="G12" s="132"/>
      <c r="H12" s="132"/>
      <c r="I12" s="132"/>
      <c r="J12" s="133"/>
      <c r="K12" s="132"/>
      <c r="L12" s="133"/>
      <c r="M12" s="133"/>
      <c r="N12" s="133"/>
      <c r="O12" s="133"/>
      <c r="P12" s="132">
        <f>[4]Data!$I209</f>
        <v>724557</v>
      </c>
      <c r="U12" s="133">
        <f t="shared" si="1"/>
        <v>724557</v>
      </c>
      <c r="V12" s="132"/>
      <c r="X12" s="339">
        <f>[5]Jul!$I7</f>
        <v>89.8</v>
      </c>
      <c r="Y12" s="339">
        <f>[5]Jul!$M7</f>
        <v>91.1</v>
      </c>
      <c r="AC12" s="295"/>
      <c r="AQ12" s="245" t="s">
        <v>171</v>
      </c>
      <c r="AR12" s="470" t="s">
        <v>347</v>
      </c>
      <c r="AS12" s="246" t="s">
        <v>419</v>
      </c>
      <c r="AT12" s="247" t="s">
        <v>169</v>
      </c>
      <c r="AU12" s="247" t="s">
        <v>22</v>
      </c>
      <c r="BB12" s="121" t="s">
        <v>9</v>
      </c>
      <c r="BC12" s="488" t="s">
        <v>232</v>
      </c>
      <c r="BD12" s="482" t="s">
        <v>231</v>
      </c>
      <c r="BE12" s="482" t="s">
        <v>230</v>
      </c>
      <c r="BF12" s="479" t="s">
        <v>233</v>
      </c>
      <c r="BG12" s="483" t="s">
        <v>229</v>
      </c>
    </row>
    <row r="13" spans="1:59">
      <c r="A13" s="123">
        <v>1980</v>
      </c>
      <c r="B13" s="139">
        <v>29411</v>
      </c>
      <c r="C13" s="131">
        <v>18</v>
      </c>
      <c r="D13" s="346" t="str">
        <f t="shared" si="0"/>
        <v>Wed</v>
      </c>
      <c r="E13" s="134">
        <f>[6]Hist!G11</f>
        <v>3952</v>
      </c>
      <c r="F13" s="134">
        <f>[6]Hist!H11</f>
        <v>3203</v>
      </c>
      <c r="G13" s="164">
        <f>SUM([6]Hist!M11:O11)</f>
        <v>0</v>
      </c>
      <c r="H13" s="164">
        <f>[6]Hist!L11</f>
        <v>0</v>
      </c>
      <c r="I13" s="164">
        <f>[6]Hist!P11</f>
        <v>0</v>
      </c>
      <c r="J13" s="133">
        <f>SUM(F13:I13)</f>
        <v>3203</v>
      </c>
      <c r="K13" s="164">
        <f>[6]Hist!U11</f>
        <v>0</v>
      </c>
      <c r="L13" s="164">
        <f>[6]Hist!V11</f>
        <v>0</v>
      </c>
      <c r="M13" s="133">
        <f>SUM(J13:K13)</f>
        <v>3203</v>
      </c>
      <c r="N13" s="781">
        <v>150</v>
      </c>
      <c r="O13" s="1377">
        <f>J13-N13-L13</f>
        <v>3053</v>
      </c>
      <c r="P13" s="132">
        <f>[4]Data!$I210</f>
        <v>761087</v>
      </c>
      <c r="T13" s="387">
        <f>U13-U12</f>
        <v>36530</v>
      </c>
      <c r="U13" s="133">
        <f t="shared" si="1"/>
        <v>761087</v>
      </c>
      <c r="V13" s="132"/>
      <c r="X13" s="339">
        <f>[5]Jul!$I8</f>
        <v>90.15</v>
      </c>
      <c r="Y13" s="339">
        <f>[5]Jul!$M8</f>
        <v>92</v>
      </c>
      <c r="AD13" s="123">
        <f t="shared" ref="AD13:AD58" si="2">A13</f>
        <v>1980</v>
      </c>
      <c r="AE13" s="133">
        <f t="shared" ref="AE13:AE42" si="3">O13</f>
        <v>3053</v>
      </c>
      <c r="AF13" s="132">
        <f t="shared" ref="AF13:AF44" si="4">P13</f>
        <v>761087</v>
      </c>
      <c r="AG13" s="140">
        <f t="shared" ref="AG13:AG42" si="5">Y13</f>
        <v>92</v>
      </c>
      <c r="AH13" s="301">
        <v>0</v>
      </c>
      <c r="AI13" s="286">
        <v>0</v>
      </c>
      <c r="AJ13" s="134">
        <f>ROUND($AU$13+$AT$13*AF13+$AS$13*AG13+$AR$13*AH13,0)</f>
        <v>2869</v>
      </c>
      <c r="AK13" s="134">
        <f t="shared" ref="AK13:AK33" si="6">AE13-AJ13</f>
        <v>184</v>
      </c>
      <c r="AQ13" s="280" t="s">
        <v>172</v>
      </c>
      <c r="AR13" s="249">
        <f t="array" ref="AR13:AU18">LINEST(AE25:AE45,AF25:AH45,TRUE,TRUE)</f>
        <v>-467.65536115169448</v>
      </c>
      <c r="AS13" s="251">
        <v>119.31218822522577</v>
      </c>
      <c r="AT13" s="251">
        <v>6.1726146103718606E-3</v>
      </c>
      <c r="AU13" s="250">
        <v>-12805.615737481136</v>
      </c>
      <c r="BB13" s="123">
        <v>1980</v>
      </c>
      <c r="BC13" s="134">
        <f t="shared" ref="BC13:BC43" si="7">ROUND($AU$13+$AT$13*AF13+$AS$13*AG$73+$AR$13*AH13,0)</f>
        <v>2845</v>
      </c>
      <c r="BD13" s="138">
        <f t="shared" ref="BD13:BD40" si="8">AE13</f>
        <v>3053</v>
      </c>
      <c r="BE13" s="138">
        <f>BD13-BC13</f>
        <v>208</v>
      </c>
      <c r="BF13" s="138">
        <f t="shared" ref="BF13:BF40" si="9">AJ13</f>
        <v>2869</v>
      </c>
      <c r="BG13" s="489">
        <f>BC13-BF13</f>
        <v>-24</v>
      </c>
    </row>
    <row r="14" spans="1:59">
      <c r="A14" s="123">
        <v>1981</v>
      </c>
      <c r="B14" s="139">
        <v>29781</v>
      </c>
      <c r="C14" s="131">
        <v>17</v>
      </c>
      <c r="D14" s="346" t="str">
        <f t="shared" si="0"/>
        <v>Tue</v>
      </c>
      <c r="E14" s="134">
        <f>[6]Hist!G23</f>
        <v>4219</v>
      </c>
      <c r="F14" s="134">
        <f>[6]Hist!H23</f>
        <v>3473</v>
      </c>
      <c r="G14" s="164">
        <f>SUM([6]Hist!M23:O23)</f>
        <v>0</v>
      </c>
      <c r="H14" s="164">
        <f>[6]Hist!L23</f>
        <v>0</v>
      </c>
      <c r="I14" s="164">
        <f>[6]Hist!P23</f>
        <v>0</v>
      </c>
      <c r="J14" s="133">
        <f t="shared" ref="J14:J32" si="10">SUM(F14:I14)</f>
        <v>3473</v>
      </c>
      <c r="K14" s="164">
        <f>[6]Hist!U23</f>
        <v>0</v>
      </c>
      <c r="L14" s="164">
        <f>[6]Hist!V23</f>
        <v>11</v>
      </c>
      <c r="M14" s="133">
        <f t="shared" ref="M14:M39" si="11">SUM(J14:K14)</f>
        <v>3473</v>
      </c>
      <c r="N14" s="781">
        <v>150</v>
      </c>
      <c r="O14" s="1377">
        <f t="shared" ref="O14:O45" si="12">J14-N14-L14</f>
        <v>3312</v>
      </c>
      <c r="P14" s="132">
        <f>[4]Data!$I211</f>
        <v>791635</v>
      </c>
      <c r="T14" s="387">
        <f>U14-U13</f>
        <v>30548</v>
      </c>
      <c r="U14" s="133">
        <f t="shared" si="1"/>
        <v>791635</v>
      </c>
      <c r="V14" s="132"/>
      <c r="X14" s="339">
        <f>[5]Jul!$I9</f>
        <v>93.4</v>
      </c>
      <c r="Y14" s="339">
        <f>[5]Jul!$M9</f>
        <v>93.5</v>
      </c>
      <c r="AD14" s="123">
        <f t="shared" si="2"/>
        <v>1981</v>
      </c>
      <c r="AE14" s="133">
        <f t="shared" si="3"/>
        <v>3312</v>
      </c>
      <c r="AF14" s="132">
        <f t="shared" si="4"/>
        <v>791635</v>
      </c>
      <c r="AG14" s="140">
        <f t="shared" si="5"/>
        <v>93.5</v>
      </c>
      <c r="AH14" s="301">
        <v>0</v>
      </c>
      <c r="AI14" s="286">
        <v>0</v>
      </c>
      <c r="AJ14" s="134">
        <f t="shared" ref="AJ14:AJ38" si="13">ROUND($AU$13+$AT$13*AF14+$AS$13*AG14+$AR$13*AH14,0)</f>
        <v>3237</v>
      </c>
      <c r="AK14" s="134">
        <f t="shared" si="6"/>
        <v>75</v>
      </c>
      <c r="AO14" s="129"/>
      <c r="AP14" s="322">
        <f t="shared" ref="AP14:AP33" si="14">AE14-AE13</f>
        <v>259</v>
      </c>
      <c r="AQ14" s="281" t="s">
        <v>173</v>
      </c>
      <c r="AR14" s="487">
        <v>51.764676461123393</v>
      </c>
      <c r="AS14" s="486">
        <v>14.130460826883468</v>
      </c>
      <c r="AT14" s="377">
        <v>1.3394714571723622E-4</v>
      </c>
      <c r="AU14" s="256">
        <v>1383.9924548182451</v>
      </c>
      <c r="AV14"/>
      <c r="AW14"/>
      <c r="AX14"/>
      <c r="BB14" s="123">
        <f>BB13+1</f>
        <v>1981</v>
      </c>
      <c r="BC14" s="134">
        <f t="shared" si="7"/>
        <v>3034</v>
      </c>
      <c r="BD14" s="138">
        <f t="shared" si="8"/>
        <v>3312</v>
      </c>
      <c r="BE14" s="138">
        <f t="shared" ref="BE14:BE34" si="15">BD14-BC14</f>
        <v>278</v>
      </c>
      <c r="BF14" s="138">
        <f t="shared" si="9"/>
        <v>3237</v>
      </c>
      <c r="BG14" s="489">
        <f t="shared" ref="BG14:BG34" si="16">BC14-BF14</f>
        <v>-203</v>
      </c>
    </row>
    <row r="15" spans="1:59" ht="13.5" thickBot="1">
      <c r="A15" s="123">
        <v>1982</v>
      </c>
      <c r="B15" s="139">
        <v>30133</v>
      </c>
      <c r="C15" s="131">
        <v>18</v>
      </c>
      <c r="D15" s="346" t="str">
        <f t="shared" si="0"/>
        <v>Thu</v>
      </c>
      <c r="E15" s="134">
        <f>[6]Hist!G35</f>
        <v>3834</v>
      </c>
      <c r="F15" s="134">
        <f>[6]Hist!H35</f>
        <v>3180</v>
      </c>
      <c r="G15" s="164">
        <f>SUM([6]Hist!M35:O35)</f>
        <v>0</v>
      </c>
      <c r="H15" s="164">
        <f>[6]Hist!L35</f>
        <v>0</v>
      </c>
      <c r="I15" s="164">
        <f>[6]Hist!P35</f>
        <v>0</v>
      </c>
      <c r="J15" s="133">
        <f t="shared" si="10"/>
        <v>3180</v>
      </c>
      <c r="K15" s="164">
        <f>[6]Hist!U35</f>
        <v>12</v>
      </c>
      <c r="L15" s="164">
        <f>[6]Hist!V35</f>
        <v>12</v>
      </c>
      <c r="M15" s="133">
        <f t="shared" si="11"/>
        <v>3192</v>
      </c>
      <c r="N15" s="781">
        <v>150</v>
      </c>
      <c r="O15" s="1377">
        <f t="shared" si="12"/>
        <v>3018</v>
      </c>
      <c r="P15" s="132">
        <f>[4]Data!$I212</f>
        <v>819189</v>
      </c>
      <c r="T15" s="387">
        <f>U15-U14</f>
        <v>27554</v>
      </c>
      <c r="U15" s="133">
        <f t="shared" si="1"/>
        <v>819189</v>
      </c>
      <c r="V15" s="132"/>
      <c r="X15" s="339">
        <f>[5]Jul!$I10</f>
        <v>90.8</v>
      </c>
      <c r="Y15" s="339">
        <f>[5]Jul!$M10</f>
        <v>91</v>
      </c>
      <c r="AD15" s="121">
        <f t="shared" si="2"/>
        <v>1982</v>
      </c>
      <c r="AE15" s="910">
        <f t="shared" si="3"/>
        <v>3018</v>
      </c>
      <c r="AF15" s="898">
        <f t="shared" si="4"/>
        <v>819189</v>
      </c>
      <c r="AG15" s="911">
        <f t="shared" si="5"/>
        <v>91</v>
      </c>
      <c r="AH15" s="913">
        <v>1</v>
      </c>
      <c r="AI15" s="914">
        <v>0</v>
      </c>
      <c r="AJ15" s="898">
        <f t="shared" si="13"/>
        <v>2641</v>
      </c>
      <c r="AK15" s="898">
        <f t="shared" si="6"/>
        <v>377</v>
      </c>
      <c r="AL15" s="122"/>
      <c r="AM15" s="122"/>
      <c r="AN15" s="122"/>
      <c r="AO15" s="122"/>
      <c r="AP15" s="912">
        <f t="shared" si="14"/>
        <v>-294</v>
      </c>
      <c r="AQ15" s="281" t="s">
        <v>174</v>
      </c>
      <c r="AR15" s="257">
        <v>0.99270000344136733</v>
      </c>
      <c r="AS15" s="258">
        <v>88.255978956179248</v>
      </c>
      <c r="AT15" s="259" t="e">
        <v>#N/A</v>
      </c>
      <c r="AU15" s="259" t="e">
        <v>#N/A</v>
      </c>
      <c r="AV15"/>
      <c r="AW15"/>
      <c r="AX15"/>
      <c r="BB15" s="123">
        <f t="shared" ref="BB15:BB36" si="17">BB14+1</f>
        <v>1982</v>
      </c>
      <c r="BC15" s="134">
        <f t="shared" si="7"/>
        <v>2736</v>
      </c>
      <c r="BD15" s="138">
        <f t="shared" si="8"/>
        <v>3018</v>
      </c>
      <c r="BE15" s="138">
        <f t="shared" si="15"/>
        <v>282</v>
      </c>
      <c r="BF15" s="138">
        <f t="shared" si="9"/>
        <v>2641</v>
      </c>
      <c r="BG15" s="489">
        <f t="shared" si="16"/>
        <v>95</v>
      </c>
    </row>
    <row r="16" spans="1:59">
      <c r="A16" s="123">
        <v>1983</v>
      </c>
      <c r="B16" s="139">
        <v>30515</v>
      </c>
      <c r="C16" s="131">
        <v>17</v>
      </c>
      <c r="D16" s="346" t="str">
        <f t="shared" si="0"/>
        <v>Mon</v>
      </c>
      <c r="E16" s="134">
        <f>[6]Hist!G47</f>
        <v>4520</v>
      </c>
      <c r="F16" s="134">
        <f>[6]Hist!H47</f>
        <v>3719</v>
      </c>
      <c r="G16" s="164">
        <f>SUM([6]Hist!M47:O47)</f>
        <v>0</v>
      </c>
      <c r="H16" s="164">
        <f>[6]Hist!L47</f>
        <v>0</v>
      </c>
      <c r="I16" s="164">
        <f>[6]Hist!P47</f>
        <v>0</v>
      </c>
      <c r="J16" s="133">
        <f t="shared" si="10"/>
        <v>3719</v>
      </c>
      <c r="K16" s="164">
        <f>[6]Hist!U47</f>
        <v>24</v>
      </c>
      <c r="L16" s="164">
        <f>[6]Hist!V47</f>
        <v>36</v>
      </c>
      <c r="M16" s="133">
        <f t="shared" si="11"/>
        <v>3743</v>
      </c>
      <c r="N16" s="781">
        <v>150</v>
      </c>
      <c r="O16" s="1377">
        <f t="shared" si="12"/>
        <v>3533</v>
      </c>
      <c r="P16" s="132">
        <f>[4]Data!$I213</f>
        <v>848944</v>
      </c>
      <c r="U16" s="133">
        <f t="shared" si="1"/>
        <v>848944</v>
      </c>
      <c r="W16" s="501">
        <f t="shared" ref="W16:W58" si="18">U16-U15</f>
        <v>29755</v>
      </c>
      <c r="X16" s="339">
        <f>[5]Jul!$I11</f>
        <v>94.15</v>
      </c>
      <c r="Y16" s="339">
        <f>[5]Jul!$M11</f>
        <v>93.9</v>
      </c>
      <c r="AD16" s="123">
        <f t="shared" si="2"/>
        <v>1983</v>
      </c>
      <c r="AE16" s="133">
        <f t="shared" si="3"/>
        <v>3533</v>
      </c>
      <c r="AF16" s="132">
        <f t="shared" si="4"/>
        <v>848944</v>
      </c>
      <c r="AG16" s="140">
        <f t="shared" si="5"/>
        <v>93.9</v>
      </c>
      <c r="AH16" s="301">
        <v>0</v>
      </c>
      <c r="AI16" s="286">
        <v>0</v>
      </c>
      <c r="AJ16" s="134">
        <f t="shared" si="13"/>
        <v>3638</v>
      </c>
      <c r="AK16" s="134">
        <f t="shared" si="6"/>
        <v>-105</v>
      </c>
      <c r="AO16" s="141"/>
      <c r="AP16" s="322">
        <f t="shared" si="14"/>
        <v>515</v>
      </c>
      <c r="AQ16" s="282" t="s">
        <v>175</v>
      </c>
      <c r="AR16" s="255">
        <v>770.58940703867131</v>
      </c>
      <c r="AS16" s="261">
        <v>17</v>
      </c>
      <c r="AT16" s="259" t="e">
        <v>#N/A</v>
      </c>
      <c r="AU16" s="259" t="e">
        <v>#N/A</v>
      </c>
      <c r="AV16"/>
      <c r="AW16"/>
      <c r="AX16"/>
      <c r="BB16" s="123">
        <f t="shared" si="17"/>
        <v>1983</v>
      </c>
      <c r="BC16" s="134">
        <f t="shared" si="7"/>
        <v>3387</v>
      </c>
      <c r="BD16" s="138">
        <f t="shared" si="8"/>
        <v>3533</v>
      </c>
      <c r="BE16" s="138">
        <f t="shared" si="15"/>
        <v>146</v>
      </c>
      <c r="BF16" s="138">
        <f t="shared" si="9"/>
        <v>3638</v>
      </c>
      <c r="BG16" s="489">
        <f t="shared" si="16"/>
        <v>-251</v>
      </c>
    </row>
    <row r="17" spans="1:59">
      <c r="A17" s="123">
        <v>1984</v>
      </c>
      <c r="B17" s="139">
        <v>30872</v>
      </c>
      <c r="C17" s="131">
        <v>16</v>
      </c>
      <c r="D17" s="346" t="str">
        <f t="shared" si="0"/>
        <v>Mon</v>
      </c>
      <c r="E17" s="134">
        <f>[6]Hist!G59</f>
        <v>3983</v>
      </c>
      <c r="F17" s="134">
        <f>[6]Hist!H59</f>
        <v>3569</v>
      </c>
      <c r="G17" s="164">
        <f>SUM([6]Hist!M59:O59)</f>
        <v>0</v>
      </c>
      <c r="H17" s="164">
        <f>[6]Hist!L59</f>
        <v>0</v>
      </c>
      <c r="I17" s="164">
        <f>[6]Hist!P59</f>
        <v>0</v>
      </c>
      <c r="J17" s="133">
        <f t="shared" si="10"/>
        <v>3569</v>
      </c>
      <c r="K17" s="164">
        <f>[6]Hist!U59</f>
        <v>39</v>
      </c>
      <c r="L17" s="164">
        <f>[6]Hist!V59</f>
        <v>36</v>
      </c>
      <c r="M17" s="133">
        <f t="shared" si="11"/>
        <v>3608</v>
      </c>
      <c r="N17" s="781">
        <v>150</v>
      </c>
      <c r="O17" s="1377">
        <f t="shared" si="12"/>
        <v>3383</v>
      </c>
      <c r="P17" s="132">
        <f>[4]Data!$I214</f>
        <v>888598</v>
      </c>
      <c r="U17" s="133">
        <f t="shared" si="1"/>
        <v>888598</v>
      </c>
      <c r="W17" s="501">
        <f t="shared" si="18"/>
        <v>39654</v>
      </c>
      <c r="X17" s="339">
        <f>[5]Jul!$I12</f>
        <v>91.65</v>
      </c>
      <c r="Y17" s="339">
        <f>[5]Jul!$M12</f>
        <v>90</v>
      </c>
      <c r="AD17" s="123">
        <f t="shared" si="2"/>
        <v>1984</v>
      </c>
      <c r="AE17" s="133">
        <f t="shared" si="3"/>
        <v>3383</v>
      </c>
      <c r="AF17" s="132">
        <f t="shared" si="4"/>
        <v>888598</v>
      </c>
      <c r="AG17" s="140">
        <f t="shared" si="5"/>
        <v>90</v>
      </c>
      <c r="AH17" s="301">
        <v>0</v>
      </c>
      <c r="AI17" s="286">
        <v>0</v>
      </c>
      <c r="AJ17" s="134">
        <f t="shared" si="13"/>
        <v>3417</v>
      </c>
      <c r="AK17" s="134">
        <f t="shared" si="6"/>
        <v>-34</v>
      </c>
      <c r="AL17" s="123"/>
      <c r="AM17" s="123"/>
      <c r="AO17" s="135"/>
      <c r="AP17" s="322">
        <f t="shared" si="14"/>
        <v>-150</v>
      </c>
      <c r="AQ17" s="282" t="s">
        <v>176</v>
      </c>
      <c r="AR17" s="261">
        <v>18006635.050303429</v>
      </c>
      <c r="AS17" s="261">
        <v>132415.00296573041</v>
      </c>
      <c r="AT17" s="259" t="e">
        <v>#N/A</v>
      </c>
      <c r="AU17" s="259" t="e">
        <v>#N/A</v>
      </c>
      <c r="AV17"/>
      <c r="AW17"/>
      <c r="AX17"/>
      <c r="BB17" s="123">
        <f t="shared" si="17"/>
        <v>1984</v>
      </c>
      <c r="BC17" s="134">
        <f t="shared" si="7"/>
        <v>3632</v>
      </c>
      <c r="BD17" s="138">
        <f t="shared" si="8"/>
        <v>3383</v>
      </c>
      <c r="BE17" s="138">
        <f t="shared" si="15"/>
        <v>-249</v>
      </c>
      <c r="BF17" s="138">
        <f t="shared" si="9"/>
        <v>3417</v>
      </c>
      <c r="BG17" s="489">
        <f t="shared" si="16"/>
        <v>215</v>
      </c>
    </row>
    <row r="18" spans="1:59">
      <c r="A18" s="123">
        <v>1985</v>
      </c>
      <c r="B18" s="139">
        <v>31238</v>
      </c>
      <c r="C18" s="131">
        <v>18</v>
      </c>
      <c r="D18" s="346" t="str">
        <f t="shared" si="0"/>
        <v>Wed</v>
      </c>
      <c r="E18" s="134">
        <f>[6]Hist!G71</f>
        <v>4273</v>
      </c>
      <c r="F18" s="134">
        <f>[6]Hist!H71</f>
        <v>3950</v>
      </c>
      <c r="G18" s="164">
        <f>SUM([6]Hist!M71:O71)</f>
        <v>0</v>
      </c>
      <c r="H18" s="164">
        <f>[6]Hist!L71</f>
        <v>0</v>
      </c>
      <c r="I18" s="164">
        <f>[6]Hist!P71</f>
        <v>0</v>
      </c>
      <c r="J18" s="133">
        <f t="shared" si="10"/>
        <v>3950</v>
      </c>
      <c r="K18" s="164">
        <f>[6]Hist!U71</f>
        <v>54</v>
      </c>
      <c r="L18" s="164">
        <f>[6]Hist!V71</f>
        <v>42</v>
      </c>
      <c r="M18" s="133">
        <f t="shared" si="11"/>
        <v>4004</v>
      </c>
      <c r="N18" s="164">
        <f>[6]Hist!AA71</f>
        <v>157</v>
      </c>
      <c r="O18" s="1377">
        <f t="shared" si="12"/>
        <v>3751</v>
      </c>
      <c r="P18" s="132">
        <f>[4]Data!$I215</f>
        <v>928908</v>
      </c>
      <c r="U18" s="133">
        <f t="shared" si="1"/>
        <v>928908</v>
      </c>
      <c r="W18" s="501">
        <f t="shared" si="18"/>
        <v>40310</v>
      </c>
      <c r="X18" s="339">
        <f>[5]Jul!$I13</f>
        <v>89.8</v>
      </c>
      <c r="Y18" s="339">
        <f>[5]Jul!$M13</f>
        <v>91</v>
      </c>
      <c r="AD18" s="123">
        <f t="shared" si="2"/>
        <v>1985</v>
      </c>
      <c r="AE18" s="133">
        <f t="shared" si="3"/>
        <v>3751</v>
      </c>
      <c r="AF18" s="132">
        <f t="shared" si="4"/>
        <v>928908</v>
      </c>
      <c r="AG18" s="140">
        <f t="shared" si="5"/>
        <v>91</v>
      </c>
      <c r="AH18" s="301">
        <v>0</v>
      </c>
      <c r="AI18" s="286">
        <v>0</v>
      </c>
      <c r="AJ18" s="134">
        <f t="shared" si="13"/>
        <v>3786</v>
      </c>
      <c r="AK18" s="134">
        <f t="shared" si="6"/>
        <v>-35</v>
      </c>
      <c r="AL18" s="134"/>
      <c r="AM18" s="134"/>
      <c r="AO18" s="135"/>
      <c r="AP18" s="322">
        <f t="shared" si="14"/>
        <v>368</v>
      </c>
      <c r="AQ18" s="262" t="s">
        <v>177</v>
      </c>
      <c r="AR18" s="263" t="e">
        <v>#N/A</v>
      </c>
      <c r="AS18" s="263" t="e">
        <v>#N/A</v>
      </c>
      <c r="AT18" s="263" t="e">
        <v>#N/A</v>
      </c>
      <c r="AU18" s="263" t="e">
        <v>#N/A</v>
      </c>
      <c r="AV18" s="266"/>
      <c r="AW18"/>
      <c r="AX18"/>
      <c r="BB18" s="123">
        <f t="shared" si="17"/>
        <v>1985</v>
      </c>
      <c r="BC18" s="134">
        <f t="shared" si="7"/>
        <v>3881</v>
      </c>
      <c r="BD18" s="138">
        <f t="shared" si="8"/>
        <v>3751</v>
      </c>
      <c r="BE18" s="138">
        <f t="shared" si="15"/>
        <v>-130</v>
      </c>
      <c r="BF18" s="138">
        <f t="shared" si="9"/>
        <v>3786</v>
      </c>
      <c r="BG18" s="489">
        <f t="shared" si="16"/>
        <v>95</v>
      </c>
    </row>
    <row r="19" spans="1:59">
      <c r="A19" s="123">
        <v>1986</v>
      </c>
      <c r="B19" s="139">
        <v>31624</v>
      </c>
      <c r="C19" s="131">
        <v>17</v>
      </c>
      <c r="D19" s="346" t="str">
        <f t="shared" si="0"/>
        <v>Thu</v>
      </c>
      <c r="E19" s="134">
        <f>[6]Hist!G83</f>
        <v>4565</v>
      </c>
      <c r="F19" s="134">
        <f>[6]Hist!H83</f>
        <v>4219</v>
      </c>
      <c r="G19" s="164">
        <f>SUM([6]Hist!M83:O83)</f>
        <v>0</v>
      </c>
      <c r="H19" s="164">
        <f>[6]Hist!L83</f>
        <v>0</v>
      </c>
      <c r="I19" s="164">
        <f>[6]Hist!P83</f>
        <v>0</v>
      </c>
      <c r="J19" s="133">
        <f t="shared" si="10"/>
        <v>4219</v>
      </c>
      <c r="K19" s="164">
        <f>[6]Hist!U83</f>
        <v>64</v>
      </c>
      <c r="L19" s="164">
        <f>[6]Hist!V83</f>
        <v>51</v>
      </c>
      <c r="M19" s="133">
        <f t="shared" si="11"/>
        <v>4283</v>
      </c>
      <c r="N19" s="164">
        <f>[6]Hist!AA83</f>
        <v>173</v>
      </c>
      <c r="O19" s="1377">
        <f t="shared" si="12"/>
        <v>3995</v>
      </c>
      <c r="P19" s="132">
        <f>[4]Data!$I216</f>
        <v>966093</v>
      </c>
      <c r="U19" s="133">
        <f t="shared" si="1"/>
        <v>966093</v>
      </c>
      <c r="W19" s="501">
        <f t="shared" si="18"/>
        <v>37185</v>
      </c>
      <c r="X19" s="339">
        <f>[5]Jul!$I14</f>
        <v>92.95</v>
      </c>
      <c r="Y19" s="339">
        <f>[5]Jul!$M14</f>
        <v>92.5</v>
      </c>
      <c r="AD19" s="123">
        <f t="shared" si="2"/>
        <v>1986</v>
      </c>
      <c r="AE19" s="133">
        <f t="shared" si="3"/>
        <v>3995</v>
      </c>
      <c r="AF19" s="132">
        <f t="shared" si="4"/>
        <v>966093</v>
      </c>
      <c r="AG19" s="140">
        <f t="shared" si="5"/>
        <v>92.5</v>
      </c>
      <c r="AH19" s="301">
        <v>0</v>
      </c>
      <c r="AI19" s="286">
        <v>0</v>
      </c>
      <c r="AJ19" s="134">
        <f t="shared" si="13"/>
        <v>4194</v>
      </c>
      <c r="AK19" s="134">
        <f t="shared" si="6"/>
        <v>-199</v>
      </c>
      <c r="AL19" s="134"/>
      <c r="AM19" s="134"/>
      <c r="AO19" s="135"/>
      <c r="AP19" s="322">
        <f t="shared" si="14"/>
        <v>244</v>
      </c>
      <c r="AR19" s="1381">
        <f>AR13/AR14</f>
        <v>-9.0342564297280159</v>
      </c>
      <c r="AS19" s="1381">
        <f t="shared" ref="AS19:AU19" si="19">AS13/AS14</f>
        <v>8.4436162193827453</v>
      </c>
      <c r="AT19" s="1381">
        <f t="shared" si="19"/>
        <v>46.082464671567635</v>
      </c>
      <c r="AU19" s="1381">
        <f t="shared" si="19"/>
        <v>-9.2526629700180365</v>
      </c>
      <c r="AV19" s="267"/>
      <c r="AW19"/>
      <c r="AX19"/>
      <c r="BB19" s="123">
        <f t="shared" si="17"/>
        <v>1986</v>
      </c>
      <c r="BC19" s="134">
        <f t="shared" si="7"/>
        <v>4111</v>
      </c>
      <c r="BD19" s="138">
        <f t="shared" si="8"/>
        <v>3995</v>
      </c>
      <c r="BE19" s="138">
        <f t="shared" si="15"/>
        <v>-116</v>
      </c>
      <c r="BF19" s="138">
        <f t="shared" si="9"/>
        <v>4194</v>
      </c>
      <c r="BG19" s="489">
        <f t="shared" si="16"/>
        <v>-83</v>
      </c>
    </row>
    <row r="20" spans="1:59">
      <c r="A20" s="123">
        <v>1987</v>
      </c>
      <c r="B20" s="139">
        <v>31982</v>
      </c>
      <c r="C20" s="131">
        <v>17</v>
      </c>
      <c r="D20" s="346" t="str">
        <f t="shared" si="0"/>
        <v>Fri</v>
      </c>
      <c r="E20" s="134">
        <f>[6]Hist!G95</f>
        <v>4897</v>
      </c>
      <c r="F20" s="134">
        <f>[6]Hist!H95</f>
        <v>4491</v>
      </c>
      <c r="G20" s="164">
        <f>SUM([6]Hist!M95:O95)</f>
        <v>0</v>
      </c>
      <c r="H20" s="164">
        <f>[6]Hist!L95</f>
        <v>0</v>
      </c>
      <c r="I20" s="164">
        <f>[6]Hist!P95</f>
        <v>0</v>
      </c>
      <c r="J20" s="133">
        <f t="shared" si="10"/>
        <v>4491</v>
      </c>
      <c r="K20" s="164">
        <f>[6]Hist!U95</f>
        <v>70</v>
      </c>
      <c r="L20" s="164">
        <f>[6]Hist!V95</f>
        <v>58</v>
      </c>
      <c r="M20" s="133">
        <f t="shared" si="11"/>
        <v>4561</v>
      </c>
      <c r="N20" s="164">
        <f>[6]Hist!AA95</f>
        <v>247</v>
      </c>
      <c r="O20" s="1377">
        <f t="shared" si="12"/>
        <v>4186</v>
      </c>
      <c r="P20" s="132">
        <f>[4]Data!$I217</f>
        <v>1008684</v>
      </c>
      <c r="U20" s="133">
        <f t="shared" si="1"/>
        <v>1008684</v>
      </c>
      <c r="W20" s="501">
        <f t="shared" si="18"/>
        <v>42591</v>
      </c>
      <c r="X20" s="339">
        <f>[5]Jul!$I15</f>
        <v>93.15</v>
      </c>
      <c r="Y20" s="339">
        <f>[5]Jul!$M15</f>
        <v>92.5</v>
      </c>
      <c r="AD20" s="123">
        <f t="shared" si="2"/>
        <v>1987</v>
      </c>
      <c r="AE20" s="133">
        <f t="shared" si="3"/>
        <v>4186</v>
      </c>
      <c r="AF20" s="132">
        <f t="shared" si="4"/>
        <v>1008684</v>
      </c>
      <c r="AG20" s="140">
        <f t="shared" si="5"/>
        <v>92.5</v>
      </c>
      <c r="AH20" s="301">
        <v>0</v>
      </c>
      <c r="AI20" s="286">
        <v>0</v>
      </c>
      <c r="AJ20" s="134">
        <f t="shared" si="13"/>
        <v>4457</v>
      </c>
      <c r="AK20" s="134">
        <f t="shared" si="6"/>
        <v>-271</v>
      </c>
      <c r="AL20" s="134"/>
      <c r="AM20" s="134"/>
      <c r="AO20" s="135"/>
      <c r="AP20" s="322">
        <f t="shared" si="14"/>
        <v>191</v>
      </c>
      <c r="AV20" s="268"/>
      <c r="AW20"/>
      <c r="AX20"/>
      <c r="BB20" s="123">
        <f t="shared" si="17"/>
        <v>1987</v>
      </c>
      <c r="BC20" s="134">
        <f t="shared" si="7"/>
        <v>4373</v>
      </c>
      <c r="BD20" s="138">
        <f t="shared" si="8"/>
        <v>4186</v>
      </c>
      <c r="BE20" s="138">
        <f t="shared" si="15"/>
        <v>-187</v>
      </c>
      <c r="BF20" s="138">
        <f t="shared" si="9"/>
        <v>4457</v>
      </c>
      <c r="BG20" s="489">
        <f t="shared" si="16"/>
        <v>-84</v>
      </c>
    </row>
    <row r="21" spans="1:59">
      <c r="A21" s="123">
        <v>1988</v>
      </c>
      <c r="B21" s="139">
        <v>32336</v>
      </c>
      <c r="C21" s="131">
        <v>18</v>
      </c>
      <c r="D21" s="346" t="str">
        <f t="shared" si="0"/>
        <v>Tue</v>
      </c>
      <c r="E21" s="134">
        <f>[6]Hist!G107</f>
        <v>5309</v>
      </c>
      <c r="F21" s="134">
        <f>[6]Hist!H107</f>
        <v>4588</v>
      </c>
      <c r="G21" s="164">
        <f>SUM([6]Hist!M107:O107)</f>
        <v>0</v>
      </c>
      <c r="H21" s="164">
        <f>[6]Hist!L107</f>
        <v>0</v>
      </c>
      <c r="I21" s="164">
        <f>[6]Hist!P107</f>
        <v>0</v>
      </c>
      <c r="J21" s="133">
        <f t="shared" si="10"/>
        <v>4588</v>
      </c>
      <c r="K21" s="164">
        <f>[6]Hist!U107</f>
        <v>75</v>
      </c>
      <c r="L21" s="164">
        <f>[6]Hist!V107</f>
        <v>61</v>
      </c>
      <c r="M21" s="133">
        <f t="shared" si="11"/>
        <v>4663</v>
      </c>
      <c r="N21" s="164">
        <f>[6]Hist!AA107</f>
        <v>199</v>
      </c>
      <c r="O21" s="1377">
        <f t="shared" si="12"/>
        <v>4328</v>
      </c>
      <c r="P21" s="132">
        <f>[4]Data!$I218</f>
        <v>1046093</v>
      </c>
      <c r="U21" s="133">
        <f t="shared" si="1"/>
        <v>1046093</v>
      </c>
      <c r="W21" s="501">
        <f t="shared" si="18"/>
        <v>37409</v>
      </c>
      <c r="X21" s="339">
        <f>[5]Jul!$I16</f>
        <v>90.75</v>
      </c>
      <c r="Y21" s="339">
        <f>[5]Jul!$M16</f>
        <v>92.3</v>
      </c>
      <c r="AD21" s="123">
        <f t="shared" si="2"/>
        <v>1988</v>
      </c>
      <c r="AE21" s="133">
        <f t="shared" si="3"/>
        <v>4328</v>
      </c>
      <c r="AF21" s="132">
        <f t="shared" si="4"/>
        <v>1046093</v>
      </c>
      <c r="AG21" s="140">
        <f t="shared" si="5"/>
        <v>92.3</v>
      </c>
      <c r="AH21" s="301">
        <v>0</v>
      </c>
      <c r="AI21" s="286">
        <v>0</v>
      </c>
      <c r="AJ21" s="134">
        <f t="shared" si="13"/>
        <v>4664</v>
      </c>
      <c r="AK21" s="134">
        <f t="shared" si="6"/>
        <v>-336</v>
      </c>
      <c r="AL21" s="134"/>
      <c r="AM21" s="134"/>
      <c r="AO21" s="135"/>
      <c r="AP21" s="322">
        <f t="shared" si="14"/>
        <v>142</v>
      </c>
      <c r="AV21" s="269"/>
      <c r="AW21"/>
      <c r="AX21"/>
      <c r="BB21" s="123">
        <f t="shared" si="17"/>
        <v>1988</v>
      </c>
      <c r="BC21" s="134">
        <f t="shared" si="7"/>
        <v>4604</v>
      </c>
      <c r="BD21" s="138">
        <f t="shared" si="8"/>
        <v>4328</v>
      </c>
      <c r="BE21" s="138">
        <f t="shared" si="15"/>
        <v>-276</v>
      </c>
      <c r="BF21" s="138">
        <f t="shared" si="9"/>
        <v>4664</v>
      </c>
      <c r="BG21" s="489">
        <f t="shared" si="16"/>
        <v>-60</v>
      </c>
    </row>
    <row r="22" spans="1:59">
      <c r="A22" s="123">
        <v>1989</v>
      </c>
      <c r="B22" s="139">
        <v>32699</v>
      </c>
      <c r="C22" s="131">
        <v>19</v>
      </c>
      <c r="D22" s="346" t="str">
        <f t="shared" si="0"/>
        <v>Mon</v>
      </c>
      <c r="E22" s="134">
        <f>[6]Hist!G119</f>
        <v>5592</v>
      </c>
      <c r="F22" s="134">
        <f>[6]Hist!H119</f>
        <v>5070</v>
      </c>
      <c r="G22" s="164">
        <f>SUM([6]Hist!M119:O119)</f>
        <v>61</v>
      </c>
      <c r="H22" s="164">
        <f>[6]Hist!L119</f>
        <v>0</v>
      </c>
      <c r="I22" s="164">
        <f>[6]Hist!P119</f>
        <v>0</v>
      </c>
      <c r="J22" s="133">
        <f t="shared" si="10"/>
        <v>5131</v>
      </c>
      <c r="K22" s="164">
        <f>[6]Hist!U119</f>
        <v>80</v>
      </c>
      <c r="L22" s="164">
        <f>[6]Hist!V119</f>
        <v>66</v>
      </c>
      <c r="M22" s="133">
        <f t="shared" si="11"/>
        <v>5211</v>
      </c>
      <c r="N22" s="164">
        <f>[6]Hist!AA119</f>
        <v>262</v>
      </c>
      <c r="O22" s="1377">
        <f t="shared" si="12"/>
        <v>4803</v>
      </c>
      <c r="P22" s="132">
        <f>[4]Data!$I219</f>
        <v>1087447</v>
      </c>
      <c r="U22" s="133">
        <f t="shared" si="1"/>
        <v>1087447</v>
      </c>
      <c r="W22" s="501">
        <f t="shared" si="18"/>
        <v>41354</v>
      </c>
      <c r="X22" s="339">
        <f>[5]Jul!$I17</f>
        <v>92.05</v>
      </c>
      <c r="Y22" s="339">
        <f>[5]Jul!$M17</f>
        <v>93</v>
      </c>
      <c r="AD22" s="123">
        <f t="shared" si="2"/>
        <v>1989</v>
      </c>
      <c r="AE22" s="133">
        <f t="shared" si="3"/>
        <v>4803</v>
      </c>
      <c r="AF22" s="132">
        <f t="shared" si="4"/>
        <v>1087447</v>
      </c>
      <c r="AG22" s="140">
        <f t="shared" si="5"/>
        <v>93</v>
      </c>
      <c r="AH22" s="301">
        <v>0</v>
      </c>
      <c r="AI22" s="286">
        <v>0</v>
      </c>
      <c r="AJ22" s="134">
        <f t="shared" si="13"/>
        <v>5003</v>
      </c>
      <c r="AK22" s="134">
        <f t="shared" si="6"/>
        <v>-200</v>
      </c>
      <c r="AL22" s="134"/>
      <c r="AM22" s="134"/>
      <c r="AO22" s="129"/>
      <c r="AP22" s="322">
        <f t="shared" si="14"/>
        <v>475</v>
      </c>
      <c r="AV22" s="269"/>
      <c r="AW22"/>
      <c r="AX22"/>
      <c r="BB22" s="123">
        <f t="shared" si="17"/>
        <v>1989</v>
      </c>
      <c r="BC22" s="134">
        <f t="shared" si="7"/>
        <v>4860</v>
      </c>
      <c r="BD22" s="138">
        <f t="shared" si="8"/>
        <v>4803</v>
      </c>
      <c r="BE22" s="138">
        <f t="shared" si="15"/>
        <v>-57</v>
      </c>
      <c r="BF22" s="138">
        <f t="shared" si="9"/>
        <v>5003</v>
      </c>
      <c r="BG22" s="489">
        <f t="shared" si="16"/>
        <v>-143</v>
      </c>
    </row>
    <row r="23" spans="1:59">
      <c r="A23" s="123">
        <v>1990</v>
      </c>
      <c r="B23" s="139">
        <v>33085</v>
      </c>
      <c r="C23" s="131">
        <v>17</v>
      </c>
      <c r="D23" s="346" t="str">
        <f t="shared" si="0"/>
        <v>Tue</v>
      </c>
      <c r="E23" s="133">
        <f>[7]MoCoinMW!F11</f>
        <v>5790</v>
      </c>
      <c r="F23" s="133">
        <f>[7]MoCoinMW!G11</f>
        <v>5153.6006045808626</v>
      </c>
      <c r="G23" s="164">
        <f>SUM([6]Hist!M131:O131)</f>
        <v>0</v>
      </c>
      <c r="H23" s="164">
        <f>[6]Hist!L131</f>
        <v>0</v>
      </c>
      <c r="I23" s="164">
        <f>[6]Hist!P131</f>
        <v>0</v>
      </c>
      <c r="J23" s="133">
        <f t="shared" si="10"/>
        <v>5153.6006045808626</v>
      </c>
      <c r="K23" s="164">
        <f>[6]Hist!U131</f>
        <v>84</v>
      </c>
      <c r="L23" s="164">
        <f>[6]Hist!V131</f>
        <v>66</v>
      </c>
      <c r="M23" s="133">
        <f t="shared" si="11"/>
        <v>5237.6006045808626</v>
      </c>
      <c r="N23" s="164">
        <f>[6]Hist!AA131</f>
        <v>249</v>
      </c>
      <c r="O23" s="1377">
        <f t="shared" si="12"/>
        <v>4838.6006045808626</v>
      </c>
      <c r="P23" s="132">
        <f>[4]Data!$I220</f>
        <v>1120959</v>
      </c>
      <c r="U23" s="133">
        <f t="shared" si="1"/>
        <v>1120959</v>
      </c>
      <c r="W23" s="501">
        <f t="shared" si="18"/>
        <v>33512</v>
      </c>
      <c r="X23" s="339">
        <f>[5]Jul!$I18</f>
        <v>91.4</v>
      </c>
      <c r="Y23" s="339">
        <f>[5]Jul!$M18</f>
        <v>92.2</v>
      </c>
      <c r="AD23" s="123">
        <f t="shared" si="2"/>
        <v>1990</v>
      </c>
      <c r="AE23" s="133">
        <f t="shared" si="3"/>
        <v>4838.6006045808626</v>
      </c>
      <c r="AF23" s="132">
        <f t="shared" si="4"/>
        <v>1120959</v>
      </c>
      <c r="AG23" s="140">
        <f t="shared" si="5"/>
        <v>92.2</v>
      </c>
      <c r="AH23" s="301">
        <v>1</v>
      </c>
      <c r="AI23" s="286">
        <v>0</v>
      </c>
      <c r="AJ23" s="134">
        <f t="shared" si="13"/>
        <v>4647</v>
      </c>
      <c r="AK23" s="134">
        <f t="shared" si="6"/>
        <v>191.60060458086264</v>
      </c>
      <c r="AL23" s="134"/>
      <c r="AM23" s="134"/>
      <c r="AO23" s="129"/>
      <c r="AP23" s="322">
        <f t="shared" si="14"/>
        <v>35.600604580862637</v>
      </c>
      <c r="AV23" s="269"/>
      <c r="AW23"/>
      <c r="AX23"/>
      <c r="BB23" s="123">
        <f t="shared" si="17"/>
        <v>1990</v>
      </c>
      <c r="BC23" s="134">
        <f t="shared" si="7"/>
        <v>4599</v>
      </c>
      <c r="BD23" s="138">
        <f t="shared" si="8"/>
        <v>4838.6006045808626</v>
      </c>
      <c r="BE23" s="138">
        <f t="shared" si="15"/>
        <v>239.60060458086264</v>
      </c>
      <c r="BF23" s="138">
        <f t="shared" si="9"/>
        <v>4647</v>
      </c>
      <c r="BG23" s="489">
        <f t="shared" si="16"/>
        <v>-48</v>
      </c>
    </row>
    <row r="24" spans="1:59">
      <c r="A24" s="123">
        <v>1991</v>
      </c>
      <c r="B24" s="139">
        <v>33441</v>
      </c>
      <c r="C24" s="131">
        <v>18</v>
      </c>
      <c r="D24" s="346" t="str">
        <f t="shared" si="0"/>
        <v>Mon</v>
      </c>
      <c r="E24" s="133">
        <f>[7]MoCoinMW!F23</f>
        <v>5903</v>
      </c>
      <c r="F24" s="133">
        <f>[7]MoCoinMW!G23</f>
        <v>5225.5638646668995</v>
      </c>
      <c r="G24" s="164">
        <f>SUM([6]Hist!M143:O143)</f>
        <v>0</v>
      </c>
      <c r="H24" s="164">
        <f>[6]Hist!L143</f>
        <v>0</v>
      </c>
      <c r="I24" s="164">
        <f>[6]Hist!P143</f>
        <v>0</v>
      </c>
      <c r="J24" s="133">
        <f t="shared" si="10"/>
        <v>5225.5638646668995</v>
      </c>
      <c r="K24" s="164">
        <f>[6]Hist!U143</f>
        <v>88</v>
      </c>
      <c r="L24" s="164">
        <f>[6]Hist!V143</f>
        <v>65.5</v>
      </c>
      <c r="M24" s="133">
        <f t="shared" si="11"/>
        <v>5313.5638646668995</v>
      </c>
      <c r="N24" s="164">
        <f>[6]Hist!AA143</f>
        <v>177</v>
      </c>
      <c r="O24" s="1377">
        <f t="shared" si="12"/>
        <v>4983.0638646668995</v>
      </c>
      <c r="P24" s="132">
        <f>[4]Data!$I221</f>
        <v>1143341</v>
      </c>
      <c r="U24" s="133">
        <f t="shared" si="1"/>
        <v>1143341</v>
      </c>
      <c r="W24" s="501">
        <f t="shared" si="18"/>
        <v>22382</v>
      </c>
      <c r="X24" s="339">
        <f>[5]Jul!$I19</f>
        <v>91.05</v>
      </c>
      <c r="Y24" s="339">
        <f>[5]Jul!$M19</f>
        <v>92.2</v>
      </c>
      <c r="AD24" s="123">
        <f t="shared" si="2"/>
        <v>1991</v>
      </c>
      <c r="AE24" s="133">
        <f t="shared" si="3"/>
        <v>4983.0638646668995</v>
      </c>
      <c r="AF24" s="132">
        <f t="shared" si="4"/>
        <v>1143341</v>
      </c>
      <c r="AG24" s="140">
        <f t="shared" si="5"/>
        <v>92.2</v>
      </c>
      <c r="AH24" s="301">
        <v>1</v>
      </c>
      <c r="AI24" s="286">
        <v>0</v>
      </c>
      <c r="AJ24" s="134">
        <f t="shared" si="13"/>
        <v>4785</v>
      </c>
      <c r="AK24" s="301">
        <f t="shared" si="6"/>
        <v>198.06386466689946</v>
      </c>
      <c r="AL24" s="134"/>
      <c r="AM24" s="301"/>
      <c r="AO24" s="142"/>
      <c r="AP24" s="322">
        <f t="shared" si="14"/>
        <v>144.46326008603683</v>
      </c>
      <c r="AV24" s="270"/>
      <c r="AW24" s="28"/>
      <c r="AX24" s="28"/>
      <c r="BB24" s="123">
        <f t="shared" si="17"/>
        <v>1991</v>
      </c>
      <c r="BC24" s="134">
        <f t="shared" si="7"/>
        <v>4737</v>
      </c>
      <c r="BD24" s="138">
        <f t="shared" si="8"/>
        <v>4983.0638646668995</v>
      </c>
      <c r="BE24" s="138">
        <f t="shared" si="15"/>
        <v>246.06386466689946</v>
      </c>
      <c r="BF24" s="138">
        <f t="shared" si="9"/>
        <v>4785</v>
      </c>
      <c r="BG24" s="489">
        <f t="shared" si="16"/>
        <v>-48</v>
      </c>
    </row>
    <row r="25" spans="1:59">
      <c r="A25" s="123">
        <v>1992</v>
      </c>
      <c r="B25" s="139">
        <v>33792</v>
      </c>
      <c r="C25" s="131">
        <v>17</v>
      </c>
      <c r="D25" s="346" t="str">
        <f t="shared" si="0"/>
        <v>Tue</v>
      </c>
      <c r="E25" s="133">
        <f>[7]MoCoinMW!F35</f>
        <v>6357</v>
      </c>
      <c r="F25" s="133">
        <f>[7]MoCoinMW!G35</f>
        <v>5543.7002760720306</v>
      </c>
      <c r="G25" s="164">
        <f>SUM([6]Hist!M155:O155)</f>
        <v>0</v>
      </c>
      <c r="H25" s="164">
        <f>[6]Hist!L155</f>
        <v>0</v>
      </c>
      <c r="I25" s="164">
        <f>[6]Hist!P155</f>
        <v>0</v>
      </c>
      <c r="J25" s="133">
        <f t="shared" si="10"/>
        <v>5543.7002760720306</v>
      </c>
      <c r="K25" s="164">
        <f>[6]Hist!U155</f>
        <v>97</v>
      </c>
      <c r="L25" s="164">
        <f>[6]Hist!V155</f>
        <v>65.5</v>
      </c>
      <c r="M25" s="133">
        <f t="shared" si="11"/>
        <v>5640.7002760720306</v>
      </c>
      <c r="N25" s="164">
        <f>[6]Hist!AA155</f>
        <v>150</v>
      </c>
      <c r="O25" s="1377">
        <f t="shared" si="12"/>
        <v>5328.2002760720306</v>
      </c>
      <c r="P25" s="132">
        <f>[4]Data!$I222</f>
        <v>1166211</v>
      </c>
      <c r="U25" s="133">
        <f t="shared" si="1"/>
        <v>1166211</v>
      </c>
      <c r="W25" s="501">
        <f t="shared" si="18"/>
        <v>22870</v>
      </c>
      <c r="X25" s="339">
        <f>[5]Jul!$I20</f>
        <v>88.3</v>
      </c>
      <c r="Y25" s="339">
        <f>[5]Jul!$M20</f>
        <v>91.7</v>
      </c>
      <c r="AD25" s="123">
        <f t="shared" si="2"/>
        <v>1992</v>
      </c>
      <c r="AE25" s="133">
        <f t="shared" si="3"/>
        <v>5328.2002760720306</v>
      </c>
      <c r="AF25" s="132">
        <f t="shared" si="4"/>
        <v>1166211</v>
      </c>
      <c r="AG25" s="140">
        <f t="shared" si="5"/>
        <v>91.7</v>
      </c>
      <c r="AH25" s="301">
        <v>0</v>
      </c>
      <c r="AI25" s="286">
        <v>1</v>
      </c>
      <c r="AJ25" s="134">
        <f t="shared" si="13"/>
        <v>5334</v>
      </c>
      <c r="AK25" s="134">
        <f t="shared" si="6"/>
        <v>-5.7997239279693531</v>
      </c>
      <c r="AL25" s="134"/>
      <c r="AM25" s="301"/>
      <c r="AO25" s="135"/>
      <c r="AP25" s="322">
        <f t="shared" si="14"/>
        <v>345.13641140513118</v>
      </c>
      <c r="AQ25" s="1"/>
      <c r="AR25" s="1"/>
      <c r="AS25" s="1"/>
      <c r="AT25" s="1"/>
      <c r="AU25" s="1"/>
      <c r="AV25" s="28"/>
      <c r="AW25" s="28"/>
      <c r="AX25" s="28"/>
      <c r="BB25" s="123">
        <f t="shared" si="17"/>
        <v>1992</v>
      </c>
      <c r="BC25" s="134">
        <f t="shared" si="7"/>
        <v>5346</v>
      </c>
      <c r="BD25" s="138">
        <f t="shared" si="8"/>
        <v>5328.2002760720306</v>
      </c>
      <c r="BE25" s="138">
        <f t="shared" si="15"/>
        <v>-17.799723927969353</v>
      </c>
      <c r="BF25" s="138">
        <f t="shared" si="9"/>
        <v>5334</v>
      </c>
      <c r="BG25" s="489">
        <f t="shared" si="16"/>
        <v>12</v>
      </c>
    </row>
    <row r="26" spans="1:59">
      <c r="A26" s="123">
        <v>1993</v>
      </c>
      <c r="B26" s="139">
        <v>34178</v>
      </c>
      <c r="C26" s="131">
        <v>18</v>
      </c>
      <c r="D26" s="346" t="str">
        <f t="shared" si="0"/>
        <v>Wed</v>
      </c>
      <c r="E26" s="133">
        <f>[7]MoCoinMW!F47</f>
        <v>6545</v>
      </c>
      <c r="F26" s="133">
        <f>[7]MoCoinMW!G47</f>
        <v>5673.1350958079447</v>
      </c>
      <c r="G26" s="164">
        <f>SUM([6]Hist!M167:O167)</f>
        <v>0</v>
      </c>
      <c r="H26" s="164">
        <f>[6]Hist!L167</f>
        <v>0</v>
      </c>
      <c r="I26" s="164">
        <f>[6]Hist!P167</f>
        <v>0</v>
      </c>
      <c r="J26" s="133">
        <f t="shared" si="10"/>
        <v>5673.1350958079447</v>
      </c>
      <c r="K26" s="164">
        <f>[6]Hist!U167</f>
        <v>115</v>
      </c>
      <c r="L26" s="164">
        <f>[6]Hist!V167</f>
        <v>65.5</v>
      </c>
      <c r="M26" s="133">
        <f t="shared" si="11"/>
        <v>5788.1350958079447</v>
      </c>
      <c r="N26" s="164">
        <f>[6]Hist!AA167</f>
        <v>269</v>
      </c>
      <c r="O26" s="1377">
        <f t="shared" si="12"/>
        <v>5338.6350958079447</v>
      </c>
      <c r="P26" s="132">
        <f>[4]Data!$I223</f>
        <v>1200502</v>
      </c>
      <c r="U26" s="133">
        <f t="shared" si="1"/>
        <v>1200502</v>
      </c>
      <c r="W26" s="501">
        <f t="shared" si="18"/>
        <v>34291</v>
      </c>
      <c r="X26" s="339">
        <f>[5]Jul!$I21</f>
        <v>91.35</v>
      </c>
      <c r="Y26" s="339">
        <f>[5]Jul!$M21</f>
        <v>92.3</v>
      </c>
      <c r="AD26" s="123">
        <f t="shared" si="2"/>
        <v>1993</v>
      </c>
      <c r="AE26" s="133">
        <f t="shared" si="3"/>
        <v>5338.6350958079447</v>
      </c>
      <c r="AF26" s="132">
        <f t="shared" si="4"/>
        <v>1200502</v>
      </c>
      <c r="AG26" s="140">
        <f t="shared" si="5"/>
        <v>92.3</v>
      </c>
      <c r="AH26" s="301">
        <v>1</v>
      </c>
      <c r="AI26" s="286">
        <v>0</v>
      </c>
      <c r="AJ26" s="134">
        <f t="shared" si="13"/>
        <v>5149</v>
      </c>
      <c r="AK26" s="134">
        <f t="shared" si="6"/>
        <v>189.63509580794471</v>
      </c>
      <c r="AL26" s="134"/>
      <c r="AM26" s="134"/>
      <c r="AO26" s="135"/>
      <c r="AP26" s="322">
        <f t="shared" si="14"/>
        <v>10.434819735914061</v>
      </c>
      <c r="AQ26" s="271"/>
      <c r="AR26" s="271"/>
      <c r="AS26" s="266"/>
      <c r="AT26" s="266"/>
      <c r="AU26" s="266"/>
      <c r="AV26" s="28"/>
      <c r="AW26" s="28"/>
      <c r="AX26" s="28"/>
      <c r="BB26" s="123">
        <f t="shared" si="17"/>
        <v>1993</v>
      </c>
      <c r="BC26" s="134">
        <f t="shared" si="7"/>
        <v>5090</v>
      </c>
      <c r="BD26" s="138">
        <f t="shared" si="8"/>
        <v>5338.6350958079447</v>
      </c>
      <c r="BE26" s="138">
        <f t="shared" si="15"/>
        <v>248.63509580794471</v>
      </c>
      <c r="BF26" s="138">
        <f t="shared" si="9"/>
        <v>5149</v>
      </c>
      <c r="BG26" s="489">
        <f t="shared" si="16"/>
        <v>-59</v>
      </c>
    </row>
    <row r="27" spans="1:59">
      <c r="A27" s="123">
        <v>1994</v>
      </c>
      <c r="B27" s="139">
        <v>34526</v>
      </c>
      <c r="C27" s="131">
        <v>17</v>
      </c>
      <c r="D27" s="346" t="str">
        <f t="shared" si="0"/>
        <v>Mon</v>
      </c>
      <c r="E27" s="133">
        <f>[7]MoCoinMW!F59</f>
        <v>6495</v>
      </c>
      <c r="F27" s="133">
        <f>[7]MoCoinMW!G59</f>
        <v>5752.5662611870257</v>
      </c>
      <c r="G27" s="164">
        <f>SUM([6]Hist!M179:O179)</f>
        <v>0</v>
      </c>
      <c r="H27" s="164">
        <f>[6]Hist!L179</f>
        <v>0</v>
      </c>
      <c r="I27" s="164">
        <f>[6]Hist!P179</f>
        <v>0</v>
      </c>
      <c r="J27" s="133">
        <f t="shared" si="10"/>
        <v>5752.5662611870257</v>
      </c>
      <c r="K27" s="164">
        <f>[6]Hist!U179</f>
        <v>136</v>
      </c>
      <c r="L27" s="164">
        <f>[6]Hist!V179</f>
        <v>65.5</v>
      </c>
      <c r="M27" s="133">
        <f t="shared" si="11"/>
        <v>5888.5662611870257</v>
      </c>
      <c r="N27" s="164">
        <f>[6]Hist!AA179</f>
        <v>254</v>
      </c>
      <c r="O27" s="1377">
        <f t="shared" si="12"/>
        <v>5433.0662611870257</v>
      </c>
      <c r="P27" s="132">
        <f>[4]Data!$I224</f>
        <v>1226458</v>
      </c>
      <c r="U27" s="133">
        <f t="shared" si="1"/>
        <v>1226458</v>
      </c>
      <c r="W27" s="501">
        <f t="shared" si="18"/>
        <v>25956</v>
      </c>
      <c r="X27" s="339">
        <f>[5]Jul!$I22</f>
        <v>89.95</v>
      </c>
      <c r="Y27" s="339">
        <f>[5]Jul!$M22</f>
        <v>90.4</v>
      </c>
      <c r="AC27" s="655"/>
      <c r="AD27" s="123">
        <f t="shared" si="2"/>
        <v>1994</v>
      </c>
      <c r="AE27" s="133">
        <f t="shared" si="3"/>
        <v>5433.0662611870257</v>
      </c>
      <c r="AF27" s="132">
        <f t="shared" si="4"/>
        <v>1226458</v>
      </c>
      <c r="AG27" s="140">
        <f t="shared" si="5"/>
        <v>90.4</v>
      </c>
      <c r="AH27" s="301">
        <v>0</v>
      </c>
      <c r="AI27" s="286">
        <v>0</v>
      </c>
      <c r="AJ27" s="134">
        <f t="shared" si="13"/>
        <v>5551</v>
      </c>
      <c r="AK27" s="134">
        <f t="shared" si="6"/>
        <v>-117.9337388129743</v>
      </c>
      <c r="AL27" s="134"/>
      <c r="AM27" s="134"/>
      <c r="AO27" s="135"/>
      <c r="AP27" s="322">
        <f t="shared" si="14"/>
        <v>94.431165379080994</v>
      </c>
      <c r="AQ27" s="272"/>
      <c r="AR27" s="273"/>
      <c r="AS27" s="274"/>
      <c r="AT27" s="273"/>
      <c r="AU27" s="267"/>
      <c r="AV27" s="28"/>
      <c r="AW27" s="28"/>
      <c r="AX27" s="28"/>
      <c r="BB27" s="123">
        <f t="shared" si="17"/>
        <v>1994</v>
      </c>
      <c r="BC27" s="134">
        <f t="shared" si="7"/>
        <v>5718</v>
      </c>
      <c r="BD27" s="138">
        <f t="shared" si="8"/>
        <v>5433.0662611870257</v>
      </c>
      <c r="BE27" s="138">
        <f t="shared" si="15"/>
        <v>-284.9337388129743</v>
      </c>
      <c r="BF27" s="138">
        <f t="shared" si="9"/>
        <v>5551</v>
      </c>
      <c r="BG27" s="489">
        <f t="shared" si="16"/>
        <v>167</v>
      </c>
    </row>
    <row r="28" spans="1:59">
      <c r="A28" s="123">
        <v>1995</v>
      </c>
      <c r="B28" s="139">
        <v>34885</v>
      </c>
      <c r="C28" s="131">
        <v>16</v>
      </c>
      <c r="D28" s="346" t="str">
        <f t="shared" si="0"/>
        <v>Wed</v>
      </c>
      <c r="E28" s="133">
        <f>[7]MoCoinMW!F71</f>
        <v>6840</v>
      </c>
      <c r="F28" s="133">
        <f>[7]MoCoinMW!G71</f>
        <v>6056.6609359125141</v>
      </c>
      <c r="G28" s="164">
        <f>SUM([6]Hist!M191:O191)</f>
        <v>0</v>
      </c>
      <c r="H28" s="164">
        <f>[6]Hist!L191</f>
        <v>0</v>
      </c>
      <c r="I28" s="164">
        <f>[6]Hist!P191</f>
        <v>0</v>
      </c>
      <c r="J28" s="133">
        <f t="shared" si="10"/>
        <v>6056.6609359125141</v>
      </c>
      <c r="K28" s="164">
        <f>[6]Hist!U191</f>
        <v>161</v>
      </c>
      <c r="L28" s="164">
        <f>[6]Hist!V191</f>
        <v>65.5</v>
      </c>
      <c r="M28" s="133">
        <f t="shared" si="11"/>
        <v>6217.6609359125141</v>
      </c>
      <c r="N28" s="164">
        <f>[6]Hist!AA191</f>
        <v>239</v>
      </c>
      <c r="O28" s="1377">
        <f t="shared" si="12"/>
        <v>5752.1609359125141</v>
      </c>
      <c r="P28" s="814">
        <f>'[12]1996'!$K$110-[4]Data!$G$225</f>
        <v>1250668</v>
      </c>
      <c r="U28" s="133">
        <f t="shared" si="1"/>
        <v>1250668</v>
      </c>
      <c r="W28" s="501">
        <f t="shared" si="18"/>
        <v>24210</v>
      </c>
      <c r="X28" s="339">
        <f>[5]Jul!$I23</f>
        <v>93.5</v>
      </c>
      <c r="Y28" s="339">
        <f>[5]Jul!$M23</f>
        <v>91.5</v>
      </c>
      <c r="AC28" s="655"/>
      <c r="AD28" s="123">
        <f t="shared" si="2"/>
        <v>1995</v>
      </c>
      <c r="AE28" s="133">
        <f t="shared" si="3"/>
        <v>5752.1609359125141</v>
      </c>
      <c r="AF28" s="132">
        <f t="shared" si="4"/>
        <v>1250668</v>
      </c>
      <c r="AG28" s="140">
        <f t="shared" si="5"/>
        <v>91.5</v>
      </c>
      <c r="AH28" s="301">
        <v>0</v>
      </c>
      <c r="AI28" s="286">
        <v>0</v>
      </c>
      <c r="AJ28" s="134">
        <f t="shared" si="13"/>
        <v>5831</v>
      </c>
      <c r="AK28" s="134">
        <f t="shared" si="6"/>
        <v>-78.839064087485895</v>
      </c>
      <c r="AL28" s="134"/>
      <c r="AM28" s="134"/>
      <c r="AO28" s="129"/>
      <c r="AP28" s="322">
        <f t="shared" si="14"/>
        <v>319.0946747254884</v>
      </c>
      <c r="AQ28" s="275"/>
      <c r="AR28" s="268"/>
      <c r="AS28" s="276"/>
      <c r="AT28" s="268"/>
      <c r="AU28" s="268"/>
      <c r="AV28" s="28"/>
      <c r="AW28" s="28"/>
      <c r="AX28" s="28"/>
      <c r="BB28" s="123">
        <f t="shared" si="17"/>
        <v>1995</v>
      </c>
      <c r="BC28" s="134">
        <f t="shared" si="7"/>
        <v>5867</v>
      </c>
      <c r="BD28" s="138">
        <f t="shared" si="8"/>
        <v>5752.1609359125141</v>
      </c>
      <c r="BE28" s="138">
        <f t="shared" si="15"/>
        <v>-114.83906408748589</v>
      </c>
      <c r="BF28" s="138">
        <f t="shared" si="9"/>
        <v>5831</v>
      </c>
      <c r="BG28" s="489">
        <f t="shared" si="16"/>
        <v>36</v>
      </c>
    </row>
    <row r="29" spans="1:59">
      <c r="A29" s="123">
        <v>1996</v>
      </c>
      <c r="B29" s="139">
        <v>35268</v>
      </c>
      <c r="C29" s="131">
        <v>18</v>
      </c>
      <c r="D29" s="346" t="str">
        <f t="shared" si="0"/>
        <v>Mon</v>
      </c>
      <c r="E29" s="133">
        <f>[7]MoCoinMW!F83</f>
        <v>7164</v>
      </c>
      <c r="F29" s="133">
        <f>[7]MoCoinMW!G83</f>
        <v>6340.284863026438</v>
      </c>
      <c r="G29" s="164">
        <f>SUM([6]Hist!M203:O203)</f>
        <v>45</v>
      </c>
      <c r="H29" s="164">
        <f>[6]Hist!L203</f>
        <v>0</v>
      </c>
      <c r="I29" s="164">
        <f>[6]Hist!P203</f>
        <v>0</v>
      </c>
      <c r="J29" s="133">
        <f t="shared" si="10"/>
        <v>6385.284863026438</v>
      </c>
      <c r="K29" s="164">
        <f>[6]Hist!U203</f>
        <v>189</v>
      </c>
      <c r="L29" s="164">
        <f>[6]Hist!V203</f>
        <v>71.5</v>
      </c>
      <c r="M29" s="133">
        <f t="shared" si="11"/>
        <v>6574.284863026438</v>
      </c>
      <c r="N29" s="164">
        <f>[6]Hist!AA203</f>
        <v>309</v>
      </c>
      <c r="O29" s="1377">
        <f t="shared" si="12"/>
        <v>6004.784863026438</v>
      </c>
      <c r="P29" s="814">
        <f>[8]FCST!$BI3</f>
        <v>1276550</v>
      </c>
      <c r="R29" s="677" t="s">
        <v>336</v>
      </c>
      <c r="U29" s="133">
        <f t="shared" si="1"/>
        <v>1276550</v>
      </c>
      <c r="W29" s="501">
        <f t="shared" si="18"/>
        <v>25882</v>
      </c>
      <c r="X29" s="339">
        <f>[5]Jul!$I24</f>
        <v>90.8</v>
      </c>
      <c r="Y29" s="339">
        <f>[5]Jul!$M24</f>
        <v>91.5</v>
      </c>
      <c r="AC29" s="655"/>
      <c r="AD29" s="123">
        <f t="shared" si="2"/>
        <v>1996</v>
      </c>
      <c r="AE29" s="133">
        <f t="shared" si="3"/>
        <v>6004.784863026438</v>
      </c>
      <c r="AF29" s="132">
        <f t="shared" si="4"/>
        <v>1276550</v>
      </c>
      <c r="AG29" s="140">
        <f t="shared" si="5"/>
        <v>91.5</v>
      </c>
      <c r="AH29" s="301">
        <v>0</v>
      </c>
      <c r="AI29" s="286">
        <v>0</v>
      </c>
      <c r="AJ29" s="134">
        <f t="shared" si="13"/>
        <v>5991</v>
      </c>
      <c r="AK29" s="134">
        <f t="shared" si="6"/>
        <v>13.784863026437961</v>
      </c>
      <c r="AL29" s="134"/>
      <c r="AM29" s="134"/>
      <c r="AO29" s="142"/>
      <c r="AP29" s="322">
        <f t="shared" si="14"/>
        <v>252.62392711392386</v>
      </c>
      <c r="AQ29" s="277"/>
      <c r="AR29" s="278"/>
      <c r="AS29" s="269"/>
      <c r="AT29" s="269"/>
      <c r="AU29" s="269"/>
      <c r="AV29" s="45"/>
      <c r="AW29" s="45"/>
      <c r="AX29" s="45"/>
      <c r="BB29" s="123">
        <f t="shared" si="17"/>
        <v>1996</v>
      </c>
      <c r="BC29" s="134">
        <f t="shared" si="7"/>
        <v>6027</v>
      </c>
      <c r="BD29" s="138">
        <f t="shared" si="8"/>
        <v>6004.784863026438</v>
      </c>
      <c r="BE29" s="138">
        <f t="shared" si="15"/>
        <v>-22.215136973562039</v>
      </c>
      <c r="BF29" s="138">
        <f t="shared" si="9"/>
        <v>5991</v>
      </c>
      <c r="BG29" s="489">
        <f t="shared" si="16"/>
        <v>36</v>
      </c>
    </row>
    <row r="30" spans="1:59">
      <c r="A30" s="123">
        <v>1997</v>
      </c>
      <c r="B30" s="139">
        <v>35614</v>
      </c>
      <c r="C30" s="131">
        <v>17</v>
      </c>
      <c r="D30" s="346" t="str">
        <f t="shared" si="0"/>
        <v>Thu</v>
      </c>
      <c r="E30" s="133">
        <f>[7]MoCoinMW!F95</f>
        <v>7462</v>
      </c>
      <c r="F30" s="133">
        <f>[7]MoCoinMW!G95</f>
        <v>6590.0019459473278</v>
      </c>
      <c r="G30" s="164">
        <f>SUM([6]Hist!M215:O215)</f>
        <v>44</v>
      </c>
      <c r="H30" s="164">
        <f>[6]Hist!L215</f>
        <v>0</v>
      </c>
      <c r="I30" s="164">
        <f>[6]Hist!P215</f>
        <v>0</v>
      </c>
      <c r="J30" s="133">
        <f t="shared" si="10"/>
        <v>6634.0019459473278</v>
      </c>
      <c r="K30" s="164">
        <f>[6]Hist!U215</f>
        <v>208.5</v>
      </c>
      <c r="L30" s="164">
        <f>[6]Hist!V215</f>
        <v>71.5</v>
      </c>
      <c r="M30" s="133">
        <f t="shared" si="11"/>
        <v>6842.5019459473278</v>
      </c>
      <c r="N30" s="164">
        <f>[6]Hist!AA215</f>
        <v>273</v>
      </c>
      <c r="O30" s="1377">
        <f t="shared" si="12"/>
        <v>6289.5019459473278</v>
      </c>
      <c r="P30" s="132">
        <f>[8]FCST!$BI4</f>
        <v>1289511</v>
      </c>
      <c r="R30" s="123">
        <f>[9]Sheet1!$R$13</f>
        <v>5241</v>
      </c>
      <c r="U30" s="133">
        <f>P30-Q30+R30</f>
        <v>1294752</v>
      </c>
      <c r="W30" s="501">
        <f t="shared" si="18"/>
        <v>18202</v>
      </c>
      <c r="X30" s="339">
        <f>[5]Jul!$I25</f>
        <v>94.75</v>
      </c>
      <c r="Y30" s="339">
        <f>[5]Jul!$M25</f>
        <v>93.3</v>
      </c>
      <c r="AC30" s="655"/>
      <c r="AD30" s="123">
        <f t="shared" si="2"/>
        <v>1997</v>
      </c>
      <c r="AE30" s="133">
        <f t="shared" si="3"/>
        <v>6289.5019459473278</v>
      </c>
      <c r="AF30" s="132">
        <f t="shared" si="4"/>
        <v>1289511</v>
      </c>
      <c r="AG30" s="140">
        <f t="shared" si="5"/>
        <v>93.3</v>
      </c>
      <c r="AH30" s="301">
        <v>0</v>
      </c>
      <c r="AI30" s="286">
        <v>0</v>
      </c>
      <c r="AJ30" s="134">
        <f t="shared" si="13"/>
        <v>6286</v>
      </c>
      <c r="AK30" s="134">
        <f t="shared" si="6"/>
        <v>3.5019459473278403</v>
      </c>
      <c r="AL30" s="134"/>
      <c r="AM30" s="134"/>
      <c r="AO30" s="135"/>
      <c r="AP30" s="322">
        <f t="shared" si="14"/>
        <v>284.71708292088988</v>
      </c>
      <c r="AQ30" s="268"/>
      <c r="AR30" s="279"/>
      <c r="AS30" s="269"/>
      <c r="AT30" s="269"/>
      <c r="AU30" s="269"/>
      <c r="AV30" s="1"/>
      <c r="AW30" s="1"/>
      <c r="AX30" s="1"/>
      <c r="BB30" s="123">
        <f t="shared" si="17"/>
        <v>1997</v>
      </c>
      <c r="BC30" s="134">
        <f t="shared" si="7"/>
        <v>6107</v>
      </c>
      <c r="BD30" s="138">
        <f t="shared" si="8"/>
        <v>6289.5019459473278</v>
      </c>
      <c r="BE30" s="138">
        <f t="shared" si="15"/>
        <v>182.50194594732784</v>
      </c>
      <c r="BF30" s="138">
        <f t="shared" si="9"/>
        <v>6286</v>
      </c>
      <c r="BG30" s="489">
        <f t="shared" si="16"/>
        <v>-179</v>
      </c>
    </row>
    <row r="31" spans="1:59">
      <c r="A31" s="123">
        <v>1998</v>
      </c>
      <c r="B31" s="139">
        <v>35978</v>
      </c>
      <c r="C31" s="131">
        <v>16</v>
      </c>
      <c r="D31" s="346" t="str">
        <f t="shared" si="0"/>
        <v>Thu</v>
      </c>
      <c r="E31" s="133">
        <f>[7]MoCoinMW!F107</f>
        <v>8010</v>
      </c>
      <c r="F31" s="133">
        <f>[7]MoCoinMW!G107</f>
        <v>7068.8451979043075</v>
      </c>
      <c r="G31" s="164">
        <f>SUM([6]Hist!M227:O227)</f>
        <v>49</v>
      </c>
      <c r="H31" s="164">
        <f>[6]Hist!L227</f>
        <v>0</v>
      </c>
      <c r="I31" s="164">
        <f>[6]Hist!P227</f>
        <v>0</v>
      </c>
      <c r="J31" s="133">
        <f t="shared" si="10"/>
        <v>7117.8451979043075</v>
      </c>
      <c r="K31" s="164">
        <f>[6]Hist!U227</f>
        <v>242</v>
      </c>
      <c r="L31" s="164">
        <f>[6]Hist!V227</f>
        <v>75</v>
      </c>
      <c r="M31" s="133">
        <f t="shared" si="11"/>
        <v>7359.8451979043075</v>
      </c>
      <c r="N31" s="164">
        <f>'Interruptible Forecast'!AN9</f>
        <v>347</v>
      </c>
      <c r="O31" s="1377">
        <f t="shared" si="12"/>
        <v>6695.8451979043075</v>
      </c>
      <c r="P31" s="132">
        <f>[8]FCST!$BI5</f>
        <v>1328659</v>
      </c>
      <c r="Q31" s="463">
        <f>[8]FCST!$DK5</f>
        <v>12644</v>
      </c>
      <c r="R31" s="123">
        <f>[9]Sheet1!$R$25</f>
        <v>6634</v>
      </c>
      <c r="U31" s="133">
        <f t="shared" ref="U31:U40" si="20">P31-Q31+R$31</f>
        <v>1322649</v>
      </c>
      <c r="W31" s="501">
        <f t="shared" si="18"/>
        <v>27897</v>
      </c>
      <c r="X31" s="339">
        <f>[5]Jul!$I26</f>
        <v>95.95</v>
      </c>
      <c r="Y31" s="339">
        <f>[5]Jul!$M26</f>
        <v>94.9</v>
      </c>
      <c r="AA31" s="143"/>
      <c r="AC31" s="655"/>
      <c r="AD31" s="123">
        <f t="shared" si="2"/>
        <v>1998</v>
      </c>
      <c r="AE31" s="133">
        <f t="shared" si="3"/>
        <v>6695.8451979043075</v>
      </c>
      <c r="AF31" s="132">
        <f t="shared" si="4"/>
        <v>1328659</v>
      </c>
      <c r="AG31" s="140">
        <f t="shared" si="5"/>
        <v>94.9</v>
      </c>
      <c r="AH31" s="301">
        <v>0</v>
      </c>
      <c r="AI31" s="286">
        <v>0</v>
      </c>
      <c r="AJ31" s="134">
        <f t="shared" si="13"/>
        <v>6718</v>
      </c>
      <c r="AK31" s="134">
        <f t="shared" si="6"/>
        <v>-22.154802095692503</v>
      </c>
      <c r="AL31" s="134"/>
      <c r="AM31" s="134"/>
      <c r="AO31" s="135"/>
      <c r="AP31" s="322">
        <f t="shared" si="14"/>
        <v>406.34325195697966</v>
      </c>
      <c r="AQ31" s="279"/>
      <c r="AR31" s="279"/>
      <c r="AS31" s="269"/>
      <c r="AT31" s="269"/>
      <c r="AU31" s="269"/>
      <c r="AV31" s="1"/>
      <c r="AW31" s="1"/>
      <c r="AX31" s="1"/>
      <c r="BB31" s="123">
        <f t="shared" si="17"/>
        <v>1998</v>
      </c>
      <c r="BC31" s="134">
        <f t="shared" si="7"/>
        <v>6349</v>
      </c>
      <c r="BD31" s="138">
        <f t="shared" si="8"/>
        <v>6695.8451979043075</v>
      </c>
      <c r="BE31" s="138">
        <f t="shared" si="15"/>
        <v>346.8451979043075</v>
      </c>
      <c r="BF31" s="138">
        <f t="shared" si="9"/>
        <v>6718</v>
      </c>
      <c r="BG31" s="489">
        <f t="shared" si="16"/>
        <v>-369</v>
      </c>
    </row>
    <row r="32" spans="1:59">
      <c r="A32" s="123">
        <v>1999</v>
      </c>
      <c r="B32" s="139">
        <v>36368</v>
      </c>
      <c r="C32" s="131">
        <v>17</v>
      </c>
      <c r="D32" s="346" t="str">
        <f t="shared" si="0"/>
        <v>Tue</v>
      </c>
      <c r="E32" s="133">
        <f>[7]MoCoinMW!F119</f>
        <v>8179</v>
      </c>
      <c r="F32" s="133">
        <f>[7]MoCoinMW!G119</f>
        <v>6866.6074485777417</v>
      </c>
      <c r="G32" s="164">
        <f>SUM([6]Hist!M239:O239)</f>
        <v>0</v>
      </c>
      <c r="H32" s="164">
        <f>[6]Hist!L239</f>
        <v>0</v>
      </c>
      <c r="I32" s="164">
        <f>[6]Hist!P239</f>
        <v>0</v>
      </c>
      <c r="J32" s="133">
        <f t="shared" si="10"/>
        <v>6866.6074485777417</v>
      </c>
      <c r="K32" s="164">
        <f>[6]Hist!U239</f>
        <v>259</v>
      </c>
      <c r="L32" s="164">
        <f>[6]Hist!V239</f>
        <v>75</v>
      </c>
      <c r="M32" s="133">
        <f t="shared" si="11"/>
        <v>7125.6074485777417</v>
      </c>
      <c r="N32" s="164">
        <f>'Interruptible Forecast'!AN10</f>
        <v>296</v>
      </c>
      <c r="O32" s="1377">
        <f t="shared" si="12"/>
        <v>6495.6074485777417</v>
      </c>
      <c r="P32" s="132">
        <f>[8]FCST!$BI6</f>
        <v>1359262</v>
      </c>
      <c r="Q32" s="463">
        <f>[8]FCST!$DK6</f>
        <v>20783</v>
      </c>
      <c r="U32" s="133">
        <f t="shared" si="20"/>
        <v>1345113</v>
      </c>
      <c r="W32" s="501">
        <f t="shared" si="18"/>
        <v>22464</v>
      </c>
      <c r="X32" s="339">
        <f>[5]Jul!$I27</f>
        <v>92.6</v>
      </c>
      <c r="Y32" s="339">
        <f>[5]Jul!$M27</f>
        <v>92.7</v>
      </c>
      <c r="AC32" s="655"/>
      <c r="AD32" s="123">
        <f t="shared" si="2"/>
        <v>1999</v>
      </c>
      <c r="AE32" s="133">
        <f t="shared" si="3"/>
        <v>6495.6074485777417</v>
      </c>
      <c r="AF32" s="132">
        <f t="shared" si="4"/>
        <v>1359262</v>
      </c>
      <c r="AG32" s="140">
        <f t="shared" si="5"/>
        <v>92.7</v>
      </c>
      <c r="AH32" s="301">
        <v>0</v>
      </c>
      <c r="AI32" s="286">
        <v>0</v>
      </c>
      <c r="AJ32" s="134">
        <f t="shared" si="13"/>
        <v>6645</v>
      </c>
      <c r="AK32" s="134">
        <f t="shared" si="6"/>
        <v>-149.39255142225829</v>
      </c>
      <c r="AL32" s="134"/>
      <c r="AM32" s="134"/>
      <c r="AN32" s="134"/>
      <c r="AO32" s="135"/>
      <c r="AP32" s="322">
        <f t="shared" si="14"/>
        <v>-200.23774932656579</v>
      </c>
      <c r="AQ32" s="270"/>
      <c r="AR32" s="270"/>
      <c r="AS32" s="270"/>
      <c r="AT32" s="270"/>
      <c r="AU32" s="270"/>
      <c r="AV32" s="1"/>
      <c r="AW32" s="1"/>
      <c r="AX32" s="1"/>
      <c r="BB32" s="123">
        <f t="shared" si="17"/>
        <v>1999</v>
      </c>
      <c r="BC32" s="134">
        <f t="shared" si="7"/>
        <v>6537</v>
      </c>
      <c r="BD32" s="138">
        <f t="shared" si="8"/>
        <v>6495.6074485777417</v>
      </c>
      <c r="BE32" s="138">
        <f t="shared" si="15"/>
        <v>-41.392551422258293</v>
      </c>
      <c r="BF32" s="138">
        <f t="shared" si="9"/>
        <v>6645</v>
      </c>
      <c r="BG32" s="489">
        <f t="shared" si="16"/>
        <v>-108</v>
      </c>
    </row>
    <row r="33" spans="1:59">
      <c r="A33" s="123">
        <v>2000</v>
      </c>
      <c r="B33" s="139">
        <v>36719</v>
      </c>
      <c r="C33" s="123">
        <v>18</v>
      </c>
      <c r="D33" s="346" t="str">
        <f t="shared" si="0"/>
        <v>Wed</v>
      </c>
      <c r="E33" s="133">
        <f>[7]MoCoinMW!F131</f>
        <v>8344</v>
      </c>
      <c r="F33" s="133">
        <f>[7]MoCoinMW!G131</f>
        <v>7102.36</v>
      </c>
      <c r="G33" s="164">
        <f>SUM([6]Hist!M251:O251)</f>
        <v>171</v>
      </c>
      <c r="H33" s="164">
        <f>[6]Hist!L251</f>
        <v>0</v>
      </c>
      <c r="I33" s="164">
        <f>[6]Hist!P251</f>
        <v>0</v>
      </c>
      <c r="J33" s="133">
        <f t="shared" ref="J33:J38" si="21">SUM(F33:I33)</f>
        <v>7273.36</v>
      </c>
      <c r="K33" s="164">
        <f>[6]Hist!U251</f>
        <v>275</v>
      </c>
      <c r="L33" s="164">
        <f>[6]Hist!V251</f>
        <v>75</v>
      </c>
      <c r="M33" s="133">
        <f t="shared" si="11"/>
        <v>7548.36</v>
      </c>
      <c r="N33" s="164">
        <f>'Interruptible Forecast'!AN11</f>
        <v>239</v>
      </c>
      <c r="O33" s="1377">
        <f t="shared" si="12"/>
        <v>6959.36</v>
      </c>
      <c r="P33" s="132">
        <f>[8]FCST!$BI7</f>
        <v>1399112</v>
      </c>
      <c r="Q33" s="463">
        <f>[8]FCST!$DK7</f>
        <v>26072</v>
      </c>
      <c r="U33" s="133">
        <f t="shared" si="20"/>
        <v>1379674</v>
      </c>
      <c r="W33" s="501">
        <f t="shared" si="18"/>
        <v>34561</v>
      </c>
      <c r="X33" s="339">
        <f>[5]Jul!$I28</f>
        <v>89.15</v>
      </c>
      <c r="Y33" s="339">
        <f>[5]Jul!$M28</f>
        <v>91.1</v>
      </c>
      <c r="Z33" s="144"/>
      <c r="AC33" s="655"/>
      <c r="AD33" s="123">
        <f t="shared" si="2"/>
        <v>2000</v>
      </c>
      <c r="AE33" s="133">
        <f t="shared" si="3"/>
        <v>6959.36</v>
      </c>
      <c r="AF33" s="132">
        <f t="shared" si="4"/>
        <v>1399112</v>
      </c>
      <c r="AG33" s="140">
        <f>Y33+1</f>
        <v>92.1</v>
      </c>
      <c r="AH33" s="301">
        <v>0</v>
      </c>
      <c r="AI33" s="287">
        <v>0</v>
      </c>
      <c r="AJ33" s="134">
        <f t="shared" si="13"/>
        <v>6819</v>
      </c>
      <c r="AK33" s="134">
        <f t="shared" si="6"/>
        <v>140.35999999999967</v>
      </c>
      <c r="AL33" s="134"/>
      <c r="AM33" s="134"/>
      <c r="AN33" s="134"/>
      <c r="AO33" s="138"/>
      <c r="AP33" s="322">
        <f t="shared" si="14"/>
        <v>463.75255142225797</v>
      </c>
      <c r="AQ33" s="1"/>
      <c r="AR33" s="1"/>
      <c r="AS33" s="1"/>
      <c r="AT33" s="1"/>
      <c r="AU33" s="1"/>
      <c r="AV33" s="1"/>
      <c r="AW33" s="1"/>
      <c r="AX33" s="1"/>
      <c r="BB33" s="123">
        <f t="shared" si="17"/>
        <v>2000</v>
      </c>
      <c r="BC33" s="134">
        <f t="shared" si="7"/>
        <v>6783</v>
      </c>
      <c r="BD33" s="138">
        <f t="shared" si="8"/>
        <v>6959.36</v>
      </c>
      <c r="BE33" s="138">
        <f t="shared" si="15"/>
        <v>176.35999999999967</v>
      </c>
      <c r="BF33" s="138">
        <f t="shared" si="9"/>
        <v>6819</v>
      </c>
      <c r="BG33" s="489">
        <f t="shared" si="16"/>
        <v>-36</v>
      </c>
    </row>
    <row r="34" spans="1:59">
      <c r="A34" s="123">
        <v>2001</v>
      </c>
      <c r="B34" s="139">
        <v>37102</v>
      </c>
      <c r="C34" s="123">
        <v>18</v>
      </c>
      <c r="D34" s="346" t="str">
        <f t="shared" si="0"/>
        <v>Mon</v>
      </c>
      <c r="E34" s="133">
        <f>[7]MoCoinMW!F143</f>
        <v>8163</v>
      </c>
      <c r="F34" s="133">
        <f>[7]MoCoinMW!G143</f>
        <v>7154.7</v>
      </c>
      <c r="G34" s="164">
        <f>SUM([6]Hist!M263:O263)</f>
        <v>0</v>
      </c>
      <c r="H34" s="164">
        <f>[6]Hist!L263</f>
        <v>0</v>
      </c>
      <c r="I34" s="164">
        <f>[6]Hist!P263</f>
        <v>0</v>
      </c>
      <c r="J34" s="133">
        <f t="shared" si="21"/>
        <v>7154.7</v>
      </c>
      <c r="K34" s="164">
        <f>[6]Hist!U263</f>
        <v>289</v>
      </c>
      <c r="L34" s="164">
        <f>[6]Hist!V263</f>
        <v>75</v>
      </c>
      <c r="M34" s="133">
        <f t="shared" si="11"/>
        <v>7443.7</v>
      </c>
      <c r="N34" s="164">
        <f>'Interruptible Forecast'!AN12</f>
        <v>215</v>
      </c>
      <c r="O34" s="1377">
        <f t="shared" si="12"/>
        <v>6864.7</v>
      </c>
      <c r="P34" s="132">
        <f>[8]FCST!$BI8</f>
        <v>1435789</v>
      </c>
      <c r="Q34" s="463">
        <f>[8]FCST!$DK8</f>
        <v>29183</v>
      </c>
      <c r="U34" s="133">
        <f t="shared" si="20"/>
        <v>1413240</v>
      </c>
      <c r="W34" s="501">
        <f t="shared" si="18"/>
        <v>33566</v>
      </c>
      <c r="X34" s="339">
        <f>[5]Jul!$I29</f>
        <v>91.55</v>
      </c>
      <c r="Y34" s="339">
        <f>[5]Jul!$M29</f>
        <v>90.9</v>
      </c>
      <c r="AC34" s="655"/>
      <c r="AD34" s="123">
        <f t="shared" si="2"/>
        <v>2001</v>
      </c>
      <c r="AE34" s="133">
        <f t="shared" si="3"/>
        <v>6864.7</v>
      </c>
      <c r="AF34" s="132">
        <f t="shared" si="4"/>
        <v>1435789</v>
      </c>
      <c r="AG34" s="140">
        <f t="shared" si="5"/>
        <v>90.9</v>
      </c>
      <c r="AH34" s="301">
        <v>0</v>
      </c>
      <c r="AI34" s="287">
        <v>0</v>
      </c>
      <c r="AJ34" s="134">
        <f t="shared" si="13"/>
        <v>6902</v>
      </c>
      <c r="AK34" s="134">
        <f t="shared" ref="AK34:AK39" si="22">AE34-AJ34</f>
        <v>-37.300000000000182</v>
      </c>
      <c r="AL34" s="134"/>
      <c r="AM34" s="389"/>
      <c r="AN34" s="134"/>
      <c r="AO34" s="138"/>
      <c r="AP34" s="322">
        <f t="shared" ref="AP34:AP45" si="23">AE34-AE33</f>
        <v>-94.659999999999854</v>
      </c>
      <c r="AQ34" s="1"/>
      <c r="AR34" s="1"/>
      <c r="AS34" s="1"/>
      <c r="AT34" s="1"/>
      <c r="AU34" s="1"/>
      <c r="AV34" s="1"/>
      <c r="AW34" s="1"/>
      <c r="AX34" s="1"/>
      <c r="BB34" s="123">
        <f t="shared" si="17"/>
        <v>2001</v>
      </c>
      <c r="BC34" s="134">
        <f t="shared" si="7"/>
        <v>7010</v>
      </c>
      <c r="BD34" s="138">
        <f t="shared" si="8"/>
        <v>6864.7</v>
      </c>
      <c r="BE34" s="138">
        <f t="shared" si="15"/>
        <v>-145.30000000000018</v>
      </c>
      <c r="BF34" s="138">
        <f t="shared" si="9"/>
        <v>6902</v>
      </c>
      <c r="BG34" s="489">
        <f t="shared" si="16"/>
        <v>108</v>
      </c>
    </row>
    <row r="35" spans="1:59">
      <c r="A35" s="123">
        <v>2002</v>
      </c>
      <c r="B35" s="139">
        <v>37454</v>
      </c>
      <c r="C35" s="123">
        <v>17</v>
      </c>
      <c r="D35" s="346" t="str">
        <f t="shared" ref="D35:D40" si="24">TEXT(WEEKDAY(B35),"ddd")</f>
        <v>Wed</v>
      </c>
      <c r="E35" s="133">
        <f>[7]MoCoinMW!F155</f>
        <v>9034</v>
      </c>
      <c r="F35" s="133">
        <f>[7]MoCoinMW!G155</f>
        <v>7841.9</v>
      </c>
      <c r="G35" s="164">
        <f>SUM([6]Hist!M275:O275)</f>
        <v>0</v>
      </c>
      <c r="H35" s="164">
        <f>[6]Hist!L275</f>
        <v>0</v>
      </c>
      <c r="I35" s="164">
        <f>[6]Hist!P275</f>
        <v>0</v>
      </c>
      <c r="J35" s="133">
        <f t="shared" si="21"/>
        <v>7841.9</v>
      </c>
      <c r="K35" s="164">
        <f>[6]Hist!U275</f>
        <v>304</v>
      </c>
      <c r="L35" s="164">
        <f>[6]Hist!V275</f>
        <v>75</v>
      </c>
      <c r="M35" s="133">
        <f t="shared" si="11"/>
        <v>8145.9</v>
      </c>
      <c r="N35" s="164">
        <f>'Interruptible Forecast'!AN13</f>
        <v>304</v>
      </c>
      <c r="O35" s="1377">
        <f t="shared" si="12"/>
        <v>7462.9</v>
      </c>
      <c r="P35" s="132">
        <f>[8]FCST!$BI9</f>
        <v>1468620</v>
      </c>
      <c r="Q35" s="463">
        <f>[8]FCST!$DK9</f>
        <v>32756</v>
      </c>
      <c r="R35" s="385"/>
      <c r="S35" s="386"/>
      <c r="U35" s="133">
        <f t="shared" si="20"/>
        <v>1442498</v>
      </c>
      <c r="W35" s="501">
        <f t="shared" si="18"/>
        <v>29258</v>
      </c>
      <c r="X35" s="339">
        <f>[5]Jul!$I30</f>
        <v>95.25</v>
      </c>
      <c r="Y35" s="339">
        <f>[5]Jul!$M30</f>
        <v>93.9</v>
      </c>
      <c r="AC35" s="655"/>
      <c r="AD35" s="123">
        <f t="shared" si="2"/>
        <v>2002</v>
      </c>
      <c r="AE35" s="133">
        <f t="shared" si="3"/>
        <v>7462.9</v>
      </c>
      <c r="AF35" s="132">
        <f t="shared" si="4"/>
        <v>1468620</v>
      </c>
      <c r="AG35" s="140">
        <f t="shared" si="5"/>
        <v>93.9</v>
      </c>
      <c r="AH35" s="301">
        <v>0</v>
      </c>
      <c r="AI35" s="287">
        <v>0</v>
      </c>
      <c r="AJ35" s="134">
        <f t="shared" si="13"/>
        <v>7463</v>
      </c>
      <c r="AK35" s="134">
        <f t="shared" si="22"/>
        <v>-0.1000000000003638</v>
      </c>
      <c r="AL35" s="134"/>
      <c r="AM35" s="134"/>
      <c r="AN35" s="132"/>
      <c r="AO35" s="562"/>
      <c r="AP35" s="322">
        <f t="shared" si="23"/>
        <v>598.19999999999982</v>
      </c>
      <c r="AQ35"/>
      <c r="AR35"/>
      <c r="AS35"/>
      <c r="AT35"/>
      <c r="AU35"/>
      <c r="AV35"/>
      <c r="AW35"/>
      <c r="AX35"/>
      <c r="BB35" s="123">
        <f t="shared" si="17"/>
        <v>2002</v>
      </c>
      <c r="BC35" s="134">
        <f t="shared" si="7"/>
        <v>7212</v>
      </c>
      <c r="BD35" s="138">
        <f t="shared" si="8"/>
        <v>7462.9</v>
      </c>
      <c r="BE35" s="138">
        <f t="shared" ref="BE35:BE40" si="25">BD35-BC35</f>
        <v>250.89999999999964</v>
      </c>
      <c r="BF35" s="138">
        <f t="shared" si="9"/>
        <v>7463</v>
      </c>
      <c r="BG35" s="489">
        <f t="shared" ref="BG35:BG40" si="26">BC35-BF35</f>
        <v>-251</v>
      </c>
    </row>
    <row r="36" spans="1:59">
      <c r="A36" s="123">
        <v>2003</v>
      </c>
      <c r="B36" s="139">
        <v>37811</v>
      </c>
      <c r="C36" s="123">
        <v>15</v>
      </c>
      <c r="D36" s="346" t="str">
        <f t="shared" si="24"/>
        <v>Wed</v>
      </c>
      <c r="E36" s="133">
        <f>[7]MoCoinMW!F$167</f>
        <v>8476</v>
      </c>
      <c r="F36" s="133">
        <f>[7]MoCoinMW!G$167</f>
        <v>7592.7</v>
      </c>
      <c r="G36" s="164">
        <f>SUM([6]Hist!M$287:O$287)</f>
        <v>0</v>
      </c>
      <c r="H36" s="164">
        <f>[6]Hist!L$287</f>
        <v>0</v>
      </c>
      <c r="I36" s="164">
        <f>[6]Hist!P$287</f>
        <v>0</v>
      </c>
      <c r="J36" s="133">
        <f t="shared" si="21"/>
        <v>7592.7</v>
      </c>
      <c r="K36" s="164">
        <f>[6]Hist!U$287</f>
        <v>321</v>
      </c>
      <c r="L36" s="164">
        <f>[6]Hist!V$287</f>
        <v>75</v>
      </c>
      <c r="M36" s="133">
        <f t="shared" si="11"/>
        <v>7913.7</v>
      </c>
      <c r="N36" s="164">
        <f>'Interruptible Forecast'!AN14</f>
        <v>254</v>
      </c>
      <c r="O36" s="1377">
        <f t="shared" si="12"/>
        <v>7263.7</v>
      </c>
      <c r="P36" s="132">
        <f>[8]FCST!$BI10</f>
        <v>1507318</v>
      </c>
      <c r="Q36" s="463">
        <f>[8]FCST!$DK10</f>
        <v>34193</v>
      </c>
      <c r="R36" s="558"/>
      <c r="S36" s="371">
        <f>[8]FCST!$CS10</f>
        <v>50975</v>
      </c>
      <c r="U36" s="133">
        <f t="shared" si="20"/>
        <v>1479759</v>
      </c>
      <c r="W36" s="501">
        <f t="shared" si="18"/>
        <v>37261</v>
      </c>
      <c r="X36" s="339">
        <f>[5]Jul!$I31</f>
        <v>91.65</v>
      </c>
      <c r="Y36" s="339">
        <f>[5]Jul!$M31</f>
        <v>90</v>
      </c>
      <c r="AC36" s="655"/>
      <c r="AD36" s="123">
        <f t="shared" si="2"/>
        <v>2003</v>
      </c>
      <c r="AE36" s="133">
        <f t="shared" si="3"/>
        <v>7263.7</v>
      </c>
      <c r="AF36" s="132">
        <f t="shared" si="4"/>
        <v>1507318</v>
      </c>
      <c r="AG36" s="140">
        <f t="shared" si="5"/>
        <v>90</v>
      </c>
      <c r="AH36" s="301">
        <v>0</v>
      </c>
      <c r="AI36" s="287">
        <v>0</v>
      </c>
      <c r="AJ36" s="134">
        <f t="shared" si="13"/>
        <v>7237</v>
      </c>
      <c r="AK36" s="134">
        <f t="shared" si="22"/>
        <v>26.699999999999818</v>
      </c>
      <c r="AL36" s="134"/>
      <c r="AM36" s="134"/>
      <c r="AN36" s="134"/>
      <c r="AO36" s="138"/>
      <c r="AP36" s="322">
        <f t="shared" si="23"/>
        <v>-199.19999999999982</v>
      </c>
      <c r="AQ36"/>
      <c r="AR36"/>
      <c r="AS36"/>
      <c r="AT36"/>
      <c r="AU36"/>
      <c r="AV36"/>
      <c r="AW36"/>
      <c r="AX36"/>
      <c r="BB36" s="123">
        <f t="shared" si="17"/>
        <v>2003</v>
      </c>
      <c r="BC36" s="134">
        <f t="shared" si="7"/>
        <v>7451</v>
      </c>
      <c r="BD36" s="138">
        <f t="shared" si="8"/>
        <v>7263.7</v>
      </c>
      <c r="BE36" s="138">
        <f t="shared" si="25"/>
        <v>-187.30000000000018</v>
      </c>
      <c r="BF36" s="138">
        <f t="shared" si="9"/>
        <v>7237</v>
      </c>
      <c r="BG36" s="489">
        <f t="shared" si="26"/>
        <v>214</v>
      </c>
    </row>
    <row r="37" spans="1:59">
      <c r="A37" s="123">
        <v>2004</v>
      </c>
      <c r="B37" s="139">
        <v>38182</v>
      </c>
      <c r="C37" s="123">
        <v>17</v>
      </c>
      <c r="D37" s="346" t="str">
        <f t="shared" si="24"/>
        <v>Wed</v>
      </c>
      <c r="E37" s="133">
        <f>[7]MoCoinMW!F$179</f>
        <v>9058.2999999999993</v>
      </c>
      <c r="F37" s="133">
        <f>[7]MoCoinMW!G$179</f>
        <v>7980.0999999999995</v>
      </c>
      <c r="G37" s="164">
        <f>SUM([6]Hist!M$299:O$299)</f>
        <v>0</v>
      </c>
      <c r="H37" s="164">
        <f>[6]Hist!L$299</f>
        <v>0</v>
      </c>
      <c r="I37" s="164">
        <f>[6]Hist!P$299</f>
        <v>0</v>
      </c>
      <c r="J37" s="133">
        <f t="shared" si="21"/>
        <v>7980.0999999999995</v>
      </c>
      <c r="K37" s="164">
        <f>[6]Hist!U$299</f>
        <v>338</v>
      </c>
      <c r="L37" s="164">
        <f>[6]Hist!V$299</f>
        <v>110</v>
      </c>
      <c r="M37" s="133">
        <f t="shared" si="11"/>
        <v>8318.0999999999985</v>
      </c>
      <c r="N37" s="164">
        <f>'Interruptible Forecast'!AN15</f>
        <v>299</v>
      </c>
      <c r="O37" s="1377">
        <f t="shared" si="12"/>
        <v>7571.0999999999995</v>
      </c>
      <c r="P37" s="132">
        <f>[8]FCST!$BI11</f>
        <v>1545934</v>
      </c>
      <c r="Q37" s="463">
        <f>[8]FCST!$DK11</f>
        <v>32846</v>
      </c>
      <c r="R37" s="558"/>
      <c r="S37" s="371">
        <f>[8]FCST!$CS11</f>
        <v>53428</v>
      </c>
      <c r="U37" s="133">
        <f t="shared" si="20"/>
        <v>1519722</v>
      </c>
      <c r="W37" s="501">
        <f t="shared" si="18"/>
        <v>39963</v>
      </c>
      <c r="X37" s="339">
        <f>[5]Jul!$I32</f>
        <v>91.25</v>
      </c>
      <c r="Y37" s="339">
        <f>[5]Jul!$M32</f>
        <v>90.5</v>
      </c>
      <c r="AC37" s="655"/>
      <c r="AD37" s="123">
        <f t="shared" si="2"/>
        <v>2004</v>
      </c>
      <c r="AE37" s="133">
        <f t="shared" si="3"/>
        <v>7571.0999999999995</v>
      </c>
      <c r="AF37" s="132">
        <f t="shared" si="4"/>
        <v>1545934</v>
      </c>
      <c r="AG37" s="140">
        <f t="shared" si="5"/>
        <v>90.5</v>
      </c>
      <c r="AH37" s="301">
        <v>0</v>
      </c>
      <c r="AI37" s="287">
        <v>0</v>
      </c>
      <c r="AJ37" s="134">
        <f t="shared" si="13"/>
        <v>7535</v>
      </c>
      <c r="AK37" s="134">
        <f t="shared" si="22"/>
        <v>36.099999999999454</v>
      </c>
      <c r="AL37" s="569"/>
      <c r="AM37" s="134"/>
      <c r="AN37" s="134"/>
      <c r="AO37" s="138"/>
      <c r="AP37" s="322">
        <f t="shared" si="23"/>
        <v>307.39999999999964</v>
      </c>
      <c r="AQ37"/>
      <c r="AR37"/>
      <c r="AS37"/>
      <c r="AT37"/>
      <c r="AU37"/>
      <c r="AV37"/>
      <c r="AW37"/>
      <c r="AX37"/>
      <c r="BB37" s="123">
        <f t="shared" ref="BB37:BB45" si="27">BB36+1</f>
        <v>2004</v>
      </c>
      <c r="BC37" s="134">
        <f t="shared" si="7"/>
        <v>7690</v>
      </c>
      <c r="BD37" s="138">
        <f t="shared" si="8"/>
        <v>7571.0999999999995</v>
      </c>
      <c r="BE37" s="138">
        <f t="shared" si="25"/>
        <v>-118.90000000000055</v>
      </c>
      <c r="BF37" s="138">
        <f t="shared" si="9"/>
        <v>7535</v>
      </c>
      <c r="BG37" s="489">
        <f t="shared" si="26"/>
        <v>155</v>
      </c>
    </row>
    <row r="38" spans="1:59">
      <c r="A38" s="123">
        <v>2005</v>
      </c>
      <c r="B38" s="139">
        <v>38560</v>
      </c>
      <c r="C38" s="123">
        <v>18</v>
      </c>
      <c r="D38" s="346" t="str">
        <f t="shared" si="24"/>
        <v>Wed</v>
      </c>
      <c r="E38" s="133">
        <f>[7]MoCoinMW!F$191</f>
        <v>9671.2999999999993</v>
      </c>
      <c r="F38" s="133">
        <f>[7]MoCoinMW!G$191</f>
        <v>8403.9</v>
      </c>
      <c r="G38" s="164">
        <f>SUM([6]Hist!M$311:O$311)</f>
        <v>0</v>
      </c>
      <c r="H38" s="164">
        <f>[6]Hist!L$311</f>
        <v>0</v>
      </c>
      <c r="I38" s="164">
        <f>[6]Hist!P$311</f>
        <v>0</v>
      </c>
      <c r="J38" s="133">
        <f t="shared" si="21"/>
        <v>8403.9</v>
      </c>
      <c r="K38" s="164">
        <f>[6]Hist!U$311</f>
        <v>358</v>
      </c>
      <c r="L38" s="164">
        <f>[6]Hist!V$311</f>
        <v>110</v>
      </c>
      <c r="M38" s="133">
        <f t="shared" si="11"/>
        <v>8761.9</v>
      </c>
      <c r="N38" s="164">
        <f>'Interruptible Forecast'!AN16</f>
        <v>347</v>
      </c>
      <c r="O38" s="1377">
        <f t="shared" si="12"/>
        <v>7946.9</v>
      </c>
      <c r="P38" s="132">
        <f>[8]FCST!$BI12</f>
        <v>1569496</v>
      </c>
      <c r="Q38" s="463">
        <f>[8]FCST!$DK12</f>
        <v>34897</v>
      </c>
      <c r="R38" s="558"/>
      <c r="S38" s="371">
        <f>[8]FCST!$CS12</f>
        <v>59284</v>
      </c>
      <c r="U38" s="622">
        <f t="shared" si="20"/>
        <v>1541233</v>
      </c>
      <c r="V38" s="374">
        <f>[10]WP2004!$D$45</f>
        <v>14347</v>
      </c>
      <c r="W38" s="501">
        <f t="shared" si="18"/>
        <v>21511</v>
      </c>
      <c r="X38" s="339">
        <f>[5]Jul!$I33</f>
        <v>92.8</v>
      </c>
      <c r="Y38" s="339">
        <f>[5]Jul!$M33</f>
        <v>92.2</v>
      </c>
      <c r="AC38" s="655"/>
      <c r="AD38" s="123">
        <f t="shared" si="2"/>
        <v>2005</v>
      </c>
      <c r="AE38" s="133">
        <f t="shared" si="3"/>
        <v>7946.9</v>
      </c>
      <c r="AF38" s="132">
        <f t="shared" si="4"/>
        <v>1569496</v>
      </c>
      <c r="AG38" s="140">
        <f t="shared" si="5"/>
        <v>92.2</v>
      </c>
      <c r="AH38" s="301">
        <v>0</v>
      </c>
      <c r="AI38" s="287">
        <v>0</v>
      </c>
      <c r="AJ38" s="134">
        <f t="shared" si="13"/>
        <v>7883</v>
      </c>
      <c r="AK38" s="134">
        <f t="shared" si="22"/>
        <v>63.899999999999636</v>
      </c>
      <c r="AL38" s="569"/>
      <c r="AM38" s="581"/>
      <c r="AN38" s="134"/>
      <c r="AO38" s="138"/>
      <c r="AP38" s="322">
        <f t="shared" si="23"/>
        <v>375.80000000000018</v>
      </c>
      <c r="BB38" s="123">
        <f t="shared" si="27"/>
        <v>2005</v>
      </c>
      <c r="BC38" s="134">
        <f t="shared" si="7"/>
        <v>7835</v>
      </c>
      <c r="BD38" s="138">
        <f t="shared" si="8"/>
        <v>7946.9</v>
      </c>
      <c r="BE38" s="138">
        <f t="shared" si="25"/>
        <v>111.89999999999964</v>
      </c>
      <c r="BF38" s="138">
        <f t="shared" si="9"/>
        <v>7883</v>
      </c>
      <c r="BG38" s="489">
        <f t="shared" si="26"/>
        <v>-48</v>
      </c>
    </row>
    <row r="39" spans="1:59">
      <c r="A39" s="123">
        <v>2006</v>
      </c>
      <c r="B39" s="139">
        <v>38924</v>
      </c>
      <c r="C39" s="123">
        <v>16</v>
      </c>
      <c r="D39" s="346" t="str">
        <f t="shared" si="24"/>
        <v>Wed</v>
      </c>
      <c r="E39" s="133">
        <f>[7]MoCoinMW!F$203</f>
        <v>9461</v>
      </c>
      <c r="F39" s="133">
        <f>[7]MoCoinMW!G$203</f>
        <v>8257</v>
      </c>
      <c r="G39" s="164">
        <f>SUM([6]Hist!M$323:O$323)</f>
        <v>0</v>
      </c>
      <c r="H39" s="164">
        <f>[6]Hist!L$323</f>
        <v>0</v>
      </c>
      <c r="I39" s="164">
        <f>[6]Hist!P$323</f>
        <v>0</v>
      </c>
      <c r="J39" s="133">
        <f t="shared" ref="J39:J44" si="28">SUM(F39:I39)</f>
        <v>8257</v>
      </c>
      <c r="K39" s="164">
        <f>[6]Hist!U$323</f>
        <v>381</v>
      </c>
      <c r="L39" s="164">
        <f>[6]Hist!V$323</f>
        <v>66</v>
      </c>
      <c r="M39" s="133">
        <f t="shared" si="11"/>
        <v>8638</v>
      </c>
      <c r="N39" s="164">
        <f>'Interruptible Forecast'!AN17</f>
        <v>310</v>
      </c>
      <c r="O39" s="1377">
        <f t="shared" si="12"/>
        <v>7881</v>
      </c>
      <c r="P39" s="132">
        <f>[8]FCST!$BI13</f>
        <v>1611744</v>
      </c>
      <c r="Q39" s="463">
        <f>[8]FCST!$DK13</f>
        <v>34654</v>
      </c>
      <c r="R39" s="558"/>
      <c r="S39" s="371">
        <f>[8]FCST!$CS13</f>
        <v>54786</v>
      </c>
      <c r="T39" s="387"/>
      <c r="U39" s="622">
        <f t="shared" si="20"/>
        <v>1583724</v>
      </c>
      <c r="V39" s="374">
        <f>ROUND(V38*1.01,0)</f>
        <v>14490</v>
      </c>
      <c r="W39" s="501">
        <f t="shared" si="18"/>
        <v>42491</v>
      </c>
      <c r="X39" s="339">
        <f>[5]Jul!$I34</f>
        <v>91.7</v>
      </c>
      <c r="Y39" s="339">
        <f>[5]Jul!$M34</f>
        <v>89.4</v>
      </c>
      <c r="Z39" s="572"/>
      <c r="AC39" s="655"/>
      <c r="AD39" s="123">
        <f t="shared" si="2"/>
        <v>2006</v>
      </c>
      <c r="AE39" s="133">
        <f t="shared" si="3"/>
        <v>7881</v>
      </c>
      <c r="AF39" s="132">
        <f t="shared" si="4"/>
        <v>1611744</v>
      </c>
      <c r="AG39" s="140">
        <f t="shared" si="5"/>
        <v>89.4</v>
      </c>
      <c r="AH39" s="301">
        <v>0</v>
      </c>
      <c r="AI39" s="287">
        <v>0</v>
      </c>
      <c r="AJ39" s="134">
        <f t="shared" ref="AJ39:AJ44" si="29">ROUND($AU$13+$AT$13*AF39+$AS$13*AG39+$AR$13*AH39,0)</f>
        <v>7810</v>
      </c>
      <c r="AK39" s="134">
        <f t="shared" si="22"/>
        <v>71</v>
      </c>
      <c r="AL39" s="569"/>
      <c r="AM39" s="581"/>
      <c r="AN39" s="134"/>
      <c r="AO39" s="138"/>
      <c r="AP39" s="322">
        <f t="shared" si="23"/>
        <v>-65.899999999999636</v>
      </c>
      <c r="BB39" s="123">
        <f t="shared" si="27"/>
        <v>2006</v>
      </c>
      <c r="BC39" s="134">
        <f t="shared" si="7"/>
        <v>8096</v>
      </c>
      <c r="BD39" s="138">
        <f t="shared" si="8"/>
        <v>7881</v>
      </c>
      <c r="BE39" s="138">
        <f t="shared" si="25"/>
        <v>-215</v>
      </c>
      <c r="BF39" s="138">
        <f t="shared" si="9"/>
        <v>7810</v>
      </c>
      <c r="BG39" s="489">
        <f t="shared" si="26"/>
        <v>286</v>
      </c>
    </row>
    <row r="40" spans="1:59">
      <c r="A40" s="123">
        <v>2007</v>
      </c>
      <c r="B40" s="139">
        <v>39272</v>
      </c>
      <c r="C40" s="123">
        <v>17</v>
      </c>
      <c r="D40" s="346" t="str">
        <f t="shared" si="24"/>
        <v>Mon</v>
      </c>
      <c r="E40" s="133">
        <f>[7]MoCoinMW!F$215</f>
        <v>9842</v>
      </c>
      <c r="F40" s="133">
        <f>[7]MoCoinMW!G$215</f>
        <v>8464</v>
      </c>
      <c r="G40" s="164">
        <f>SUM([6]Hist!M$335:O$335)</f>
        <v>0</v>
      </c>
      <c r="H40" s="164">
        <f>[6]Hist!L$335</f>
        <v>0</v>
      </c>
      <c r="I40" s="164">
        <f>[6]Hist!P$335</f>
        <v>0</v>
      </c>
      <c r="J40" s="133">
        <f t="shared" si="28"/>
        <v>8464</v>
      </c>
      <c r="K40" s="164">
        <f>[6]Hist!U$335</f>
        <v>404</v>
      </c>
      <c r="L40" s="164">
        <f>[6]Hist!V$335</f>
        <v>110</v>
      </c>
      <c r="M40" s="133">
        <f t="shared" ref="M40:M45" si="30">SUM(J40:K40)</f>
        <v>8868</v>
      </c>
      <c r="N40" s="164">
        <f>'Interruptible Forecast'!AN18</f>
        <v>272</v>
      </c>
      <c r="O40" s="1377">
        <f t="shared" si="12"/>
        <v>8082</v>
      </c>
      <c r="P40" s="132">
        <f>[8]FCST!$BI14</f>
        <v>1635912</v>
      </c>
      <c r="Q40" s="463">
        <f>[8]FCST!$DK14</f>
        <v>34940</v>
      </c>
      <c r="R40" s="558"/>
      <c r="S40" s="371">
        <f>[8]FCST!$CS14</f>
        <v>55263</v>
      </c>
      <c r="T40" s="387"/>
      <c r="U40" s="622">
        <f t="shared" si="20"/>
        <v>1607606</v>
      </c>
      <c r="V40" s="374">
        <f>ROUND(V39*1.01,0)</f>
        <v>14635</v>
      </c>
      <c r="W40" s="501">
        <f t="shared" si="18"/>
        <v>23882</v>
      </c>
      <c r="X40" s="339">
        <f>[5]Jul!$I35</f>
        <v>92.4</v>
      </c>
      <c r="Y40" s="339">
        <f>[5]Jul!$M35</f>
        <v>90.3</v>
      </c>
      <c r="AC40" s="374"/>
      <c r="AD40" s="123">
        <f t="shared" si="2"/>
        <v>2007</v>
      </c>
      <c r="AE40" s="133">
        <f t="shared" si="3"/>
        <v>8082</v>
      </c>
      <c r="AF40" s="132">
        <f t="shared" si="4"/>
        <v>1635912</v>
      </c>
      <c r="AG40" s="140">
        <f t="shared" si="5"/>
        <v>90.3</v>
      </c>
      <c r="AH40" s="301">
        <v>0</v>
      </c>
      <c r="AI40" s="287">
        <v>0</v>
      </c>
      <c r="AJ40" s="134">
        <f t="shared" si="29"/>
        <v>8066</v>
      </c>
      <c r="AK40" s="134">
        <f t="shared" ref="AK40:AK45" si="31">AE40-AJ40</f>
        <v>16</v>
      </c>
      <c r="AL40" s="569"/>
      <c r="AM40" s="581"/>
      <c r="AN40" s="134"/>
      <c r="AO40" s="138"/>
      <c r="AP40" s="322">
        <f t="shared" si="23"/>
        <v>201</v>
      </c>
      <c r="BB40" s="123">
        <f t="shared" si="27"/>
        <v>2007</v>
      </c>
      <c r="BC40" s="134">
        <f t="shared" si="7"/>
        <v>8245</v>
      </c>
      <c r="BD40" s="138">
        <f t="shared" si="8"/>
        <v>8082</v>
      </c>
      <c r="BE40" s="138">
        <f t="shared" si="25"/>
        <v>-163</v>
      </c>
      <c r="BF40" s="138">
        <f t="shared" si="9"/>
        <v>8066</v>
      </c>
      <c r="BG40" s="489">
        <f t="shared" si="26"/>
        <v>179</v>
      </c>
    </row>
    <row r="41" spans="1:59">
      <c r="A41" s="123">
        <v>2008</v>
      </c>
      <c r="B41" s="139">
        <v>39650</v>
      </c>
      <c r="C41" s="123">
        <v>16</v>
      </c>
      <c r="D41" s="346" t="str">
        <f>TEXT(WEEKDAY(B41),"ddd")</f>
        <v>Mon</v>
      </c>
      <c r="E41" s="133">
        <f>[7]MoCoinMW!F$227</f>
        <v>10017</v>
      </c>
      <c r="F41" s="133">
        <f>[7]MoCoinMW!G$227</f>
        <v>8458</v>
      </c>
      <c r="G41" s="164">
        <f>SUM([6]Hist!M$347:O$347)</f>
        <v>0</v>
      </c>
      <c r="H41" s="164">
        <f>[6]Hist!L$347</f>
        <v>0</v>
      </c>
      <c r="I41" s="164">
        <f>[6]Hist!P$347</f>
        <v>0</v>
      </c>
      <c r="J41" s="133">
        <f t="shared" si="28"/>
        <v>8458</v>
      </c>
      <c r="K41" s="164">
        <f>[6]Hist!U$347</f>
        <v>433</v>
      </c>
      <c r="L41" s="164">
        <f>[6]Hist!V$347</f>
        <v>110</v>
      </c>
      <c r="M41" s="133">
        <f t="shared" si="30"/>
        <v>8891</v>
      </c>
      <c r="N41" s="164">
        <f>'Interruptible Forecast'!AN19</f>
        <v>330</v>
      </c>
      <c r="O41" s="1377">
        <f t="shared" si="12"/>
        <v>8018</v>
      </c>
      <c r="P41" s="132">
        <f>[8]FCST!$BI15</f>
        <v>1635021</v>
      </c>
      <c r="Q41" s="463">
        <f>[8]FCST!$DK15</f>
        <v>35786</v>
      </c>
      <c r="R41" s="558"/>
      <c r="S41" s="371">
        <f>[8]FCST!$CS15</f>
        <v>55256</v>
      </c>
      <c r="T41" s="387"/>
      <c r="U41" s="909">
        <f t="shared" ref="U41:U58" si="32">P41-Q41+R$31</f>
        <v>1605869</v>
      </c>
      <c r="V41" s="374">
        <f>ROUND(V40*1.005,0)</f>
        <v>14708</v>
      </c>
      <c r="W41" s="501">
        <f t="shared" si="18"/>
        <v>-1737</v>
      </c>
      <c r="X41" s="339">
        <f>[5]Jul!$I36</f>
        <v>92.75</v>
      </c>
      <c r="Y41" s="339">
        <f>[5]Jul!$M36</f>
        <v>89.6</v>
      </c>
      <c r="AC41" s="374"/>
      <c r="AD41" s="123">
        <f t="shared" si="2"/>
        <v>2008</v>
      </c>
      <c r="AE41" s="133">
        <f t="shared" si="3"/>
        <v>8018</v>
      </c>
      <c r="AF41" s="132">
        <f t="shared" si="4"/>
        <v>1635021</v>
      </c>
      <c r="AG41" s="140">
        <f t="shared" si="5"/>
        <v>89.6</v>
      </c>
      <c r="AH41" s="301">
        <v>0</v>
      </c>
      <c r="AI41" s="287">
        <v>0</v>
      </c>
      <c r="AJ41" s="134">
        <f t="shared" si="29"/>
        <v>7977</v>
      </c>
      <c r="AK41" s="301">
        <f t="shared" si="31"/>
        <v>41</v>
      </c>
      <c r="AL41" s="569"/>
      <c r="AM41" s="581"/>
      <c r="AN41" s="134"/>
      <c r="AO41" s="138"/>
      <c r="AP41" s="322">
        <f t="shared" si="23"/>
        <v>-64</v>
      </c>
      <c r="BB41" s="123">
        <f t="shared" si="27"/>
        <v>2008</v>
      </c>
      <c r="BC41" s="134">
        <f t="shared" si="7"/>
        <v>8240</v>
      </c>
      <c r="BD41" s="138">
        <f>AE41</f>
        <v>8018</v>
      </c>
      <c r="BE41" s="138">
        <f>BD41-BC41</f>
        <v>-222</v>
      </c>
      <c r="BF41" s="138">
        <f>AJ41</f>
        <v>7977</v>
      </c>
      <c r="BG41" s="489">
        <f>BC41-BF41</f>
        <v>263</v>
      </c>
    </row>
    <row r="42" spans="1:59">
      <c r="A42" s="123">
        <v>2009</v>
      </c>
      <c r="B42" s="139">
        <v>40010</v>
      </c>
      <c r="C42" s="123">
        <v>16</v>
      </c>
      <c r="D42" s="346" t="str">
        <f>TEXT(WEEKDAY(B42),"ddd")</f>
        <v>Thu</v>
      </c>
      <c r="E42" s="133">
        <f>[7]MoCoinMW!F$239</f>
        <v>9294</v>
      </c>
      <c r="F42" s="133">
        <f>[7]MoCoinMW!G$239</f>
        <v>8141</v>
      </c>
      <c r="G42" s="164">
        <f>SUM([6]Hist!M$359:O$359)</f>
        <v>0</v>
      </c>
      <c r="H42" s="164">
        <f>[6]Hist!L$359</f>
        <v>0</v>
      </c>
      <c r="I42" s="164">
        <f>[6]Hist!P$359</f>
        <v>0</v>
      </c>
      <c r="J42" s="133">
        <f t="shared" si="28"/>
        <v>8141</v>
      </c>
      <c r="K42" s="164">
        <f>[6]Hist!U$359</f>
        <v>467</v>
      </c>
      <c r="L42" s="164">
        <f>[6]Hist!V$359</f>
        <v>110</v>
      </c>
      <c r="M42" s="133">
        <f t="shared" si="30"/>
        <v>8608</v>
      </c>
      <c r="N42" s="164">
        <f>'Interruptible Forecast'!AN20</f>
        <v>316</v>
      </c>
      <c r="O42" s="1377">
        <f t="shared" si="12"/>
        <v>7715</v>
      </c>
      <c r="P42" s="132">
        <f>[8]FCST!$BI16</f>
        <v>1626972</v>
      </c>
      <c r="Q42" s="463">
        <f>[8]FCST!$DK16</f>
        <v>34301</v>
      </c>
      <c r="R42" s="558"/>
      <c r="S42" s="371">
        <f>[8]FCST!$CS16</f>
        <v>61746</v>
      </c>
      <c r="T42" s="387"/>
      <c r="U42" s="909">
        <f t="shared" si="32"/>
        <v>1599305</v>
      </c>
      <c r="V42" s="374">
        <f t="shared" ref="V42:V63" si="33">ROUND(V41*1.005,0)</f>
        <v>14782</v>
      </c>
      <c r="W42" s="501">
        <f t="shared" si="18"/>
        <v>-6564</v>
      </c>
      <c r="X42" s="339">
        <f>[5]Jul!$I37</f>
        <v>90.95</v>
      </c>
      <c r="Y42" s="339">
        <f>[5]Jul!$M37</f>
        <v>89.8</v>
      </c>
      <c r="AC42" s="374"/>
      <c r="AD42" s="123">
        <f t="shared" si="2"/>
        <v>2009</v>
      </c>
      <c r="AE42" s="133">
        <f t="shared" si="3"/>
        <v>7715</v>
      </c>
      <c r="AF42" s="132">
        <f t="shared" si="4"/>
        <v>1626972</v>
      </c>
      <c r="AG42" s="140">
        <f t="shared" si="5"/>
        <v>89.8</v>
      </c>
      <c r="AH42" s="1134">
        <v>0.5</v>
      </c>
      <c r="AI42" s="287">
        <v>0</v>
      </c>
      <c r="AJ42" s="134">
        <f t="shared" si="29"/>
        <v>7717</v>
      </c>
      <c r="AK42" s="301">
        <f t="shared" si="31"/>
        <v>-2</v>
      </c>
      <c r="AL42" s="569"/>
      <c r="AM42" s="581"/>
      <c r="AN42" s="134"/>
      <c r="AO42" s="138"/>
      <c r="AP42" s="322">
        <f t="shared" si="23"/>
        <v>-303</v>
      </c>
      <c r="BB42" s="123">
        <f t="shared" si="27"/>
        <v>2009</v>
      </c>
      <c r="BC42" s="134">
        <f t="shared" si="7"/>
        <v>7956</v>
      </c>
      <c r="BD42" s="138">
        <f>AE42</f>
        <v>7715</v>
      </c>
      <c r="BE42" s="138">
        <f>BD42-BC42</f>
        <v>-241</v>
      </c>
      <c r="BF42" s="138">
        <f>AJ42</f>
        <v>7717</v>
      </c>
      <c r="BG42" s="489">
        <f>BC42-BF42</f>
        <v>239</v>
      </c>
    </row>
    <row r="43" spans="1:59">
      <c r="A43" s="123">
        <v>2010</v>
      </c>
      <c r="B43" s="139">
        <v>40386</v>
      </c>
      <c r="C43" s="123">
        <v>18</v>
      </c>
      <c r="D43" s="346" t="str">
        <f>TEXT(WEEKDAY(B43),"ddd")</f>
        <v>Tue</v>
      </c>
      <c r="E43" s="133">
        <f>[7]MoCoinMW!F$251</f>
        <v>9600</v>
      </c>
      <c r="F43" s="133">
        <f>[7]MoCoinMW!G$251</f>
        <v>8328</v>
      </c>
      <c r="G43" s="164">
        <f>SUM([6]Hist!M$371:O$371)</f>
        <v>0</v>
      </c>
      <c r="H43" s="164">
        <f>[6]Hist!L$371</f>
        <v>0</v>
      </c>
      <c r="I43" s="164">
        <f>[6]Hist!P$371</f>
        <v>0</v>
      </c>
      <c r="J43" s="133">
        <f t="shared" si="28"/>
        <v>8328</v>
      </c>
      <c r="K43" s="164">
        <f>[6]Hist!U$371</f>
        <v>508</v>
      </c>
      <c r="L43" s="164">
        <f>[6]Hist!V$371</f>
        <v>110</v>
      </c>
      <c r="M43" s="133">
        <f t="shared" si="30"/>
        <v>8836</v>
      </c>
      <c r="N43" s="164">
        <f>'Interruptible Forecast'!AN21</f>
        <v>254</v>
      </c>
      <c r="O43" s="1377">
        <f t="shared" si="12"/>
        <v>7964</v>
      </c>
      <c r="P43" s="132">
        <f>[8]FCST!$BI17</f>
        <v>1632942</v>
      </c>
      <c r="Q43" s="463">
        <f>[8]FCST!$DK17</f>
        <v>33267</v>
      </c>
      <c r="R43" s="558"/>
      <c r="S43" s="371">
        <f>[8]FCST!$CS17</f>
        <v>60394</v>
      </c>
      <c r="T43" s="387"/>
      <c r="U43" s="909">
        <f t="shared" si="32"/>
        <v>1606309</v>
      </c>
      <c r="V43" s="374">
        <f t="shared" si="33"/>
        <v>14856</v>
      </c>
      <c r="W43" s="501">
        <f t="shared" si="18"/>
        <v>7004</v>
      </c>
      <c r="X43" s="339">
        <f>[5]Jul!$I38</f>
        <v>93.8</v>
      </c>
      <c r="Y43" s="339">
        <f>[5]Jul!$M38</f>
        <v>93.7</v>
      </c>
      <c r="AC43" s="374"/>
      <c r="AD43" s="123">
        <f t="shared" si="2"/>
        <v>2010</v>
      </c>
      <c r="AE43" s="133">
        <f>O43</f>
        <v>7964</v>
      </c>
      <c r="AF43" s="132">
        <f t="shared" si="4"/>
        <v>1632942</v>
      </c>
      <c r="AG43" s="140">
        <f>Y43</f>
        <v>93.7</v>
      </c>
      <c r="AH43" s="1134">
        <v>1</v>
      </c>
      <c r="AI43" s="287">
        <v>0</v>
      </c>
      <c r="AJ43" s="134">
        <f t="shared" si="29"/>
        <v>7986</v>
      </c>
      <c r="AK43" s="301">
        <f t="shared" si="31"/>
        <v>-22</v>
      </c>
      <c r="AL43" s="569"/>
      <c r="AM43" s="577"/>
      <c r="AN43" s="134"/>
      <c r="AO43" s="138"/>
      <c r="AP43" s="322">
        <f t="shared" si="23"/>
        <v>249</v>
      </c>
      <c r="BB43" s="123">
        <f t="shared" si="27"/>
        <v>2010</v>
      </c>
      <c r="BC43" s="134">
        <f t="shared" si="7"/>
        <v>7759</v>
      </c>
      <c r="BD43" s="138">
        <f>AE43</f>
        <v>7964</v>
      </c>
      <c r="BE43" s="138">
        <f>BD43-BC43</f>
        <v>205</v>
      </c>
      <c r="BF43" s="138">
        <f>AJ43</f>
        <v>7986</v>
      </c>
      <c r="BG43" s="489">
        <f>BC43-BF43</f>
        <v>-227</v>
      </c>
    </row>
    <row r="44" spans="1:59">
      <c r="A44" s="123">
        <v>2011</v>
      </c>
      <c r="B44" s="139">
        <v>40754</v>
      </c>
      <c r="C44" s="123">
        <v>17</v>
      </c>
      <c r="D44" s="915" t="str">
        <f>TEXT(WEEKDAY(B44),"ddd")</f>
        <v>Sat</v>
      </c>
      <c r="E44" s="133">
        <f>[7]MoCoinMW!F$263</f>
        <v>8917</v>
      </c>
      <c r="F44" s="133">
        <f>[7]MoCoinMW!G$263</f>
        <v>8038</v>
      </c>
      <c r="G44" s="164">
        <f>SUM([6]Hist!M$383:O$383)</f>
        <v>0</v>
      </c>
      <c r="H44" s="164">
        <f>[6]Hist!L$383</f>
        <v>0</v>
      </c>
      <c r="I44" s="164">
        <f>[6]Hist!P$383</f>
        <v>0</v>
      </c>
      <c r="J44" s="133">
        <f t="shared" si="28"/>
        <v>8038</v>
      </c>
      <c r="K44" s="164">
        <f>[6]Hist!U$383</f>
        <v>559</v>
      </c>
      <c r="L44" s="164">
        <f>[6]Hist!V$383</f>
        <v>110</v>
      </c>
      <c r="M44" s="133">
        <f t="shared" si="30"/>
        <v>8597</v>
      </c>
      <c r="N44" s="164">
        <f>'Interruptible Forecast'!AN22</f>
        <v>239</v>
      </c>
      <c r="O44" s="1377">
        <f t="shared" si="12"/>
        <v>7689</v>
      </c>
      <c r="P44" s="132">
        <f>[8]FCST!$BI18</f>
        <v>1640478</v>
      </c>
      <c r="Q44" s="463">
        <f>[8]FCST!$DK18</f>
        <v>34464</v>
      </c>
      <c r="R44" s="558"/>
      <c r="S44" s="371">
        <f>[8]FCST!$CS18</f>
        <v>62054</v>
      </c>
      <c r="T44" s="387"/>
      <c r="U44" s="909">
        <f t="shared" si="32"/>
        <v>1612648</v>
      </c>
      <c r="V44" s="374">
        <f t="shared" si="33"/>
        <v>14930</v>
      </c>
      <c r="W44" s="501">
        <f t="shared" si="18"/>
        <v>6339</v>
      </c>
      <c r="X44" s="339">
        <f>[5]Jul!$I39</f>
        <v>93.3</v>
      </c>
      <c r="Y44" s="339">
        <f>[5]Jul!$M39</f>
        <v>91.1</v>
      </c>
      <c r="AC44" s="374"/>
      <c r="AD44" s="123">
        <f t="shared" si="2"/>
        <v>2011</v>
      </c>
      <c r="AE44" s="133">
        <f>O44</f>
        <v>7689</v>
      </c>
      <c r="AF44" s="132">
        <f t="shared" si="4"/>
        <v>1640478</v>
      </c>
      <c r="AG44" s="140">
        <f>Y44</f>
        <v>91.1</v>
      </c>
      <c r="AH44" s="1134">
        <v>1</v>
      </c>
      <c r="AI44" s="287">
        <v>0</v>
      </c>
      <c r="AJ44" s="134">
        <f t="shared" si="29"/>
        <v>7722</v>
      </c>
      <c r="AK44" s="301">
        <f t="shared" si="31"/>
        <v>-33</v>
      </c>
      <c r="AL44" s="569"/>
      <c r="AM44" s="577"/>
      <c r="AN44" s="134"/>
      <c r="AO44" s="138"/>
      <c r="AP44" s="322">
        <f t="shared" si="23"/>
        <v>-275</v>
      </c>
      <c r="BB44" s="123">
        <f t="shared" si="27"/>
        <v>2011</v>
      </c>
      <c r="BC44" s="134">
        <f>ROUND($AU$13+$AT$13*AF44+$AS$13*AG$73+$AR$13*AH44,0)</f>
        <v>7806</v>
      </c>
      <c r="BD44" s="138">
        <f>AE44</f>
        <v>7689</v>
      </c>
      <c r="BE44" s="138">
        <f>BD44-BC44</f>
        <v>-117</v>
      </c>
      <c r="BF44" s="138">
        <f>AJ44</f>
        <v>7722</v>
      </c>
      <c r="BG44" s="489">
        <f>BC44-BF44</f>
        <v>84</v>
      </c>
    </row>
    <row r="45" spans="1:59">
      <c r="A45" s="123">
        <v>2012</v>
      </c>
      <c r="B45" s="139">
        <v>41116</v>
      </c>
      <c r="C45" s="123">
        <v>17</v>
      </c>
      <c r="D45" s="341" t="str">
        <f>TEXT(WEEKDAY(B45),"ddd")</f>
        <v>Thu</v>
      </c>
      <c r="E45" s="133">
        <f>[7]MoCoinMW!F$275</f>
        <v>9026</v>
      </c>
      <c r="F45" s="133">
        <f>[7]MoCoinMW!G$275</f>
        <v>7946</v>
      </c>
      <c r="G45" s="164">
        <f>SUM([6]Hist!M$395:O$395)</f>
        <v>0</v>
      </c>
      <c r="H45" s="164">
        <f>[6]Hist!L$395</f>
        <v>0</v>
      </c>
      <c r="I45" s="164">
        <f>[6]Hist!P$395</f>
        <v>0</v>
      </c>
      <c r="J45" s="133">
        <f t="shared" ref="J45" si="34">SUM(F45:I45)</f>
        <v>7946</v>
      </c>
      <c r="K45" s="164">
        <f>[6]Hist!U$395</f>
        <v>605</v>
      </c>
      <c r="L45" s="164">
        <f>[6]Hist!V$395</f>
        <v>124</v>
      </c>
      <c r="M45" s="133">
        <f t="shared" si="30"/>
        <v>8551</v>
      </c>
      <c r="N45" s="164">
        <f>'Interruptible Forecast'!AN23</f>
        <v>251</v>
      </c>
      <c r="O45" s="1377">
        <f t="shared" si="12"/>
        <v>7571</v>
      </c>
      <c r="P45" s="132">
        <f>[8]FCST!$BI19</f>
        <v>1654943</v>
      </c>
      <c r="Q45" s="463">
        <f>[8]FCST!$DK19</f>
        <v>37301</v>
      </c>
      <c r="R45" s="558"/>
      <c r="S45" s="371">
        <f>[8]FCST!$CS19</f>
        <v>59771</v>
      </c>
      <c r="T45" s="387"/>
      <c r="U45" s="909">
        <f t="shared" si="32"/>
        <v>1624276</v>
      </c>
      <c r="V45" s="374">
        <f t="shared" si="33"/>
        <v>15005</v>
      </c>
      <c r="W45" s="501">
        <f t="shared" si="18"/>
        <v>11628</v>
      </c>
      <c r="X45" s="339">
        <f>[5]Jul!$I40</f>
        <v>91.25</v>
      </c>
      <c r="Y45" s="339">
        <f>[5]Jul!$M40</f>
        <v>90.2</v>
      </c>
      <c r="AC45" s="374"/>
      <c r="AD45" s="123">
        <f t="shared" si="2"/>
        <v>2012</v>
      </c>
      <c r="AE45" s="133">
        <f>O45</f>
        <v>7571</v>
      </c>
      <c r="AF45" s="132">
        <f t="shared" ref="AF45:AF73" si="35">P45</f>
        <v>1654943</v>
      </c>
      <c r="AG45" s="140">
        <f>Y45</f>
        <v>90.2</v>
      </c>
      <c r="AH45" s="1134">
        <v>1</v>
      </c>
      <c r="AI45" s="287">
        <v>0</v>
      </c>
      <c r="AJ45" s="134">
        <f>ROUND($AU$13+$AT$13*AF45+$AS$13*AG45+$AR$13*AH45,0)</f>
        <v>7704</v>
      </c>
      <c r="AK45" s="301">
        <f t="shared" si="31"/>
        <v>-133</v>
      </c>
      <c r="AL45" s="569"/>
      <c r="AM45" s="577"/>
      <c r="AN45" s="134"/>
      <c r="AO45" s="138"/>
      <c r="AP45" s="322">
        <f t="shared" si="23"/>
        <v>-118</v>
      </c>
      <c r="BB45" s="123">
        <f t="shared" si="27"/>
        <v>2012</v>
      </c>
      <c r="BC45" s="134">
        <f>ROUND($AU$13+$AT$13*AF45+$AS$13*AG$73+$AR$13*AH45,0)</f>
        <v>7895</v>
      </c>
      <c r="BD45" s="138">
        <f>AE45</f>
        <v>7571</v>
      </c>
      <c r="BE45" s="138">
        <f>BD45-BC45</f>
        <v>-324</v>
      </c>
      <c r="BF45" s="138">
        <f>AJ45</f>
        <v>7704</v>
      </c>
      <c r="BG45" s="489">
        <f>BC45-BF45</f>
        <v>191</v>
      </c>
    </row>
    <row r="46" spans="1:59">
      <c r="A46" s="123">
        <v>2013</v>
      </c>
      <c r="P46" s="132">
        <f>[8]FCST!$BI20</f>
        <v>1669665</v>
      </c>
      <c r="Q46" s="371">
        <f t="shared" ref="Q46:Q53" si="36">R46*S46</f>
        <v>34269.792999999998</v>
      </c>
      <c r="R46" s="558">
        <f t="shared" ref="R46:R73" si="37">$R$4</f>
        <v>0.55389999999999995</v>
      </c>
      <c r="S46" s="371">
        <f>[8]FCST!$CS20</f>
        <v>61870</v>
      </c>
      <c r="T46" s="387">
        <f>[8]FCST!$CA20</f>
        <v>1478112</v>
      </c>
      <c r="U46" s="678">
        <f t="shared" si="32"/>
        <v>1642029.2069999999</v>
      </c>
      <c r="V46" s="374">
        <f t="shared" si="33"/>
        <v>15080</v>
      </c>
      <c r="W46" s="501">
        <f t="shared" si="18"/>
        <v>17753.206999999937</v>
      </c>
      <c r="X46" s="123"/>
      <c r="Y46" s="123"/>
      <c r="AC46" s="374">
        <f>AM46-Summer!AR46</f>
        <v>-157</v>
      </c>
      <c r="AD46" s="123">
        <f t="shared" si="2"/>
        <v>2013</v>
      </c>
      <c r="AF46" s="132">
        <f t="shared" si="35"/>
        <v>1669665</v>
      </c>
      <c r="AG46" s="375">
        <f t="shared" ref="AG46:AG73" si="38">$Y$63</f>
        <v>91.8</v>
      </c>
      <c r="AH46" s="1328">
        <v>0.8</v>
      </c>
      <c r="AI46" s="287">
        <v>0</v>
      </c>
      <c r="AJ46" s="134"/>
      <c r="AK46" s="134"/>
      <c r="AL46" s="469">
        <v>25</v>
      </c>
      <c r="AM46" s="577">
        <f>ROUND($AU$13+$AT$13*AF46+$AS$13*AG46+$AR$13*AH46,0)-AL46</f>
        <v>8054</v>
      </c>
      <c r="AN46" s="134">
        <f>[11]Jul!$AM46</f>
        <v>8983</v>
      </c>
      <c r="AO46" s="138">
        <f t="shared" ref="AO46:AO53" si="39">AM46-AN46</f>
        <v>-929</v>
      </c>
      <c r="AP46" s="381">
        <f t="shared" ref="AP46:AP58" si="40">AM46-AM45</f>
        <v>8054</v>
      </c>
      <c r="BB46" s="138"/>
    </row>
    <row r="47" spans="1:59">
      <c r="A47" s="123">
        <v>2014</v>
      </c>
      <c r="P47" s="132">
        <f>[8]FCST!$BI21</f>
        <v>1691281.94829204</v>
      </c>
      <c r="Q47" s="371">
        <f t="shared" si="36"/>
        <v>34838.400057676357</v>
      </c>
      <c r="R47" s="558">
        <f t="shared" si="37"/>
        <v>0.55389999999999995</v>
      </c>
      <c r="S47" s="371">
        <f>[8]FCST!$CS21</f>
        <v>62896.551828265685</v>
      </c>
      <c r="T47" s="387">
        <f>[8]FCST!$CA21</f>
        <v>1497536.94829204</v>
      </c>
      <c r="U47" s="678">
        <f t="shared" si="32"/>
        <v>1663077.5482343638</v>
      </c>
      <c r="V47" s="374">
        <f t="shared" si="33"/>
        <v>15155</v>
      </c>
      <c r="W47" s="501">
        <f t="shared" si="18"/>
        <v>21048.341234363848</v>
      </c>
      <c r="X47" s="123"/>
      <c r="Y47" s="123"/>
      <c r="AC47" s="374">
        <f>AM47-Summer!AR47</f>
        <v>-195</v>
      </c>
      <c r="AD47" s="123">
        <f t="shared" si="2"/>
        <v>2014</v>
      </c>
      <c r="AF47" s="132">
        <f t="shared" si="35"/>
        <v>1691281.94829204</v>
      </c>
      <c r="AG47" s="375">
        <f t="shared" si="38"/>
        <v>91.8</v>
      </c>
      <c r="AH47" s="1328">
        <f>AH46-0.2</f>
        <v>0.60000000000000009</v>
      </c>
      <c r="AI47" s="287">
        <v>0</v>
      </c>
      <c r="AJ47" s="134"/>
      <c r="AK47" s="134"/>
      <c r="AL47" s="469">
        <v>25</v>
      </c>
      <c r="AM47" s="577">
        <f t="shared" ref="AM47:AM63" si="41">ROUND($AU$13+$AT$13*AF47+$AS$13*AG47+$AR$13*AH47,0)-AL47</f>
        <v>8281</v>
      </c>
      <c r="AN47" s="134">
        <f>[11]Jul!$AM47</f>
        <v>9154</v>
      </c>
      <c r="AO47" s="138">
        <f t="shared" si="39"/>
        <v>-873</v>
      </c>
      <c r="AP47" s="381">
        <f t="shared" si="40"/>
        <v>227</v>
      </c>
      <c r="BB47" s="138"/>
    </row>
    <row r="48" spans="1:59">
      <c r="A48" s="123">
        <v>2015</v>
      </c>
      <c r="P48" s="132">
        <f>[8]FCST!$BI22</f>
        <v>1718545.1175496201</v>
      </c>
      <c r="Q48" s="371">
        <f t="shared" si="36"/>
        <v>35408.250776250854</v>
      </c>
      <c r="R48" s="558">
        <f t="shared" si="37"/>
        <v>0.55389999999999995</v>
      </c>
      <c r="S48" s="371">
        <f>[8]FCST!$CS22</f>
        <v>63925.348937084047</v>
      </c>
      <c r="T48" s="387">
        <f>[8]FCST!$CA22</f>
        <v>1522032.1175496201</v>
      </c>
      <c r="U48" s="678">
        <f t="shared" si="32"/>
        <v>1689770.8667733693</v>
      </c>
      <c r="V48" s="374">
        <f t="shared" si="33"/>
        <v>15231</v>
      </c>
      <c r="W48" s="501">
        <f t="shared" si="18"/>
        <v>26693.318539005471</v>
      </c>
      <c r="X48" s="123"/>
      <c r="Y48" s="123"/>
      <c r="AC48" s="374">
        <f>AM48-Summer!AR48</f>
        <v>-201</v>
      </c>
      <c r="AD48" s="123">
        <f t="shared" si="2"/>
        <v>2015</v>
      </c>
      <c r="AF48" s="132">
        <f t="shared" si="35"/>
        <v>1718545.1175496201</v>
      </c>
      <c r="AG48" s="375">
        <f t="shared" si="38"/>
        <v>91.8</v>
      </c>
      <c r="AH48" s="1328">
        <f t="shared" ref="AH48:AH49" si="42">AH47-0.2</f>
        <v>0.40000000000000008</v>
      </c>
      <c r="AI48" s="287">
        <v>0</v>
      </c>
      <c r="AJ48" s="134"/>
      <c r="AK48" s="134"/>
      <c r="AL48" s="469">
        <v>25</v>
      </c>
      <c r="AM48" s="577">
        <f t="shared" si="41"/>
        <v>8543</v>
      </c>
      <c r="AN48" s="134">
        <f>[11]Jul!$AM48</f>
        <v>9350</v>
      </c>
      <c r="AO48" s="138">
        <f t="shared" si="39"/>
        <v>-807</v>
      </c>
      <c r="AP48" s="381">
        <f t="shared" si="40"/>
        <v>262</v>
      </c>
      <c r="BB48" s="138"/>
    </row>
    <row r="49" spans="1:54">
      <c r="A49" s="123">
        <v>2016</v>
      </c>
      <c r="P49" s="132">
        <f>[8]FCST!$BI23</f>
        <v>1744746.6126371</v>
      </c>
      <c r="Q49" s="371">
        <f t="shared" si="36"/>
        <v>35955.264023266966</v>
      </c>
      <c r="R49" s="558">
        <f t="shared" si="37"/>
        <v>0.55389999999999995</v>
      </c>
      <c r="S49" s="371">
        <f>[8]FCST!$CS23</f>
        <v>64912.915730758206</v>
      </c>
      <c r="T49" s="387">
        <f>[8]FCST!$CA23</f>
        <v>1545545.6126371</v>
      </c>
      <c r="U49" s="678">
        <f t="shared" si="32"/>
        <v>1715425.3486138331</v>
      </c>
      <c r="V49" s="374">
        <f t="shared" si="33"/>
        <v>15307</v>
      </c>
      <c r="W49" s="501">
        <f t="shared" si="18"/>
        <v>25654.481840463821</v>
      </c>
      <c r="X49" s="123"/>
      <c r="Y49" s="123"/>
      <c r="AC49" s="374">
        <f>AM49-Summer!AR49</f>
        <v>-238</v>
      </c>
      <c r="AD49" s="123">
        <f t="shared" si="2"/>
        <v>2016</v>
      </c>
      <c r="AF49" s="132">
        <f t="shared" si="35"/>
        <v>1744746.6126371</v>
      </c>
      <c r="AG49" s="375">
        <f t="shared" si="38"/>
        <v>91.8</v>
      </c>
      <c r="AH49" s="1328">
        <f t="shared" si="42"/>
        <v>0.20000000000000007</v>
      </c>
      <c r="AI49" s="287">
        <v>0</v>
      </c>
      <c r="AJ49" s="134"/>
      <c r="AK49" s="134"/>
      <c r="AL49" s="469">
        <v>25</v>
      </c>
      <c r="AM49" s="577">
        <f t="shared" si="41"/>
        <v>8798</v>
      </c>
      <c r="AN49" s="134">
        <f>[11]Jul!$AM49</f>
        <v>9538</v>
      </c>
      <c r="AO49" s="138">
        <f t="shared" si="39"/>
        <v>-740</v>
      </c>
      <c r="AP49" s="381">
        <f t="shared" si="40"/>
        <v>255</v>
      </c>
      <c r="BB49" s="138"/>
    </row>
    <row r="50" spans="1:54">
      <c r="A50" s="123">
        <v>2017</v>
      </c>
      <c r="P50" s="132">
        <f>[8]FCST!$BI24</f>
        <v>1771483.34977497</v>
      </c>
      <c r="Q50" s="371">
        <f t="shared" si="36"/>
        <v>36514.31028589495</v>
      </c>
      <c r="R50" s="558">
        <f t="shared" si="37"/>
        <v>0.55389999999999995</v>
      </c>
      <c r="S50" s="371">
        <f>[8]FCST!$CS24</f>
        <v>65922.206690548745</v>
      </c>
      <c r="T50" s="387">
        <f>[8]FCST!$CA24</f>
        <v>1569576.34977497</v>
      </c>
      <c r="U50" s="678">
        <f t="shared" si="32"/>
        <v>1741603.0394890751</v>
      </c>
      <c r="V50" s="374">
        <f t="shared" si="33"/>
        <v>15384</v>
      </c>
      <c r="W50" s="501">
        <f t="shared" si="18"/>
        <v>26177.690875241999</v>
      </c>
      <c r="X50" s="123"/>
      <c r="Y50" s="123"/>
      <c r="AC50" s="374">
        <f>AM50-Summer!AR50</f>
        <v>-273</v>
      </c>
      <c r="AD50" s="123">
        <f t="shared" si="2"/>
        <v>2017</v>
      </c>
      <c r="AF50" s="132">
        <f t="shared" si="35"/>
        <v>1771483.34977497</v>
      </c>
      <c r="AG50" s="375">
        <f t="shared" si="38"/>
        <v>91.8</v>
      </c>
      <c r="AH50" s="301">
        <v>0</v>
      </c>
      <c r="AI50" s="287">
        <v>0</v>
      </c>
      <c r="AJ50" s="134"/>
      <c r="AK50" s="134"/>
      <c r="AL50" s="469">
        <v>25</v>
      </c>
      <c r="AM50" s="577">
        <f t="shared" si="41"/>
        <v>9057</v>
      </c>
      <c r="AN50" s="134">
        <f>[11]Jul!$AM50</f>
        <v>9734</v>
      </c>
      <c r="AO50" s="138">
        <f t="shared" si="39"/>
        <v>-677</v>
      </c>
      <c r="AP50" s="381">
        <f t="shared" si="40"/>
        <v>259</v>
      </c>
      <c r="BB50" s="138"/>
    </row>
    <row r="51" spans="1:54">
      <c r="A51" s="123">
        <v>2018</v>
      </c>
      <c r="P51" s="132">
        <f>[8]FCST!$BI25</f>
        <v>1796896.4290440399</v>
      </c>
      <c r="Q51" s="371">
        <f t="shared" si="36"/>
        <v>37045.936487594736</v>
      </c>
      <c r="R51" s="558">
        <f t="shared" si="37"/>
        <v>0.55389999999999995</v>
      </c>
      <c r="S51" s="371">
        <f>[8]FCST!$CS25</f>
        <v>66881.994019849677</v>
      </c>
      <c r="T51" s="387">
        <f>[8]FCST!$CA25</f>
        <v>1592428.4290440399</v>
      </c>
      <c r="U51" s="678">
        <f t="shared" si="32"/>
        <v>1766484.4925564453</v>
      </c>
      <c r="V51" s="374">
        <f t="shared" si="33"/>
        <v>15461</v>
      </c>
      <c r="W51" s="501">
        <f t="shared" si="18"/>
        <v>24881.453067370225</v>
      </c>
      <c r="X51" s="123"/>
      <c r="Y51" s="123"/>
      <c r="AC51" s="374">
        <f>AM51-Summer!AR51</f>
        <v>-280</v>
      </c>
      <c r="AD51" s="123">
        <f t="shared" si="2"/>
        <v>2018</v>
      </c>
      <c r="AF51" s="132">
        <f t="shared" si="35"/>
        <v>1796896.4290440399</v>
      </c>
      <c r="AG51" s="375">
        <f t="shared" si="38"/>
        <v>91.8</v>
      </c>
      <c r="AH51" s="301">
        <v>0</v>
      </c>
      <c r="AI51" s="287">
        <v>0</v>
      </c>
      <c r="AJ51" s="134"/>
      <c r="AK51" s="134"/>
      <c r="AL51" s="469">
        <v>25</v>
      </c>
      <c r="AM51" s="577">
        <f t="shared" si="41"/>
        <v>9214</v>
      </c>
      <c r="AN51" s="134">
        <f>[11]Jul!$AM51</f>
        <v>9934</v>
      </c>
      <c r="AO51" s="138">
        <f t="shared" si="39"/>
        <v>-720</v>
      </c>
      <c r="AP51" s="381">
        <f t="shared" si="40"/>
        <v>157</v>
      </c>
      <c r="BB51" s="138"/>
    </row>
    <row r="52" spans="1:54">
      <c r="A52" s="123">
        <v>2019</v>
      </c>
      <c r="P52" s="132">
        <f>[8]FCST!$BI26</f>
        <v>1820661.0396739901</v>
      </c>
      <c r="Q52" s="371">
        <f t="shared" si="36"/>
        <v>37543.516847567771</v>
      </c>
      <c r="R52" s="558">
        <f t="shared" si="37"/>
        <v>0.55389999999999995</v>
      </c>
      <c r="S52" s="371">
        <f>[8]FCST!$CS26</f>
        <v>67780.315666307593</v>
      </c>
      <c r="T52" s="387">
        <f>[8]FCST!$CA26</f>
        <v>1613817.0396739901</v>
      </c>
      <c r="U52" s="678">
        <f t="shared" si="32"/>
        <v>1789751.5228264222</v>
      </c>
      <c r="V52" s="374">
        <f t="shared" si="33"/>
        <v>15538</v>
      </c>
      <c r="W52" s="501">
        <f t="shared" si="18"/>
        <v>23267.030269976938</v>
      </c>
      <c r="X52" s="123"/>
      <c r="Y52" s="123"/>
      <c r="AC52" s="374">
        <f>AM52-Summer!AR52</f>
        <v>-288</v>
      </c>
      <c r="AD52" s="123">
        <f t="shared" si="2"/>
        <v>2019</v>
      </c>
      <c r="AF52" s="132">
        <f t="shared" si="35"/>
        <v>1820661.0396739901</v>
      </c>
      <c r="AG52" s="375">
        <f t="shared" si="38"/>
        <v>91.8</v>
      </c>
      <c r="AH52" s="301">
        <v>0</v>
      </c>
      <c r="AI52" s="287">
        <v>0</v>
      </c>
      <c r="AJ52" s="134"/>
      <c r="AK52" s="134"/>
      <c r="AL52" s="469">
        <v>25</v>
      </c>
      <c r="AM52" s="577">
        <f t="shared" si="41"/>
        <v>9360</v>
      </c>
      <c r="AN52" s="134">
        <f>[11]Jul!$AM52</f>
        <v>10135</v>
      </c>
      <c r="AO52" s="138">
        <f t="shared" si="39"/>
        <v>-775</v>
      </c>
      <c r="AP52" s="381">
        <f t="shared" si="40"/>
        <v>146</v>
      </c>
      <c r="BB52" s="138"/>
    </row>
    <row r="53" spans="1:54">
      <c r="A53" s="123">
        <v>2020</v>
      </c>
      <c r="P53" s="132">
        <f>[8]FCST!$BI27</f>
        <v>1844205.5630027801</v>
      </c>
      <c r="Q53" s="371">
        <f t="shared" si="36"/>
        <v>38037.117066784071</v>
      </c>
      <c r="R53" s="558">
        <f t="shared" si="37"/>
        <v>0.55389999999999995</v>
      </c>
      <c r="S53" s="371">
        <f>[8]FCST!$CS27</f>
        <v>68671.451646116766</v>
      </c>
      <c r="T53" s="387">
        <f>[8]FCST!$CA27</f>
        <v>1635034.5630027801</v>
      </c>
      <c r="U53" s="678">
        <f t="shared" si="32"/>
        <v>1812802.445935996</v>
      </c>
      <c r="V53" s="374">
        <f t="shared" si="33"/>
        <v>15616</v>
      </c>
      <c r="W53" s="501">
        <f t="shared" si="18"/>
        <v>23050.923109573778</v>
      </c>
      <c r="X53" s="123"/>
      <c r="Y53" s="123"/>
      <c r="AC53" s="374">
        <f>AM53-Summer!AR53</f>
        <v>-294</v>
      </c>
      <c r="AD53" s="123">
        <f t="shared" si="2"/>
        <v>2020</v>
      </c>
      <c r="AF53" s="132">
        <f t="shared" si="35"/>
        <v>1844205.5630027801</v>
      </c>
      <c r="AG53" s="375">
        <f t="shared" si="38"/>
        <v>91.8</v>
      </c>
      <c r="AH53" s="301">
        <v>0</v>
      </c>
      <c r="AI53" s="287">
        <v>0</v>
      </c>
      <c r="AJ53" s="134"/>
      <c r="AK53" s="134"/>
      <c r="AL53" s="469">
        <v>25</v>
      </c>
      <c r="AM53" s="577">
        <f t="shared" si="41"/>
        <v>9506</v>
      </c>
      <c r="AN53" s="134">
        <f>[11]Jul!$AM53</f>
        <v>10336</v>
      </c>
      <c r="AO53" s="138">
        <f t="shared" si="39"/>
        <v>-830</v>
      </c>
      <c r="AP53" s="381">
        <f t="shared" si="40"/>
        <v>146</v>
      </c>
      <c r="BB53" s="138"/>
    </row>
    <row r="54" spans="1:54">
      <c r="A54" s="123">
        <v>2021</v>
      </c>
      <c r="P54" s="132">
        <f>[8]FCST!$BI28</f>
        <v>1866782.0150321</v>
      </c>
      <c r="Q54" s="371">
        <f t="shared" ref="Q54:Q63" si="43">R54*S54</f>
        <v>38510.755286903768</v>
      </c>
      <c r="R54" s="558">
        <f t="shared" si="37"/>
        <v>0.55389999999999995</v>
      </c>
      <c r="S54" s="371">
        <f>[8]FCST!$CS28</f>
        <v>69526.548631348211</v>
      </c>
      <c r="T54" s="387">
        <f>[8]FCST!$CA28</f>
        <v>1655394.0150321</v>
      </c>
      <c r="U54" s="678">
        <f t="shared" si="32"/>
        <v>1834905.2597451962</v>
      </c>
      <c r="V54" s="374">
        <f t="shared" si="33"/>
        <v>15694</v>
      </c>
      <c r="W54" s="501">
        <f t="shared" si="18"/>
        <v>22102.81380920019</v>
      </c>
      <c r="X54" s="123"/>
      <c r="Y54" s="123"/>
      <c r="AC54" s="374">
        <f>AM54-Summer!AR54</f>
        <v>-301</v>
      </c>
      <c r="AD54" s="123">
        <f t="shared" si="2"/>
        <v>2021</v>
      </c>
      <c r="AF54" s="132">
        <f t="shared" si="35"/>
        <v>1866782.0150321</v>
      </c>
      <c r="AG54" s="375">
        <f t="shared" si="38"/>
        <v>91.8</v>
      </c>
      <c r="AH54" s="301">
        <v>0</v>
      </c>
      <c r="AI54" s="287">
        <v>0</v>
      </c>
      <c r="AL54" s="469">
        <v>25</v>
      </c>
      <c r="AM54" s="577">
        <f t="shared" si="41"/>
        <v>9645</v>
      </c>
      <c r="AN54" s="134">
        <f>[11]Jul!$AM54</f>
        <v>10533</v>
      </c>
      <c r="AO54" s="138">
        <f t="shared" ref="AO54:AO63" si="44">AM54-AN54</f>
        <v>-888</v>
      </c>
      <c r="AP54" s="381">
        <f t="shared" si="40"/>
        <v>139</v>
      </c>
    </row>
    <row r="55" spans="1:54">
      <c r="A55" s="123">
        <v>2022</v>
      </c>
      <c r="P55" s="132">
        <f>[8]FCST!$BI29</f>
        <v>1888943.4468549499</v>
      </c>
      <c r="Q55" s="371">
        <f t="shared" si="43"/>
        <v>38976.157651744179</v>
      </c>
      <c r="R55" s="558">
        <f t="shared" si="37"/>
        <v>0.55389999999999995</v>
      </c>
      <c r="S55" s="371">
        <f>[8]FCST!$CS29</f>
        <v>70366.776767907897</v>
      </c>
      <c r="T55" s="387">
        <f>[8]FCST!$CA29</f>
        <v>1675399.4468549499</v>
      </c>
      <c r="U55" s="678">
        <f t="shared" si="32"/>
        <v>1856601.2892032058</v>
      </c>
      <c r="V55" s="374">
        <f t="shared" si="33"/>
        <v>15772</v>
      </c>
      <c r="W55" s="501">
        <f t="shared" si="18"/>
        <v>21696.029458009638</v>
      </c>
      <c r="X55" s="123"/>
      <c r="Y55" s="123"/>
      <c r="AC55" s="374">
        <f>AM55-Summer!AR55</f>
        <v>-307</v>
      </c>
      <c r="AD55" s="123">
        <f t="shared" si="2"/>
        <v>2022</v>
      </c>
      <c r="AF55" s="132">
        <f t="shared" si="35"/>
        <v>1888943.4468549499</v>
      </c>
      <c r="AG55" s="375">
        <f t="shared" si="38"/>
        <v>91.8</v>
      </c>
      <c r="AH55" s="301">
        <v>0</v>
      </c>
      <c r="AI55" s="287">
        <v>0</v>
      </c>
      <c r="AL55" s="469">
        <v>25</v>
      </c>
      <c r="AM55" s="577">
        <f t="shared" si="41"/>
        <v>9782</v>
      </c>
      <c r="AN55" s="134">
        <f>[11]Jul!$AM55</f>
        <v>10727</v>
      </c>
      <c r="AO55" s="138">
        <f t="shared" si="44"/>
        <v>-945</v>
      </c>
      <c r="AP55" s="381">
        <f t="shared" si="40"/>
        <v>137</v>
      </c>
    </row>
    <row r="56" spans="1:54">
      <c r="A56" s="123">
        <v>2023</v>
      </c>
      <c r="P56" s="132">
        <f>[8]FCST!$BI30</f>
        <v>1909506.9533092501</v>
      </c>
      <c r="Q56" s="371">
        <f t="shared" si="43"/>
        <v>39408.341046395726</v>
      </c>
      <c r="R56" s="558">
        <f t="shared" si="37"/>
        <v>0.55389999999999995</v>
      </c>
      <c r="S56" s="371">
        <f>[8]FCST!$CS30</f>
        <v>71147.032038988502</v>
      </c>
      <c r="T56" s="387">
        <f>[8]FCST!$CA30</f>
        <v>1693976.9533092501</v>
      </c>
      <c r="U56" s="678">
        <f t="shared" si="32"/>
        <v>1876732.6122628544</v>
      </c>
      <c r="V56" s="374">
        <f t="shared" si="33"/>
        <v>15851</v>
      </c>
      <c r="W56" s="501">
        <f t="shared" si="18"/>
        <v>20131.323059648508</v>
      </c>
      <c r="X56" s="123"/>
      <c r="Y56" s="123"/>
      <c r="AC56" s="374">
        <f>AM56-Summer!AR56</f>
        <v>-313</v>
      </c>
      <c r="AD56" s="123">
        <f t="shared" si="2"/>
        <v>2023</v>
      </c>
      <c r="AF56" s="132">
        <f t="shared" si="35"/>
        <v>1909506.9533092501</v>
      </c>
      <c r="AG56" s="375">
        <f t="shared" si="38"/>
        <v>91.8</v>
      </c>
      <c r="AH56" s="301">
        <v>0</v>
      </c>
      <c r="AI56" s="287">
        <v>0</v>
      </c>
      <c r="AL56" s="469">
        <v>25</v>
      </c>
      <c r="AM56" s="577">
        <f t="shared" si="41"/>
        <v>9909</v>
      </c>
      <c r="AN56" s="134">
        <f>[11]Jul!$AM56</f>
        <v>10919</v>
      </c>
      <c r="AO56" s="138">
        <f t="shared" si="44"/>
        <v>-1010</v>
      </c>
      <c r="AP56" s="381">
        <f t="shared" si="40"/>
        <v>127</v>
      </c>
    </row>
    <row r="57" spans="1:54">
      <c r="A57" s="123">
        <v>2024</v>
      </c>
      <c r="P57" s="132">
        <f>[8]FCST!$BI31</f>
        <v>1929672.18046067</v>
      </c>
      <c r="Q57" s="371">
        <f t="shared" si="43"/>
        <v>39832.747834200934</v>
      </c>
      <c r="R57" s="558">
        <f t="shared" si="37"/>
        <v>0.55389999999999995</v>
      </c>
      <c r="S57" s="371">
        <f>[8]FCST!$CS31</f>
        <v>71913.247579348143</v>
      </c>
      <c r="T57" s="387">
        <f>[8]FCST!$CA31</f>
        <v>1712220.18046067</v>
      </c>
      <c r="U57" s="678">
        <f t="shared" si="32"/>
        <v>1896473.4326264691</v>
      </c>
      <c r="V57" s="374">
        <f t="shared" si="33"/>
        <v>15930</v>
      </c>
      <c r="W57" s="501">
        <f t="shared" si="18"/>
        <v>19740.820363614708</v>
      </c>
      <c r="X57" s="123"/>
      <c r="Y57" s="123"/>
      <c r="AC57" s="374">
        <f>AM57-Summer!AR57</f>
        <v>-320</v>
      </c>
      <c r="AD57" s="123">
        <f t="shared" si="2"/>
        <v>2024</v>
      </c>
      <c r="AF57" s="132">
        <f t="shared" si="35"/>
        <v>1929672.18046067</v>
      </c>
      <c r="AG57" s="375">
        <f t="shared" si="38"/>
        <v>91.8</v>
      </c>
      <c r="AH57" s="301">
        <v>0</v>
      </c>
      <c r="AI57" s="287">
        <v>0</v>
      </c>
      <c r="AL57" s="469">
        <v>25</v>
      </c>
      <c r="AM57" s="577">
        <f t="shared" si="41"/>
        <v>10033</v>
      </c>
      <c r="AN57" s="134">
        <f>[11]Jul!$AM57</f>
        <v>11108</v>
      </c>
      <c r="AO57" s="138">
        <f t="shared" si="44"/>
        <v>-1075</v>
      </c>
      <c r="AP57" s="381">
        <f t="shared" si="40"/>
        <v>124</v>
      </c>
    </row>
    <row r="58" spans="1:54">
      <c r="A58" s="123">
        <v>2025</v>
      </c>
      <c r="P58" s="132">
        <f>[8]FCST!$BI32</f>
        <v>1948856.8596679701</v>
      </c>
      <c r="Q58" s="371">
        <f t="shared" si="43"/>
        <v>40236.855841143719</v>
      </c>
      <c r="R58" s="558">
        <f t="shared" si="37"/>
        <v>0.55389999999999995</v>
      </c>
      <c r="S58" s="371">
        <f>[8]FCST!$CS32</f>
        <v>72642.816106054743</v>
      </c>
      <c r="T58" s="387">
        <f>[8]FCST!$CA32</f>
        <v>1729590.8596679701</v>
      </c>
      <c r="U58" s="678">
        <f t="shared" si="32"/>
        <v>1915254.0038268263</v>
      </c>
      <c r="V58" s="374">
        <f t="shared" si="33"/>
        <v>16010</v>
      </c>
      <c r="W58" s="501">
        <f t="shared" si="18"/>
        <v>18780.571200357284</v>
      </c>
      <c r="AC58" s="374">
        <f>AM58-Summer!AR58</f>
        <v>-325</v>
      </c>
      <c r="AD58" s="123">
        <f t="shared" si="2"/>
        <v>2025</v>
      </c>
      <c r="AF58" s="132">
        <f t="shared" si="35"/>
        <v>1948856.8596679701</v>
      </c>
      <c r="AG58" s="375">
        <f t="shared" si="38"/>
        <v>91.8</v>
      </c>
      <c r="AH58" s="301">
        <v>0</v>
      </c>
      <c r="AI58" s="287">
        <v>0</v>
      </c>
      <c r="AL58" s="469">
        <v>25</v>
      </c>
      <c r="AM58" s="577">
        <f t="shared" si="41"/>
        <v>10152</v>
      </c>
      <c r="AN58" s="134">
        <f>[11]Jul!$AM58</f>
        <v>11296</v>
      </c>
      <c r="AO58" s="138">
        <f t="shared" si="44"/>
        <v>-1144</v>
      </c>
      <c r="AP58" s="381">
        <f t="shared" si="40"/>
        <v>119</v>
      </c>
    </row>
    <row r="59" spans="1:54">
      <c r="A59" s="123">
        <v>2026</v>
      </c>
      <c r="P59" s="132">
        <f>[8]FCST!$BI33</f>
        <v>1967058.4296179099</v>
      </c>
      <c r="Q59" s="371">
        <f t="shared" si="43"/>
        <v>40620.675272745131</v>
      </c>
      <c r="R59" s="558">
        <f t="shared" si="37"/>
        <v>0.55389999999999995</v>
      </c>
      <c r="S59" s="371">
        <f>[8]FCST!$CS33</f>
        <v>73335.75604395222</v>
      </c>
      <c r="T59" s="387">
        <f>[8]FCST!$CA33</f>
        <v>1746089.4296179099</v>
      </c>
      <c r="U59" s="678">
        <f>P59-Q59+R$31</f>
        <v>1933071.7543451649</v>
      </c>
      <c r="V59" s="374">
        <f t="shared" si="33"/>
        <v>16090</v>
      </c>
      <c r="W59" s="501">
        <f>U59-U58</f>
        <v>17817.750518338522</v>
      </c>
      <c r="Y59" s="680"/>
      <c r="Z59" s="302"/>
      <c r="AC59" s="374">
        <f>AM59-Summer!AR59</f>
        <v>-330</v>
      </c>
      <c r="AD59" s="123">
        <f>A59</f>
        <v>2026</v>
      </c>
      <c r="AF59" s="132">
        <f t="shared" si="35"/>
        <v>1967058.4296179099</v>
      </c>
      <c r="AG59" s="375">
        <f t="shared" si="38"/>
        <v>91.8</v>
      </c>
      <c r="AH59" s="301">
        <v>0</v>
      </c>
      <c r="AI59" s="287">
        <v>0</v>
      </c>
      <c r="AL59" s="469">
        <v>25</v>
      </c>
      <c r="AM59" s="577">
        <f t="shared" si="41"/>
        <v>10264</v>
      </c>
      <c r="AN59" s="134">
        <f>[11]Jul!$AM59</f>
        <v>11482</v>
      </c>
      <c r="AO59" s="138">
        <f t="shared" si="44"/>
        <v>-1218</v>
      </c>
      <c r="AP59" s="381">
        <f>AM59-AM58</f>
        <v>112</v>
      </c>
    </row>
    <row r="60" spans="1:54">
      <c r="A60" s="123">
        <v>2027</v>
      </c>
      <c r="P60" s="132">
        <f>[8]FCST!$BI34</f>
        <v>1984888.2677349299</v>
      </c>
      <c r="Q60" s="371">
        <f t="shared" si="43"/>
        <v>40997.126318331866</v>
      </c>
      <c r="R60" s="558">
        <f t="shared" si="37"/>
        <v>0.55389999999999995</v>
      </c>
      <c r="S60" s="371">
        <f>[8]FCST!$CS34</f>
        <v>74015.393244867068</v>
      </c>
      <c r="T60" s="387">
        <f>[8]FCST!$CA34</f>
        <v>1762271.2677349299</v>
      </c>
      <c r="U60" s="678">
        <f>P60-Q60+R$31</f>
        <v>1950525.1414165981</v>
      </c>
      <c r="V60" s="374">
        <f t="shared" si="33"/>
        <v>16170</v>
      </c>
      <c r="W60" s="501">
        <f>U60-U59</f>
        <v>17453.387071433244</v>
      </c>
      <c r="Y60" s="680"/>
      <c r="Z60" s="302"/>
      <c r="AC60" s="374">
        <f>AM60-Summer!AR60</f>
        <v>-336</v>
      </c>
      <c r="AD60" s="123">
        <f>A60</f>
        <v>2027</v>
      </c>
      <c r="AF60" s="132">
        <f t="shared" si="35"/>
        <v>1984888.2677349299</v>
      </c>
      <c r="AG60" s="375">
        <f t="shared" si="38"/>
        <v>91.8</v>
      </c>
      <c r="AH60" s="301">
        <v>0</v>
      </c>
      <c r="AI60" s="287">
        <v>0</v>
      </c>
      <c r="AL60" s="469">
        <v>25</v>
      </c>
      <c r="AM60" s="577">
        <f t="shared" si="41"/>
        <v>10374</v>
      </c>
      <c r="AN60" s="134">
        <f>[11]Jul!$AM60</f>
        <v>11667</v>
      </c>
      <c r="AO60" s="138">
        <f t="shared" si="44"/>
        <v>-1293</v>
      </c>
      <c r="AP60" s="381">
        <f>AM60-AM59</f>
        <v>110</v>
      </c>
    </row>
    <row r="61" spans="1:54">
      <c r="A61" s="123">
        <v>2028</v>
      </c>
      <c r="P61" s="132">
        <f>[8]FCST!$BI35</f>
        <v>2002342.9163443099</v>
      </c>
      <c r="Q61" s="371">
        <f t="shared" si="43"/>
        <v>41366.035484050757</v>
      </c>
      <c r="R61" s="558">
        <f t="shared" si="37"/>
        <v>0.55389999999999995</v>
      </c>
      <c r="S61" s="371">
        <f>[8]FCST!$CS35</f>
        <v>74681.414486461028</v>
      </c>
      <c r="T61" s="387">
        <f>[8]FCST!$CA35</f>
        <v>1778128.9163443099</v>
      </c>
      <c r="U61" s="678">
        <f>P61-Q61+R$31</f>
        <v>1967610.8808602591</v>
      </c>
      <c r="V61" s="374">
        <f t="shared" si="33"/>
        <v>16251</v>
      </c>
      <c r="W61" s="501">
        <f>U61-U60</f>
        <v>17085.739443660947</v>
      </c>
      <c r="Y61" s="680"/>
      <c r="Z61" s="302"/>
      <c r="AC61" s="374">
        <f>AM61-Summer!AR61</f>
        <v>-341</v>
      </c>
      <c r="AD61" s="123">
        <f>A61</f>
        <v>2028</v>
      </c>
      <c r="AF61" s="132">
        <f t="shared" si="35"/>
        <v>2002342.9163443099</v>
      </c>
      <c r="AG61" s="375">
        <f t="shared" si="38"/>
        <v>91.8</v>
      </c>
      <c r="AH61" s="301">
        <v>0</v>
      </c>
      <c r="AI61" s="287">
        <v>0</v>
      </c>
      <c r="AL61" s="469">
        <v>25</v>
      </c>
      <c r="AM61" s="577">
        <f t="shared" si="41"/>
        <v>10482</v>
      </c>
      <c r="AN61" s="134">
        <f>[11]Jul!$AM61</f>
        <v>11851</v>
      </c>
      <c r="AO61" s="138">
        <f t="shared" si="44"/>
        <v>-1369</v>
      </c>
      <c r="AP61" s="381">
        <f>AM61-AM60</f>
        <v>108</v>
      </c>
    </row>
    <row r="62" spans="1:54">
      <c r="A62" s="123">
        <v>2029</v>
      </c>
      <c r="P62" s="132">
        <f>[8]FCST!$BI36</f>
        <v>2019419.0403978101</v>
      </c>
      <c r="Q62" s="371">
        <f t="shared" si="43"/>
        <v>41727.208865006571</v>
      </c>
      <c r="R62" s="558">
        <f t="shared" si="37"/>
        <v>0.55389999999999995</v>
      </c>
      <c r="S62" s="371">
        <f>[8]FCST!$CS36</f>
        <v>75333.469696708024</v>
      </c>
      <c r="T62" s="387">
        <f>[8]FCST!$CA36</f>
        <v>1793654.0403978101</v>
      </c>
      <c r="U62" s="678">
        <f>P62-Q62+R$31</f>
        <v>1984325.8315328034</v>
      </c>
      <c r="V62" s="374">
        <f t="shared" si="33"/>
        <v>16332</v>
      </c>
      <c r="W62" s="501">
        <f>U62-U61</f>
        <v>16714.950672544306</v>
      </c>
      <c r="Y62" s="680"/>
      <c r="Z62" s="302"/>
      <c r="AC62" s="374">
        <f>AM62-Summer!AR62</f>
        <v>-346</v>
      </c>
      <c r="AD62" s="123">
        <f>A62</f>
        <v>2029</v>
      </c>
      <c r="AF62" s="132">
        <f t="shared" si="35"/>
        <v>2019419.0403978101</v>
      </c>
      <c r="AG62" s="375">
        <f t="shared" si="38"/>
        <v>91.8</v>
      </c>
      <c r="AH62" s="301">
        <v>0</v>
      </c>
      <c r="AI62" s="287">
        <v>0</v>
      </c>
      <c r="AL62" s="469">
        <v>25</v>
      </c>
      <c r="AM62" s="577">
        <f t="shared" si="41"/>
        <v>10587</v>
      </c>
      <c r="AN62" s="134">
        <f>[11]Jul!$AM62</f>
        <v>12033</v>
      </c>
      <c r="AO62" s="138">
        <f t="shared" si="44"/>
        <v>-1446</v>
      </c>
      <c r="AP62" s="381">
        <f>AM62-AM61</f>
        <v>105</v>
      </c>
    </row>
    <row r="63" spans="1:54">
      <c r="A63" s="123">
        <v>2030</v>
      </c>
      <c r="P63" s="132">
        <f>[8]FCST!$BI37</f>
        <v>2035442.25218156</v>
      </c>
      <c r="Q63" s="371">
        <f t="shared" si="43"/>
        <v>42066.562842501378</v>
      </c>
      <c r="R63" s="558">
        <f t="shared" si="37"/>
        <v>0.55389999999999995</v>
      </c>
      <c r="S63" s="371">
        <f>[8]FCST!$CS37</f>
        <v>75946.13259162553</v>
      </c>
      <c r="T63" s="387">
        <f>[8]FCST!$CA37</f>
        <v>1808241.25218156</v>
      </c>
      <c r="U63" s="678">
        <f>P63-Q63+R$31</f>
        <v>2000009.6893390587</v>
      </c>
      <c r="V63" s="374">
        <f t="shared" si="33"/>
        <v>16414</v>
      </c>
      <c r="W63" s="501">
        <f>U63-U62</f>
        <v>15683.857806255342</v>
      </c>
      <c r="Y63" s="418">
        <f>ROUND(AVERAGE(Y14:Y43),1)</f>
        <v>91.8</v>
      </c>
      <c r="Z63" s="892" t="s">
        <v>446</v>
      </c>
      <c r="AC63" s="374">
        <f>AM63-Summer!AR63</f>
        <v>-351</v>
      </c>
      <c r="AD63" s="123">
        <f>A63</f>
        <v>2030</v>
      </c>
      <c r="AF63" s="132">
        <f t="shared" si="35"/>
        <v>2035442.25218156</v>
      </c>
      <c r="AG63" s="375">
        <f t="shared" si="38"/>
        <v>91.8</v>
      </c>
      <c r="AH63" s="301">
        <v>0</v>
      </c>
      <c r="AI63" s="287">
        <v>0</v>
      </c>
      <c r="AL63" s="469">
        <v>25</v>
      </c>
      <c r="AM63" s="577">
        <f t="shared" si="41"/>
        <v>10686</v>
      </c>
      <c r="AN63" s="134">
        <f>[11]Jul!$AM63</f>
        <v>12213</v>
      </c>
      <c r="AO63" s="138">
        <f t="shared" si="44"/>
        <v>-1527</v>
      </c>
      <c r="AP63" s="381">
        <f>AM63-AM62</f>
        <v>99</v>
      </c>
    </row>
    <row r="64" spans="1:54">
      <c r="A64" s="123">
        <v>2031</v>
      </c>
      <c r="P64" s="132">
        <f>[8]FCST!$BI38</f>
        <v>2051051.3729514801</v>
      </c>
      <c r="Q64" s="371">
        <f t="shared" ref="Q64:Q73" si="45">R64*S64</f>
        <v>42397.609526068642</v>
      </c>
      <c r="R64" s="558">
        <f t="shared" si="37"/>
        <v>0.55389999999999995</v>
      </c>
      <c r="S64" s="371">
        <f>[8]FCST!$CS38</f>
        <v>76543.797663962163</v>
      </c>
      <c r="T64" s="387">
        <f>[8]FCST!$CA38</f>
        <v>1822471.3729514801</v>
      </c>
      <c r="U64" s="678">
        <f t="shared" ref="U64:U73" si="46">P64-Q64+R$31</f>
        <v>2015287.7634254114</v>
      </c>
      <c r="W64" s="501">
        <f t="shared" ref="W64:W73" si="47">U64-U63</f>
        <v>15278.074086352717</v>
      </c>
      <c r="AC64" s="374">
        <f>AM64-Summer!AR64</f>
        <v>-355</v>
      </c>
      <c r="AD64" s="123">
        <f t="shared" ref="AD64:AD73" si="48">A64</f>
        <v>2031</v>
      </c>
      <c r="AF64" s="132">
        <f t="shared" si="35"/>
        <v>2051051.3729514801</v>
      </c>
      <c r="AG64" s="375">
        <f t="shared" si="38"/>
        <v>91.8</v>
      </c>
      <c r="AH64" s="301">
        <v>0</v>
      </c>
      <c r="AI64" s="287">
        <v>0</v>
      </c>
      <c r="AL64" s="469">
        <v>25</v>
      </c>
      <c r="AM64" s="577">
        <f t="shared" ref="AM64:AM73" si="49">ROUND($AU$13+$AT$13*AF64+$AS$13*AG64+$AR$13*AH64,0)-AL64</f>
        <v>10783</v>
      </c>
      <c r="AP64" s="381">
        <f t="shared" ref="AP64:AP73" si="50">AM64-AM63</f>
        <v>97</v>
      </c>
    </row>
    <row r="65" spans="1:42">
      <c r="A65" s="123">
        <v>2032</v>
      </c>
      <c r="P65" s="132">
        <f>[8]FCST!$BI39</f>
        <v>2066258.6669485499</v>
      </c>
      <c r="Q65" s="371">
        <f t="shared" si="45"/>
        <v>42720.471381957679</v>
      </c>
      <c r="R65" s="558">
        <f t="shared" si="37"/>
        <v>0.55389999999999995</v>
      </c>
      <c r="S65" s="371">
        <f>[8]FCST!$CS39</f>
        <v>77126.686011839105</v>
      </c>
      <c r="T65" s="387">
        <f>[8]FCST!$CA39</f>
        <v>1836349.6669485499</v>
      </c>
      <c r="U65" s="678">
        <f t="shared" si="46"/>
        <v>2030172.1955665923</v>
      </c>
      <c r="W65" s="501">
        <f t="shared" si="47"/>
        <v>14884.432141180849</v>
      </c>
      <c r="AC65" s="374">
        <f>AM65-Summer!AR65</f>
        <v>-360</v>
      </c>
      <c r="AD65" s="123">
        <f t="shared" si="48"/>
        <v>2032</v>
      </c>
      <c r="AF65" s="132">
        <f t="shared" si="35"/>
        <v>2066258.6669485499</v>
      </c>
      <c r="AG65" s="375">
        <f t="shared" si="38"/>
        <v>91.8</v>
      </c>
      <c r="AH65" s="301">
        <v>0</v>
      </c>
      <c r="AI65" s="287">
        <v>0</v>
      </c>
      <c r="AL65" s="469">
        <v>25</v>
      </c>
      <c r="AM65" s="577">
        <f t="shared" si="49"/>
        <v>10876</v>
      </c>
      <c r="AN65" s="93"/>
      <c r="AO65" s="103"/>
      <c r="AP65" s="381">
        <f t="shared" si="50"/>
        <v>93</v>
      </c>
    </row>
    <row r="66" spans="1:42">
      <c r="A66" s="123">
        <v>2033</v>
      </c>
      <c r="P66" s="132">
        <f>[8]FCST!$BI40</f>
        <v>2081070.90790777</v>
      </c>
      <c r="Q66" s="371">
        <f t="shared" si="45"/>
        <v>43035.352520584776</v>
      </c>
      <c r="R66" s="558">
        <f t="shared" si="37"/>
        <v>0.55389999999999995</v>
      </c>
      <c r="S66" s="371">
        <f>[8]FCST!$CS40</f>
        <v>77695.166132126338</v>
      </c>
      <c r="T66" s="387">
        <f>[8]FCST!$CA40</f>
        <v>1849884.90790777</v>
      </c>
      <c r="U66" s="678">
        <f t="shared" si="46"/>
        <v>2044669.5553871852</v>
      </c>
      <c r="W66" s="501">
        <f t="shared" si="47"/>
        <v>14497.359820592916</v>
      </c>
      <c r="AC66" s="374">
        <f>AM66-Summer!AR66</f>
        <v>-364</v>
      </c>
      <c r="AD66" s="123">
        <f t="shared" si="48"/>
        <v>2033</v>
      </c>
      <c r="AF66" s="132">
        <f t="shared" si="35"/>
        <v>2081070.90790777</v>
      </c>
      <c r="AG66" s="375">
        <f t="shared" si="38"/>
        <v>91.8</v>
      </c>
      <c r="AH66" s="301">
        <v>0</v>
      </c>
      <c r="AI66" s="287">
        <v>0</v>
      </c>
      <c r="AL66" s="469">
        <v>25</v>
      </c>
      <c r="AM66" s="577">
        <f t="shared" si="49"/>
        <v>10968</v>
      </c>
      <c r="AN66" s="93"/>
      <c r="AO66" s="103"/>
      <c r="AP66" s="381">
        <f t="shared" si="50"/>
        <v>92</v>
      </c>
    </row>
    <row r="67" spans="1:42">
      <c r="A67" s="123">
        <v>2034</v>
      </c>
      <c r="P67" s="132">
        <f>[8]FCST!$BI41</f>
        <v>2095500.43087736</v>
      </c>
      <c r="Q67" s="371">
        <f t="shared" si="45"/>
        <v>43342.446846844723</v>
      </c>
      <c r="R67" s="558">
        <f t="shared" si="37"/>
        <v>0.55389999999999995</v>
      </c>
      <c r="S67" s="371">
        <f>[8]FCST!$CS41</f>
        <v>78249.588096849126</v>
      </c>
      <c r="T67" s="387">
        <f>[8]FCST!$CA41</f>
        <v>1863085.43087736</v>
      </c>
      <c r="U67" s="678">
        <f t="shared" si="46"/>
        <v>2058791.9840305154</v>
      </c>
      <c r="W67" s="501">
        <f t="shared" si="47"/>
        <v>14122.428643330233</v>
      </c>
      <c r="AC67" s="374">
        <f>AM67-Summer!AR67</f>
        <v>-369</v>
      </c>
      <c r="AD67" s="123">
        <f t="shared" si="48"/>
        <v>2034</v>
      </c>
      <c r="AF67" s="132">
        <f t="shared" si="35"/>
        <v>2095500.43087736</v>
      </c>
      <c r="AG67" s="375">
        <f t="shared" si="38"/>
        <v>91.8</v>
      </c>
      <c r="AH67" s="301">
        <v>0</v>
      </c>
      <c r="AI67" s="287">
        <v>0</v>
      </c>
      <c r="AL67" s="469">
        <v>25</v>
      </c>
      <c r="AM67" s="577">
        <f t="shared" si="49"/>
        <v>11057</v>
      </c>
      <c r="AP67" s="381">
        <f t="shared" si="50"/>
        <v>89</v>
      </c>
    </row>
    <row r="68" spans="1:42">
      <c r="A68" s="123">
        <v>2035</v>
      </c>
      <c r="P68" s="132">
        <f>[8]FCST!$BI42</f>
        <v>2109553.5709055597</v>
      </c>
      <c r="Q68" s="371">
        <f t="shared" si="45"/>
        <v>43641.94826563276</v>
      </c>
      <c r="R68" s="558">
        <f t="shared" si="37"/>
        <v>0.55389999999999995</v>
      </c>
      <c r="S68" s="371">
        <f>[8]FCST!$CS42</f>
        <v>78790.301978033516</v>
      </c>
      <c r="T68" s="387">
        <f>[8]FCST!$CA42</f>
        <v>1875959.5709055599</v>
      </c>
      <c r="U68" s="678">
        <f t="shared" si="46"/>
        <v>2072545.6226399268</v>
      </c>
      <c r="W68" s="501">
        <f t="shared" si="47"/>
        <v>13753.638609411428</v>
      </c>
      <c r="AC68" s="374">
        <f>AM68-Summer!AR68</f>
        <v>-373</v>
      </c>
      <c r="AD68" s="123">
        <f t="shared" si="48"/>
        <v>2035</v>
      </c>
      <c r="AF68" s="132">
        <f t="shared" si="35"/>
        <v>2109553.5709055597</v>
      </c>
      <c r="AG68" s="375">
        <f t="shared" si="38"/>
        <v>91.8</v>
      </c>
      <c r="AH68" s="301">
        <v>0</v>
      </c>
      <c r="AI68" s="287">
        <v>0</v>
      </c>
      <c r="AL68" s="469">
        <v>25</v>
      </c>
      <c r="AM68" s="577">
        <f t="shared" si="49"/>
        <v>11144</v>
      </c>
      <c r="AP68" s="381">
        <f t="shared" si="50"/>
        <v>87</v>
      </c>
    </row>
    <row r="69" spans="1:42">
      <c r="A69" s="123">
        <v>2036</v>
      </c>
      <c r="P69" s="132">
        <f>[8]FCST!$BI43</f>
        <v>2123251.8754623402</v>
      </c>
      <c r="Q69" s="371">
        <f t="shared" si="45"/>
        <v>43934.264997780781</v>
      </c>
      <c r="R69" s="558">
        <f t="shared" si="37"/>
        <v>0.55389999999999995</v>
      </c>
      <c r="S69" s="371">
        <f>[8]FCST!$CS43</f>
        <v>79318.04476941828</v>
      </c>
      <c r="T69" s="387">
        <f>[8]FCST!$CA43</f>
        <v>1888524.87546234</v>
      </c>
      <c r="U69" s="678">
        <f t="shared" si="46"/>
        <v>2085951.6104645594</v>
      </c>
      <c r="W69" s="501">
        <f t="shared" si="47"/>
        <v>13405.987824632553</v>
      </c>
      <c r="AC69" s="374">
        <f>AM69-Summer!AR69</f>
        <v>-378</v>
      </c>
      <c r="AD69" s="123">
        <f t="shared" si="48"/>
        <v>2036</v>
      </c>
      <c r="AF69" s="132">
        <f t="shared" si="35"/>
        <v>2123251.8754623402</v>
      </c>
      <c r="AG69" s="375">
        <f t="shared" si="38"/>
        <v>91.8</v>
      </c>
      <c r="AH69" s="301">
        <v>0</v>
      </c>
      <c r="AI69" s="287">
        <v>0</v>
      </c>
      <c r="AL69" s="469">
        <v>25</v>
      </c>
      <c r="AM69" s="577">
        <f t="shared" si="49"/>
        <v>11228</v>
      </c>
      <c r="AP69" s="381">
        <f t="shared" si="50"/>
        <v>84</v>
      </c>
    </row>
    <row r="70" spans="1:42">
      <c r="A70" s="123">
        <v>2037</v>
      </c>
      <c r="P70" s="132">
        <f>[8]FCST!$BI44</f>
        <v>2138054.2303494802</v>
      </c>
      <c r="Q70" s="371">
        <f t="shared" si="45"/>
        <v>44250.125866404233</v>
      </c>
      <c r="R70" s="558">
        <f t="shared" si="37"/>
        <v>0.55389999999999995</v>
      </c>
      <c r="S70" s="371">
        <f>[8]FCST!$CS44</f>
        <v>79888.293674678163</v>
      </c>
      <c r="T70" s="387">
        <f>[8]FCST!$CA44</f>
        <v>1902102.2303494799</v>
      </c>
      <c r="U70" s="678">
        <f t="shared" si="46"/>
        <v>2100438.1044830759</v>
      </c>
      <c r="W70" s="501">
        <f t="shared" si="47"/>
        <v>14486.494018516503</v>
      </c>
      <c r="AC70" s="374">
        <f>AM70-Summer!AR70</f>
        <v>-382</v>
      </c>
      <c r="AD70" s="123">
        <f t="shared" si="48"/>
        <v>2037</v>
      </c>
      <c r="AF70" s="132">
        <f t="shared" si="35"/>
        <v>2138054.2303494802</v>
      </c>
      <c r="AG70" s="375">
        <f t="shared" si="38"/>
        <v>91.8</v>
      </c>
      <c r="AH70" s="301">
        <v>0</v>
      </c>
      <c r="AI70" s="287">
        <v>0</v>
      </c>
      <c r="AL70" s="469">
        <v>25</v>
      </c>
      <c r="AM70" s="577">
        <f t="shared" si="49"/>
        <v>11320</v>
      </c>
      <c r="AP70" s="381">
        <f t="shared" si="50"/>
        <v>92</v>
      </c>
    </row>
    <row r="71" spans="1:42">
      <c r="A71" s="123">
        <v>2038</v>
      </c>
      <c r="P71" s="132">
        <f>[8]FCST!$BI45</f>
        <v>2153371.3479377399</v>
      </c>
      <c r="Q71" s="371">
        <f t="shared" si="45"/>
        <v>44576.84540915399</v>
      </c>
      <c r="R71" s="558">
        <f t="shared" si="37"/>
        <v>0.55389999999999995</v>
      </c>
      <c r="S71" s="371">
        <f>[8]FCST!$CS45</f>
        <v>80478.146613385077</v>
      </c>
      <c r="T71" s="387">
        <f>[8]FCST!$CA45</f>
        <v>1916146.3479377399</v>
      </c>
      <c r="U71" s="678">
        <f t="shared" si="46"/>
        <v>2115428.502528586</v>
      </c>
      <c r="W71" s="501">
        <f t="shared" si="47"/>
        <v>14990.398045510054</v>
      </c>
      <c r="AC71" s="374">
        <f>AM71-Summer!AR71</f>
        <v>-387</v>
      </c>
      <c r="AD71" s="123">
        <f t="shared" si="48"/>
        <v>2038</v>
      </c>
      <c r="AF71" s="132">
        <f t="shared" si="35"/>
        <v>2153371.3479377399</v>
      </c>
      <c r="AG71" s="375">
        <f t="shared" si="38"/>
        <v>91.8</v>
      </c>
      <c r="AH71" s="301">
        <v>0</v>
      </c>
      <c r="AI71" s="287">
        <v>0</v>
      </c>
      <c r="AL71" s="469">
        <v>25</v>
      </c>
      <c r="AM71" s="577">
        <f t="shared" si="49"/>
        <v>11414</v>
      </c>
      <c r="AP71" s="381">
        <f t="shared" si="50"/>
        <v>94</v>
      </c>
    </row>
    <row r="72" spans="1:42">
      <c r="A72" s="123">
        <v>2039</v>
      </c>
      <c r="P72" s="132">
        <f>[8]FCST!$BI46</f>
        <v>2167856.8206789</v>
      </c>
      <c r="Q72" s="371">
        <f t="shared" si="45"/>
        <v>44886.195155509798</v>
      </c>
      <c r="R72" s="558">
        <f t="shared" si="37"/>
        <v>0.55389999999999995</v>
      </c>
      <c r="S72" s="371">
        <f>[8]FCST!$CS46</f>
        <v>81036.640468513811</v>
      </c>
      <c r="T72" s="387">
        <f>[8]FCST!$CA46</f>
        <v>1929443.8206789</v>
      </c>
      <c r="U72" s="678">
        <f t="shared" si="46"/>
        <v>2129604.6255233902</v>
      </c>
      <c r="W72" s="501">
        <f t="shared" si="47"/>
        <v>14176.122994804289</v>
      </c>
      <c r="AC72" s="374">
        <f>AM72-Summer!AR72</f>
        <v>-392</v>
      </c>
      <c r="AD72" s="123">
        <f t="shared" si="48"/>
        <v>2039</v>
      </c>
      <c r="AF72" s="132">
        <f t="shared" si="35"/>
        <v>2167856.8206789</v>
      </c>
      <c r="AG72" s="375">
        <f t="shared" si="38"/>
        <v>91.8</v>
      </c>
      <c r="AH72" s="301">
        <v>0</v>
      </c>
      <c r="AI72" s="287">
        <v>0</v>
      </c>
      <c r="AL72" s="469">
        <v>25</v>
      </c>
      <c r="AM72" s="577">
        <f t="shared" si="49"/>
        <v>11504</v>
      </c>
      <c r="AP72" s="381">
        <f t="shared" si="50"/>
        <v>90</v>
      </c>
    </row>
    <row r="73" spans="1:42">
      <c r="A73" s="123">
        <v>2040</v>
      </c>
      <c r="P73" s="132">
        <f>[8]FCST!$BI47</f>
        <v>2182988.1716399398</v>
      </c>
      <c r="Q73" s="371">
        <f t="shared" si="45"/>
        <v>45209.546876397231</v>
      </c>
      <c r="R73" s="558">
        <f t="shared" si="37"/>
        <v>0.55389999999999995</v>
      </c>
      <c r="S73" s="371">
        <f>[8]FCST!$CS47</f>
        <v>81620.413208877479</v>
      </c>
      <c r="T73" s="387">
        <f>[8]FCST!$CA47</f>
        <v>1943343.17163994</v>
      </c>
      <c r="U73" s="678">
        <f t="shared" si="46"/>
        <v>2144412.6247635423</v>
      </c>
      <c r="W73" s="501">
        <f t="shared" si="47"/>
        <v>14807.999240152072</v>
      </c>
      <c r="AC73" s="374">
        <f>AM73-Summer!AR73</f>
        <v>-393</v>
      </c>
      <c r="AD73" s="123">
        <f t="shared" si="48"/>
        <v>2040</v>
      </c>
      <c r="AF73" s="132">
        <f t="shared" si="35"/>
        <v>2182988.1716399398</v>
      </c>
      <c r="AG73" s="375">
        <f t="shared" si="38"/>
        <v>91.8</v>
      </c>
      <c r="AH73" s="301">
        <v>0</v>
      </c>
      <c r="AI73" s="287">
        <v>0</v>
      </c>
      <c r="AL73" s="469">
        <v>25</v>
      </c>
      <c r="AM73" s="577">
        <f t="shared" si="49"/>
        <v>11597</v>
      </c>
      <c r="AP73" s="381">
        <f t="shared" si="50"/>
        <v>93</v>
      </c>
    </row>
    <row r="74" spans="1:42">
      <c r="AI74" s="123"/>
    </row>
    <row r="75" spans="1:42" ht="13.5" customHeight="1"/>
    <row r="76" spans="1:42" ht="13.5" customHeight="1"/>
    <row r="79" spans="1:42">
      <c r="AI79" s="123"/>
    </row>
    <row r="80" spans="1:42">
      <c r="AI80" s="123"/>
    </row>
    <row r="81" spans="34:35">
      <c r="AI81" s="123"/>
    </row>
    <row r="82" spans="34:35">
      <c r="AI82" s="123"/>
    </row>
    <row r="83" spans="34:35">
      <c r="AI83" s="123"/>
    </row>
    <row r="84" spans="34:35">
      <c r="AI84" s="123"/>
    </row>
    <row r="85" spans="34:35">
      <c r="AH85" s="123"/>
    </row>
    <row r="86" spans="34:35">
      <c r="AH86" s="123"/>
    </row>
    <row r="87" spans="34:35">
      <c r="AH87" s="123"/>
    </row>
  </sheetData>
  <mergeCells count="1">
    <mergeCell ref="AD1:AU1"/>
  </mergeCells>
  <phoneticPr fontId="52" type="noConversion"/>
  <printOptions horizontalCentered="1"/>
  <pageMargins left="0.25" right="0.25" top="0.5" bottom="0.75" header="0" footer="0.25"/>
  <pageSetup scale="66" orientation="landscape" verticalDpi="300" r:id="rId1"/>
  <headerFooter alignWithMargins="0">
    <oddFooter>&amp;LLoad Forecasting : &amp;D&amp;R14LGBRA-NRGPOD1-6-DOC 38
14BGBRA-STAFFROG1-19A-DOC 38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BT119"/>
  <sheetViews>
    <sheetView tabSelected="1" zoomScale="80" zoomScaleNormal="80" workbookViewId="0">
      <pane xSplit="3" ySplit="6" topLeftCell="P31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 customHeight="1"/>
  <cols>
    <col min="1" max="1" width="12" style="103" customWidth="1"/>
    <col min="2" max="2" width="5.85546875" style="93" customWidth="1"/>
    <col min="3" max="3" width="5.42578125" style="103" customWidth="1"/>
    <col min="4" max="4" width="8.7109375" style="93" bestFit="1" customWidth="1"/>
    <col min="5" max="5" width="8.7109375" style="103" bestFit="1" customWidth="1"/>
    <col min="6" max="6" width="12.42578125" style="93" customWidth="1"/>
    <col min="7" max="10" width="7.7109375" style="103" customWidth="1"/>
    <col min="11" max="11" width="11.140625" style="103" bestFit="1" customWidth="1"/>
    <col min="12" max="12" width="11.140625" style="103" customWidth="1"/>
    <col min="13" max="14" width="10.5703125" style="107" customWidth="1"/>
    <col min="15" max="15" width="7.7109375" style="107" bestFit="1" customWidth="1"/>
    <col min="16" max="16" width="12.28515625" style="103" bestFit="1" customWidth="1"/>
    <col min="17" max="17" width="11.140625" style="103" bestFit="1" customWidth="1"/>
    <col min="18" max="18" width="11" style="103" customWidth="1"/>
    <col min="19" max="19" width="4" style="103" customWidth="1"/>
    <col min="20" max="20" width="11" style="103" customWidth="1"/>
    <col min="21" max="21" width="13.85546875" style="103" customWidth="1"/>
    <col min="22" max="22" width="12.140625" style="103" bestFit="1" customWidth="1"/>
    <col min="23" max="23" width="11.42578125" style="107" customWidth="1"/>
    <col min="24" max="24" width="11.5703125" style="103" customWidth="1"/>
    <col min="25" max="25" width="12.7109375" style="103" bestFit="1" customWidth="1"/>
    <col min="26" max="26" width="10" style="103" bestFit="1" customWidth="1"/>
    <col min="27" max="27" width="9.140625" style="103"/>
    <col min="28" max="28" width="12.7109375" style="103" bestFit="1" customWidth="1"/>
    <col min="29" max="32" width="9.28515625" style="103" bestFit="1" customWidth="1"/>
    <col min="33" max="33" width="10.140625" style="103" bestFit="1" customWidth="1"/>
    <col min="34" max="34" width="10.28515625" style="103" bestFit="1" customWidth="1"/>
    <col min="35" max="35" width="9.140625" style="103"/>
    <col min="36" max="37" width="9.85546875" style="103" bestFit="1" customWidth="1"/>
    <col min="38" max="38" width="12.7109375" style="103" bestFit="1" customWidth="1"/>
    <col min="39" max="39" width="11" style="103" customWidth="1"/>
    <col min="40" max="40" width="7.85546875" style="103" customWidth="1"/>
    <col min="41" max="46" width="9.140625" style="103"/>
    <col min="47" max="47" width="12.5703125" style="103" customWidth="1"/>
    <col min="48" max="48" width="10.7109375" style="103" customWidth="1"/>
    <col min="49" max="49" width="15.7109375" style="103" customWidth="1"/>
    <col min="50" max="50" width="13.7109375" style="103" customWidth="1"/>
    <col min="51" max="51" width="15.7109375" style="103" bestFit="1" customWidth="1"/>
    <col min="52" max="53" width="12.7109375" style="103" customWidth="1"/>
    <col min="54" max="54" width="15.7109375" style="103" bestFit="1" customWidth="1"/>
    <col min="55" max="55" width="11" style="103" bestFit="1" customWidth="1"/>
    <col min="56" max="56" width="12" style="103" bestFit="1" customWidth="1"/>
    <col min="57" max="57" width="11" style="103" bestFit="1" customWidth="1"/>
    <col min="58" max="58" width="11" style="103" customWidth="1"/>
    <col min="59" max="59" width="9.140625" style="103"/>
    <col min="60" max="60" width="11.28515625" style="103" customWidth="1"/>
    <col min="61" max="61" width="9.140625" style="103"/>
    <col min="62" max="62" width="11.140625" style="103" bestFit="1" customWidth="1"/>
    <col min="63" max="16384" width="9.140625" style="103"/>
  </cols>
  <sheetData>
    <row r="1" spans="1:72" ht="12.75" customHeight="1" thickBot="1">
      <c r="A1" s="243" t="s">
        <v>210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1583" t="s">
        <v>634</v>
      </c>
      <c r="O1" s="243"/>
      <c r="P1" s="243"/>
      <c r="Q1" s="243"/>
      <c r="R1" s="243"/>
      <c r="S1" s="243"/>
      <c r="T1" s="243"/>
      <c r="U1" s="243"/>
      <c r="V1" s="1583" t="s">
        <v>634</v>
      </c>
      <c r="W1" s="1583" t="s">
        <v>634</v>
      </c>
      <c r="X1" s="1583" t="s">
        <v>634</v>
      </c>
      <c r="Y1" s="1583" t="s">
        <v>634</v>
      </c>
      <c r="Z1" s="1583" t="s">
        <v>634</v>
      </c>
      <c r="AA1" s="1583" t="s">
        <v>634</v>
      </c>
      <c r="AB1" s="1583" t="s">
        <v>634</v>
      </c>
      <c r="AI1" s="1346" t="s">
        <v>601</v>
      </c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43"/>
      <c r="AU1" s="443"/>
      <c r="AV1" s="443"/>
      <c r="AW1" s="1346" t="s">
        <v>577</v>
      </c>
      <c r="AX1" s="443"/>
      <c r="AY1" s="443"/>
      <c r="AZ1" s="443"/>
      <c r="BA1" s="243"/>
      <c r="BB1" s="243"/>
    </row>
    <row r="2" spans="1:72" ht="12.75" customHeight="1">
      <c r="T2" s="117" t="s">
        <v>410</v>
      </c>
      <c r="U2" s="1190" t="str">
        <f>Jul!P2</f>
        <v>CF_201309</v>
      </c>
      <c r="V2" s="123"/>
      <c r="W2" s="1190" t="str">
        <f>Jul!R2</f>
        <v>13_EDB_Adjmt.xlsx</v>
      </c>
      <c r="X2" s="109"/>
      <c r="Y2" s="1190" t="str">
        <f>Jul!T2</f>
        <v>CF_201309</v>
      </c>
      <c r="Z2" s="124"/>
      <c r="AA2" s="123"/>
      <c r="AB2" s="124"/>
      <c r="AC2" s="124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673" t="s">
        <v>334</v>
      </c>
      <c r="AX2" s="119"/>
      <c r="AY2" s="119"/>
      <c r="AZ2" s="119"/>
      <c r="BA2" s="119"/>
      <c r="BB2" s="119"/>
    </row>
    <row r="3" spans="1:72" ht="12.75" customHeight="1" thickBot="1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3"/>
      <c r="L3" s="353"/>
      <c r="M3" s="147" t="s">
        <v>228</v>
      </c>
      <c r="N3" s="356"/>
      <c r="O3" s="1492"/>
      <c r="P3" s="696" t="s">
        <v>58</v>
      </c>
      <c r="Q3" s="123"/>
      <c r="R3" s="147" t="s">
        <v>228</v>
      </c>
      <c r="S3" s="147"/>
      <c r="T3" s="147" t="s">
        <v>228</v>
      </c>
      <c r="U3" s="123"/>
      <c r="V3" s="92"/>
      <c r="W3" s="92"/>
      <c r="X3" s="92"/>
      <c r="Y3" s="92"/>
      <c r="Z3" s="124"/>
      <c r="AA3" s="123"/>
      <c r="AB3" s="124"/>
      <c r="AC3" s="124"/>
      <c r="AI3" s="397" t="s">
        <v>199</v>
      </c>
      <c r="AJ3" s="150"/>
      <c r="AK3" s="159"/>
      <c r="AN3" s="120"/>
      <c r="AO3" s="120"/>
      <c r="AU3" s="244"/>
    </row>
    <row r="4" spans="1:72" s="109" customFormat="1" ht="12.75" customHeight="1" thickBot="1">
      <c r="A4" s="151"/>
      <c r="B4" s="148"/>
      <c r="C4" s="151"/>
      <c r="D4" s="148"/>
      <c r="E4" s="151"/>
      <c r="F4" s="148"/>
      <c r="G4" s="148"/>
      <c r="H4" s="148"/>
      <c r="I4" s="148"/>
      <c r="J4" s="337" t="s">
        <v>209</v>
      </c>
      <c r="K4" s="404" t="s">
        <v>263</v>
      </c>
      <c r="L4" s="404"/>
      <c r="M4" s="404" t="s">
        <v>6</v>
      </c>
      <c r="N4" s="151" t="s">
        <v>57</v>
      </c>
      <c r="O4" s="1425"/>
      <c r="P4" s="696" t="s">
        <v>6</v>
      </c>
      <c r="Q4" s="123"/>
      <c r="R4" s="791" t="s">
        <v>1</v>
      </c>
      <c r="S4" s="791"/>
      <c r="T4" s="791" t="s">
        <v>1</v>
      </c>
      <c r="U4" s="123"/>
      <c r="V4" s="353" t="s">
        <v>186</v>
      </c>
      <c r="W4" s="1327">
        <f>[2]ssr!$K$179</f>
        <v>0.52049999999999996</v>
      </c>
      <c r="X4" s="370"/>
      <c r="Y4" s="455" t="s">
        <v>227</v>
      </c>
      <c r="Z4" s="124"/>
      <c r="AA4" s="123"/>
      <c r="AB4" s="810" t="s">
        <v>395</v>
      </c>
      <c r="AC4" s="124"/>
      <c r="AJ4" s="1581" t="s">
        <v>117</v>
      </c>
      <c r="AK4" s="159"/>
      <c r="AL4" s="119"/>
      <c r="AM4" s="119"/>
      <c r="AN4" s="119"/>
      <c r="AO4" s="119"/>
      <c r="AP4" s="119"/>
      <c r="AQ4" s="119"/>
      <c r="AR4" s="1590" t="s">
        <v>318</v>
      </c>
      <c r="AS4" s="1606"/>
      <c r="AT4" s="1606"/>
      <c r="AU4" s="449">
        <f>AVERAGE(AU11:AU37)</f>
        <v>185.88888888888886</v>
      </c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</row>
    <row r="5" spans="1:72" s="92" customFormat="1" ht="12.75" customHeight="1">
      <c r="A5" s="151"/>
      <c r="B5" s="148"/>
      <c r="C5" s="152"/>
      <c r="D5" s="153"/>
      <c r="E5" s="154"/>
      <c r="F5" s="1607" t="s">
        <v>70</v>
      </c>
      <c r="G5" s="1608"/>
      <c r="H5" s="1608"/>
      <c r="I5" s="1609"/>
      <c r="J5" s="151" t="s">
        <v>7</v>
      </c>
      <c r="K5" s="404" t="s">
        <v>61</v>
      </c>
      <c r="L5" s="404"/>
      <c r="M5" s="404" t="s">
        <v>61</v>
      </c>
      <c r="N5" s="151" t="s">
        <v>59</v>
      </c>
      <c r="O5" s="1426" t="s">
        <v>20</v>
      </c>
      <c r="P5" s="696" t="s">
        <v>61</v>
      </c>
      <c r="Q5" s="123" t="s">
        <v>0</v>
      </c>
      <c r="R5" s="145" t="s">
        <v>6</v>
      </c>
      <c r="S5" s="145"/>
      <c r="T5" s="145" t="s">
        <v>6</v>
      </c>
      <c r="U5" s="810" t="s">
        <v>628</v>
      </c>
      <c r="V5" s="351" t="s">
        <v>187</v>
      </c>
      <c r="W5" s="350" t="s">
        <v>189</v>
      </c>
      <c r="X5" s="350" t="s">
        <v>21</v>
      </c>
      <c r="Z5" s="351" t="s">
        <v>346</v>
      </c>
      <c r="AA5" s="350" t="s">
        <v>194</v>
      </c>
      <c r="AB5" s="309" t="s">
        <v>315</v>
      </c>
      <c r="AC5" s="145" t="s">
        <v>294</v>
      </c>
      <c r="AI5" s="148"/>
      <c r="AJ5" s="810" t="s">
        <v>118</v>
      </c>
      <c r="AK5" s="265" t="s">
        <v>294</v>
      </c>
      <c r="AL5" s="810" t="s">
        <v>628</v>
      </c>
      <c r="AM5" s="153" t="s">
        <v>79</v>
      </c>
      <c r="AN5" s="153" t="s">
        <v>462</v>
      </c>
      <c r="AO5" s="158" t="s">
        <v>81</v>
      </c>
      <c r="AP5" s="155"/>
      <c r="AQ5" s="155"/>
      <c r="AR5" s="124"/>
      <c r="AS5" s="124"/>
      <c r="AT5" s="148"/>
    </row>
    <row r="6" spans="1:72" s="92" customFormat="1" ht="12.75" customHeight="1" thickBot="1">
      <c r="A6" s="160" t="s">
        <v>201</v>
      </c>
      <c r="B6" s="160" t="s">
        <v>202</v>
      </c>
      <c r="C6" s="161" t="s">
        <v>90</v>
      </c>
      <c r="D6" s="300" t="s">
        <v>60</v>
      </c>
      <c r="E6" s="300" t="s">
        <v>6</v>
      </c>
      <c r="F6" s="160" t="s">
        <v>66</v>
      </c>
      <c r="G6" s="160" t="s">
        <v>2</v>
      </c>
      <c r="H6" s="160" t="s">
        <v>74</v>
      </c>
      <c r="I6" s="160" t="s">
        <v>3</v>
      </c>
      <c r="J6" s="160" t="s">
        <v>13</v>
      </c>
      <c r="K6" s="405" t="s">
        <v>62</v>
      </c>
      <c r="L6" s="528" t="s">
        <v>123</v>
      </c>
      <c r="M6" s="405" t="s">
        <v>62</v>
      </c>
      <c r="N6" s="160" t="s">
        <v>76</v>
      </c>
      <c r="O6" s="1427" t="s">
        <v>77</v>
      </c>
      <c r="P6" s="1430" t="s">
        <v>59</v>
      </c>
      <c r="Q6" s="324" t="s">
        <v>66</v>
      </c>
      <c r="R6" s="1501" t="s">
        <v>567</v>
      </c>
      <c r="S6" s="308"/>
      <c r="T6" s="864" t="s">
        <v>409</v>
      </c>
      <c r="U6" s="178" t="s">
        <v>197</v>
      </c>
      <c r="V6" s="352" t="s">
        <v>226</v>
      </c>
      <c r="W6" s="352" t="s">
        <v>190</v>
      </c>
      <c r="X6" s="94" t="s">
        <v>188</v>
      </c>
      <c r="Y6" s="479" t="s">
        <v>246</v>
      </c>
      <c r="Z6" s="343" t="s">
        <v>345</v>
      </c>
      <c r="AA6" s="359" t="s">
        <v>169</v>
      </c>
      <c r="AB6" s="112" t="s">
        <v>316</v>
      </c>
      <c r="AC6" s="308" t="s">
        <v>8</v>
      </c>
      <c r="AI6" s="162" t="s">
        <v>9</v>
      </c>
      <c r="AJ6" s="128" t="s">
        <v>179</v>
      </c>
      <c r="AK6" s="128" t="s">
        <v>170</v>
      </c>
      <c r="AL6" s="178" t="s">
        <v>97</v>
      </c>
      <c r="AM6" s="160" t="s">
        <v>80</v>
      </c>
      <c r="AN6" s="160" t="s">
        <v>80</v>
      </c>
      <c r="AO6" s="1382" t="s">
        <v>286</v>
      </c>
      <c r="AP6" s="162" t="s">
        <v>82</v>
      </c>
      <c r="AQ6" s="162" t="s">
        <v>83</v>
      </c>
      <c r="AR6" s="178" t="str">
        <f>Jul!AM6</f>
        <v>Fall'13</v>
      </c>
      <c r="AS6" s="178" t="str">
        <f>Jul!AN6</f>
        <v>TYSP'13</v>
      </c>
      <c r="AT6" s="178" t="str">
        <f>Jul!AO6</f>
        <v>Diff</v>
      </c>
      <c r="AU6" s="178" t="str">
        <f>Jul!AP6</f>
        <v>Yr-Yr Growth</v>
      </c>
      <c r="AV6" s="396"/>
      <c r="BH6" s="818" t="s">
        <v>232</v>
      </c>
    </row>
    <row r="7" spans="1:72" s="148" customFormat="1" ht="13.5" customHeight="1" thickBot="1">
      <c r="G7" s="151"/>
      <c r="H7" s="151"/>
      <c r="I7" s="151"/>
      <c r="O7" s="1493"/>
      <c r="P7" s="1493"/>
      <c r="T7" s="863"/>
      <c r="Z7" s="102"/>
      <c r="AW7" s="1346" t="s">
        <v>601</v>
      </c>
      <c r="AX7" s="443"/>
      <c r="AY7" s="443"/>
      <c r="AZ7" s="443"/>
      <c r="BA7" s="243"/>
      <c r="BG7" s="121" t="s">
        <v>9</v>
      </c>
      <c r="BH7" s="817" t="s">
        <v>397</v>
      </c>
      <c r="BI7" s="482" t="s">
        <v>231</v>
      </c>
      <c r="BJ7" s="482" t="s">
        <v>230</v>
      </c>
      <c r="BK7" s="479" t="s">
        <v>233</v>
      </c>
      <c r="BL7" s="483" t="s">
        <v>229</v>
      </c>
    </row>
    <row r="8" spans="1:72" s="92" customFormat="1" ht="12.75" customHeight="1">
      <c r="A8" s="398">
        <v>27625</v>
      </c>
      <c r="B8" s="341">
        <v>17</v>
      </c>
      <c r="C8" s="346" t="str">
        <f t="shared" ref="C8:C34" si="0">TEXT(WEEKDAY(A8),"ddd")</f>
        <v>Tue</v>
      </c>
      <c r="D8" s="347">
        <f>[3]Summer!$F14</f>
        <v>2975</v>
      </c>
      <c r="E8" s="399">
        <f>D8-490</f>
        <v>2485</v>
      </c>
      <c r="F8" s="98">
        <f>'[3]DSM Impacts'!R39</f>
        <v>0</v>
      </c>
      <c r="G8" s="98">
        <f>'[3]DSM Impacts'!J39</f>
        <v>0</v>
      </c>
      <c r="H8" s="98">
        <f>'[3]DSM Impacts'!N39</f>
        <v>0</v>
      </c>
      <c r="I8" s="98">
        <f>'[3]DSM Impacts'!V39</f>
        <v>0</v>
      </c>
      <c r="J8" s="98">
        <v>0</v>
      </c>
      <c r="K8" s="361">
        <f>D8+SUM(F8:J8)</f>
        <v>2975</v>
      </c>
      <c r="L8" s="361">
        <f>D8-E8</f>
        <v>490</v>
      </c>
      <c r="M8" s="406">
        <f t="shared" ref="M8:M35" si="1">SUM(E8:J8)</f>
        <v>2485</v>
      </c>
      <c r="N8" s="98">
        <f>'[3]DSM Impacts'!F39</f>
        <v>0</v>
      </c>
      <c r="O8" s="1494">
        <f>'[3]DSM Impacts'!G39</f>
        <v>0</v>
      </c>
      <c r="P8" s="570">
        <f>SUM(M8:N8)</f>
        <v>2485</v>
      </c>
      <c r="Q8" s="98">
        <f>'[3]DSM Impacts'!$Q39</f>
        <v>165</v>
      </c>
      <c r="R8" s="133">
        <f>M8-Q8-O8</f>
        <v>2320</v>
      </c>
      <c r="S8" s="133"/>
      <c r="T8" s="133"/>
      <c r="U8" s="98">
        <f>[4]Data!$I$238</f>
        <v>611902</v>
      </c>
      <c r="V8" s="99"/>
      <c r="W8" s="100"/>
      <c r="X8" s="101"/>
      <c r="Y8" s="114"/>
      <c r="Z8" s="102"/>
      <c r="AA8" s="103"/>
      <c r="AB8" s="113">
        <f t="shared" ref="AB8:AB29" si="2">U8-V8</f>
        <v>611902</v>
      </c>
      <c r="AC8" s="339"/>
      <c r="AD8" s="113"/>
      <c r="AE8" s="113"/>
      <c r="AF8" s="103"/>
      <c r="AG8" s="103"/>
      <c r="AH8" s="103"/>
      <c r="AI8" s="109"/>
      <c r="AJ8" s="708"/>
      <c r="AK8" s="709"/>
      <c r="AL8" s="676"/>
      <c r="AM8" s="264"/>
      <c r="AN8" s="296"/>
      <c r="AO8" s="165"/>
      <c r="AP8" s="165"/>
      <c r="AQ8" s="109"/>
      <c r="AR8" s="109"/>
      <c r="AS8" s="109"/>
      <c r="AT8" s="109"/>
      <c r="AU8" s="103"/>
      <c r="AV8" s="103"/>
      <c r="AW8" s="1347" t="s">
        <v>578</v>
      </c>
      <c r="AX8" s="1348"/>
      <c r="BD8"/>
      <c r="BE8"/>
      <c r="BF8"/>
      <c r="BG8" s="123"/>
      <c r="BH8" s="676"/>
      <c r="BI8" s="463"/>
      <c r="BJ8" s="133"/>
      <c r="BK8" s="463"/>
      <c r="BL8" s="495"/>
      <c r="BM8" s="117"/>
      <c r="BN8" s="117"/>
      <c r="BO8" s="103"/>
      <c r="BP8" s="103"/>
      <c r="BQ8" s="103"/>
      <c r="BR8" s="103"/>
      <c r="BS8" s="103"/>
      <c r="BT8" s="103"/>
    </row>
    <row r="9" spans="1:72" ht="12.75" customHeight="1">
      <c r="A9" s="398">
        <v>27957.708333333332</v>
      </c>
      <c r="B9" s="341">
        <v>17</v>
      </c>
      <c r="C9" s="346" t="str">
        <f t="shared" si="0"/>
        <v>Fri</v>
      </c>
      <c r="D9" s="347">
        <f>[3]Summer!$F15</f>
        <v>3223</v>
      </c>
      <c r="E9" s="399">
        <f>D9-502</f>
        <v>2721</v>
      </c>
      <c r="F9" s="98">
        <f>'[3]DSM Impacts'!R40</f>
        <v>30</v>
      </c>
      <c r="G9" s="98">
        <f>'[3]DSM Impacts'!J40</f>
        <v>0</v>
      </c>
      <c r="H9" s="98">
        <f>'[3]DSM Impacts'!N40</f>
        <v>0</v>
      </c>
      <c r="I9" s="98">
        <f>'[3]DSM Impacts'!V40</f>
        <v>0</v>
      </c>
      <c r="J9" s="98">
        <v>0</v>
      </c>
      <c r="K9" s="361">
        <f t="shared" ref="K9:K35" si="3">D9+SUM(F9:J9)</f>
        <v>3253</v>
      </c>
      <c r="L9" s="361">
        <f t="shared" ref="L9:L35" si="4">D9-E9</f>
        <v>502</v>
      </c>
      <c r="M9" s="406">
        <f t="shared" si="1"/>
        <v>2751</v>
      </c>
      <c r="N9" s="98">
        <f>'[3]DSM Impacts'!F40</f>
        <v>0</v>
      </c>
      <c r="O9" s="1494">
        <f>'[3]DSM Impacts'!G40</f>
        <v>0</v>
      </c>
      <c r="P9" s="570">
        <f t="shared" ref="P9:P39" si="5">SUM(M9:N9)</f>
        <v>2751</v>
      </c>
      <c r="Q9" s="98">
        <f>'[3]DSM Impacts'!$Q40</f>
        <v>217</v>
      </c>
      <c r="R9" s="133">
        <f t="shared" ref="R9:R45" si="6">M9-Q9-O9</f>
        <v>2534</v>
      </c>
      <c r="S9" s="133"/>
      <c r="T9" s="133"/>
      <c r="U9" s="98">
        <f>Jul!P9</f>
        <v>634277</v>
      </c>
      <c r="V9" s="99"/>
      <c r="W9" s="100"/>
      <c r="X9" s="101"/>
      <c r="Y9" s="114"/>
      <c r="Z9" s="102"/>
      <c r="AB9" s="113">
        <f t="shared" si="2"/>
        <v>634277</v>
      </c>
      <c r="AC9" s="339">
        <f>[5]Summer!$M4</f>
        <v>92.2</v>
      </c>
      <c r="AD9" s="113"/>
      <c r="AE9" s="113"/>
      <c r="AI9" s="109">
        <v>1976</v>
      </c>
      <c r="AJ9" s="708">
        <f t="shared" ref="AJ9:AJ38" si="7">R9</f>
        <v>2534</v>
      </c>
      <c r="AK9" s="709">
        <f t="shared" ref="AK9:AK33" si="8">AC9</f>
        <v>92.2</v>
      </c>
      <c r="AL9" s="676">
        <f t="shared" ref="AL9:AL16" si="9">AB9</f>
        <v>634277</v>
      </c>
      <c r="AM9" s="264">
        <v>0</v>
      </c>
      <c r="AN9" s="299"/>
      <c r="AO9" s="165"/>
      <c r="AP9" s="165"/>
      <c r="AQ9" s="109"/>
      <c r="AR9" s="109"/>
      <c r="AU9" s="361">
        <f t="shared" ref="AU9:AU33" si="10">AJ9-AJ8</f>
        <v>2534</v>
      </c>
      <c r="AW9" s="107" t="s">
        <v>204</v>
      </c>
      <c r="AX9" s="395"/>
      <c r="AY9" s="357"/>
      <c r="AZ9" s="357"/>
      <c r="BA9" s="357"/>
      <c r="BB9" s="357"/>
      <c r="BC9" s="357"/>
      <c r="BD9"/>
      <c r="BE9"/>
      <c r="BF9"/>
      <c r="BG9" s="123"/>
      <c r="BH9" s="676"/>
      <c r="BI9" s="463"/>
      <c r="BJ9" s="133"/>
      <c r="BK9" s="463"/>
      <c r="BL9" s="495"/>
      <c r="BM9" s="117"/>
      <c r="BN9" s="117"/>
    </row>
    <row r="10" spans="1:72" ht="12.75" customHeight="1">
      <c r="A10" s="398">
        <v>28303.75</v>
      </c>
      <c r="B10" s="341">
        <v>18</v>
      </c>
      <c r="C10" s="346" t="str">
        <f t="shared" si="0"/>
        <v>Mon</v>
      </c>
      <c r="D10" s="347">
        <f>[3]Summer!$F16</f>
        <v>3407</v>
      </c>
      <c r="E10" s="399">
        <f>D10-559</f>
        <v>2848</v>
      </c>
      <c r="F10" s="98">
        <f>'[3]DSM Impacts'!R41</f>
        <v>30</v>
      </c>
      <c r="G10" s="98">
        <f>'[3]DSM Impacts'!J41</f>
        <v>0</v>
      </c>
      <c r="H10" s="98">
        <f>'[3]DSM Impacts'!N41</f>
        <v>0</v>
      </c>
      <c r="I10" s="98">
        <f>'[3]DSM Impacts'!V41</f>
        <v>0</v>
      </c>
      <c r="J10" s="98">
        <v>0</v>
      </c>
      <c r="K10" s="361">
        <f t="shared" si="3"/>
        <v>3437</v>
      </c>
      <c r="L10" s="361">
        <f t="shared" si="4"/>
        <v>559</v>
      </c>
      <c r="M10" s="406">
        <f t="shared" si="1"/>
        <v>2878</v>
      </c>
      <c r="N10" s="98">
        <f>'[3]DSM Impacts'!F41</f>
        <v>0</v>
      </c>
      <c r="O10" s="1494">
        <f>'[3]DSM Impacts'!G41</f>
        <v>0</v>
      </c>
      <c r="P10" s="570">
        <f t="shared" si="5"/>
        <v>2878</v>
      </c>
      <c r="Q10" s="98">
        <f>'[3]DSM Impacts'!$Q41</f>
        <v>205</v>
      </c>
      <c r="R10" s="133">
        <f t="shared" si="6"/>
        <v>2673</v>
      </c>
      <c r="S10" s="133"/>
      <c r="T10" s="133"/>
      <c r="U10" s="98">
        <f>Jun!P10</f>
        <v>657410</v>
      </c>
      <c r="V10" s="99"/>
      <c r="W10" s="100"/>
      <c r="X10" s="101"/>
      <c r="Y10" s="114"/>
      <c r="Z10" s="102"/>
      <c r="AB10" s="113">
        <f t="shared" si="2"/>
        <v>657410</v>
      </c>
      <c r="AC10" s="339">
        <f>[5]Summer!$M5</f>
        <v>92.9</v>
      </c>
      <c r="AD10" s="113"/>
      <c r="AE10" s="113"/>
      <c r="AI10" s="109">
        <v>1977</v>
      </c>
      <c r="AJ10" s="708">
        <f t="shared" si="7"/>
        <v>2673</v>
      </c>
      <c r="AK10" s="709">
        <f t="shared" si="8"/>
        <v>92.9</v>
      </c>
      <c r="AL10" s="676">
        <f t="shared" si="9"/>
        <v>657410</v>
      </c>
      <c r="AM10" s="264">
        <v>0</v>
      </c>
      <c r="AN10" s="299"/>
      <c r="AO10" s="165"/>
      <c r="AP10" s="165"/>
      <c r="AQ10" s="109"/>
      <c r="AR10" s="109"/>
      <c r="AU10" s="361">
        <f t="shared" si="10"/>
        <v>139</v>
      </c>
      <c r="AW10" t="s">
        <v>19</v>
      </c>
      <c r="AX10"/>
      <c r="AY10"/>
      <c r="AZ10"/>
      <c r="BA10"/>
      <c r="BB10"/>
      <c r="BC10"/>
      <c r="BD10"/>
      <c r="BE10"/>
      <c r="BF10"/>
      <c r="BG10" s="123"/>
      <c r="BH10" s="676"/>
      <c r="BI10" s="463"/>
      <c r="BJ10" s="133"/>
      <c r="BK10" s="463"/>
      <c r="BL10" s="495"/>
      <c r="BM10" s="117"/>
      <c r="BN10" s="117"/>
    </row>
    <row r="11" spans="1:72" ht="12.75" customHeight="1">
      <c r="A11" s="398">
        <v>28731.75</v>
      </c>
      <c r="B11" s="341">
        <v>18</v>
      </c>
      <c r="C11" s="346" t="str">
        <f t="shared" si="0"/>
        <v>Tue</v>
      </c>
      <c r="D11" s="347">
        <f>[3]Summer!$F17</f>
        <v>3521</v>
      </c>
      <c r="E11" s="399">
        <f>D11-618</f>
        <v>2903</v>
      </c>
      <c r="F11" s="98">
        <f>'[3]DSM Impacts'!R42</f>
        <v>30</v>
      </c>
      <c r="G11" s="98">
        <f>'[3]DSM Impacts'!J42</f>
        <v>0</v>
      </c>
      <c r="H11" s="98">
        <f>'[3]DSM Impacts'!N42</f>
        <v>0</v>
      </c>
      <c r="I11" s="98">
        <f>'[3]DSM Impacts'!V42</f>
        <v>0</v>
      </c>
      <c r="J11" s="98">
        <v>0</v>
      </c>
      <c r="K11" s="361">
        <f t="shared" si="3"/>
        <v>3551</v>
      </c>
      <c r="L11" s="361">
        <f t="shared" si="4"/>
        <v>618</v>
      </c>
      <c r="M11" s="406">
        <f t="shared" si="1"/>
        <v>2933</v>
      </c>
      <c r="N11" s="98">
        <f>'[3]DSM Impacts'!F42</f>
        <v>0</v>
      </c>
      <c r="O11" s="1494">
        <f>'[3]DSM Impacts'!G42</f>
        <v>0</v>
      </c>
      <c r="P11" s="570">
        <f t="shared" si="5"/>
        <v>2933</v>
      </c>
      <c r="Q11" s="98">
        <f>'[3]DSM Impacts'!$Q42</f>
        <v>216</v>
      </c>
      <c r="R11" s="133">
        <f t="shared" si="6"/>
        <v>2717</v>
      </c>
      <c r="S11" s="133"/>
      <c r="T11" s="133"/>
      <c r="U11" s="98">
        <f>[4]Data!$I$241</f>
        <v>690059</v>
      </c>
      <c r="V11" s="99"/>
      <c r="W11" s="100"/>
      <c r="X11" s="101"/>
      <c r="Y11" s="114"/>
      <c r="Z11" s="102"/>
      <c r="AB11" s="113">
        <f t="shared" si="2"/>
        <v>690059</v>
      </c>
      <c r="AC11" s="339">
        <f>[5]Summer!$M6</f>
        <v>91.2</v>
      </c>
      <c r="AD11" s="113"/>
      <c r="AE11" s="113"/>
      <c r="AI11" s="109">
        <v>1978</v>
      </c>
      <c r="AJ11" s="708">
        <f t="shared" si="7"/>
        <v>2717</v>
      </c>
      <c r="AK11" s="709">
        <f t="shared" si="8"/>
        <v>91.2</v>
      </c>
      <c r="AL11" s="676">
        <f t="shared" si="9"/>
        <v>690059</v>
      </c>
      <c r="AM11" s="264">
        <v>0</v>
      </c>
      <c r="AN11" s="299"/>
      <c r="AO11" s="165"/>
      <c r="AP11" s="165"/>
      <c r="AQ11" s="109"/>
      <c r="AR11" s="109"/>
      <c r="AU11" s="361">
        <f t="shared" si="10"/>
        <v>44</v>
      </c>
      <c r="BB11" s="264"/>
      <c r="BC11"/>
      <c r="BD11"/>
      <c r="BE11"/>
      <c r="BF11"/>
      <c r="BG11" s="123"/>
      <c r="BH11" s="676"/>
      <c r="BI11" s="463"/>
      <c r="BJ11" s="133"/>
      <c r="BK11" s="463"/>
      <c r="BL11" s="495"/>
      <c r="BM11" s="117"/>
      <c r="BN11" s="117"/>
    </row>
    <row r="12" spans="1:72" ht="12.75" customHeight="1">
      <c r="A12" s="398">
        <v>29067.75</v>
      </c>
      <c r="B12" s="2">
        <v>18</v>
      </c>
      <c r="C12" s="1487" t="str">
        <f t="shared" si="0"/>
        <v>Tue</v>
      </c>
      <c r="D12" s="410">
        <v>3654</v>
      </c>
      <c r="E12" s="1488">
        <f>D12-622</f>
        <v>3032</v>
      </c>
      <c r="F12" s="1489">
        <f>'[3]DSM Impacts'!R43</f>
        <v>0</v>
      </c>
      <c r="G12" s="1489">
        <f>'[3]DSM Impacts'!J43</f>
        <v>0</v>
      </c>
      <c r="H12" s="1489">
        <f>'[3]DSM Impacts'!N43</f>
        <v>0</v>
      </c>
      <c r="I12" s="1489">
        <f>'[3]DSM Impacts'!V43</f>
        <v>0</v>
      </c>
      <c r="J12" s="1489">
        <v>0</v>
      </c>
      <c r="K12" s="390">
        <f t="shared" si="3"/>
        <v>3654</v>
      </c>
      <c r="L12" s="390">
        <f t="shared" si="4"/>
        <v>622</v>
      </c>
      <c r="M12" s="1490">
        <f t="shared" si="1"/>
        <v>3032</v>
      </c>
      <c r="N12" s="1489">
        <f>'[3]DSM Impacts'!F43</f>
        <v>0</v>
      </c>
      <c r="O12" s="1495">
        <f>'[3]DSM Impacts'!G43</f>
        <v>0</v>
      </c>
      <c r="P12" s="1496">
        <f t="shared" si="5"/>
        <v>3032</v>
      </c>
      <c r="Q12" s="1489">
        <f>'[3]DSM Impacts'!$Q43</f>
        <v>191</v>
      </c>
      <c r="R12" s="409">
        <f t="shared" si="6"/>
        <v>2841</v>
      </c>
      <c r="S12" s="409"/>
      <c r="T12" s="409"/>
      <c r="U12" s="1489">
        <f>Jul!P12</f>
        <v>724557</v>
      </c>
      <c r="V12" s="1491"/>
      <c r="W12" s="100"/>
      <c r="X12" s="101"/>
      <c r="Y12" s="114"/>
      <c r="Z12" s="102"/>
      <c r="AB12" s="113">
        <f t="shared" si="2"/>
        <v>724557</v>
      </c>
      <c r="AC12" s="339">
        <f>[5]Summer!$M7</f>
        <v>91.1</v>
      </c>
      <c r="AD12" s="345"/>
      <c r="AE12" s="113"/>
      <c r="AI12" s="109">
        <v>1979</v>
      </c>
      <c r="AJ12" s="708">
        <f t="shared" si="7"/>
        <v>2841</v>
      </c>
      <c r="AK12" s="709">
        <f t="shared" si="8"/>
        <v>91.1</v>
      </c>
      <c r="AL12" s="676">
        <f t="shared" si="9"/>
        <v>724557</v>
      </c>
      <c r="AM12" s="264">
        <v>0</v>
      </c>
      <c r="AN12" s="299"/>
      <c r="AO12" s="165"/>
      <c r="AP12" s="165"/>
      <c r="AQ12" s="109"/>
      <c r="AR12" s="109"/>
      <c r="AU12" s="361">
        <f t="shared" si="10"/>
        <v>124</v>
      </c>
      <c r="AW12" s="1149" t="s">
        <v>171</v>
      </c>
      <c r="AX12" s="1150" t="s">
        <v>183</v>
      </c>
      <c r="AY12" s="1149" t="s">
        <v>79</v>
      </c>
      <c r="AZ12" s="1150" t="s">
        <v>169</v>
      </c>
      <c r="BA12" s="1149" t="s">
        <v>419</v>
      </c>
      <c r="BB12" s="1076" t="s">
        <v>22</v>
      </c>
      <c r="BC12"/>
      <c r="BD12"/>
      <c r="BE12"/>
      <c r="BF12"/>
      <c r="BG12" s="123"/>
      <c r="BH12" s="676"/>
      <c r="BI12" s="463"/>
      <c r="BJ12" s="133"/>
      <c r="BK12" s="463"/>
      <c r="BL12" s="495"/>
      <c r="BM12" s="117"/>
      <c r="BN12" s="117"/>
    </row>
    <row r="13" spans="1:72" ht="12.75" customHeight="1">
      <c r="A13" s="398">
        <v>29455.75</v>
      </c>
      <c r="B13" s="2">
        <v>18</v>
      </c>
      <c r="C13" s="1487" t="str">
        <f t="shared" si="0"/>
        <v>Fri</v>
      </c>
      <c r="D13" s="97">
        <f>[6]Hist!G$12</f>
        <v>3995</v>
      </c>
      <c r="E13" s="410">
        <f>[6]Hist!H$12</f>
        <v>2903</v>
      </c>
      <c r="F13" s="97">
        <f>[6]Hist!L$12</f>
        <v>40</v>
      </c>
      <c r="G13" s="97">
        <f>[6]Hist!M$12</f>
        <v>0</v>
      </c>
      <c r="H13" s="97">
        <f>[6]Hist!N$12</f>
        <v>0</v>
      </c>
      <c r="I13" s="97">
        <f>[6]Hist!O$12</f>
        <v>0</v>
      </c>
      <c r="J13" s="97">
        <f>[6]Hist!P$12</f>
        <v>0</v>
      </c>
      <c r="K13" s="390">
        <f t="shared" si="3"/>
        <v>4035</v>
      </c>
      <c r="L13" s="390">
        <f t="shared" si="4"/>
        <v>1092</v>
      </c>
      <c r="M13" s="1490">
        <f t="shared" si="1"/>
        <v>2943</v>
      </c>
      <c r="N13" s="97">
        <f>[6]Hist!U$12</f>
        <v>0</v>
      </c>
      <c r="O13" s="1497">
        <f>[6]Hist!V$12</f>
        <v>0</v>
      </c>
      <c r="P13" s="1496">
        <f t="shared" si="5"/>
        <v>2943</v>
      </c>
      <c r="Q13" s="97">
        <f>[6]Hist!AA$12</f>
        <v>258</v>
      </c>
      <c r="R13" s="409">
        <f t="shared" si="6"/>
        <v>2685</v>
      </c>
      <c r="S13" s="409"/>
      <c r="T13" s="409"/>
      <c r="U13" s="1489">
        <f>[4]Data!$I$243</f>
        <v>763240</v>
      </c>
      <c r="V13" s="109"/>
      <c r="W13" s="100"/>
      <c r="X13" s="101"/>
      <c r="Y13" s="114"/>
      <c r="Z13" s="102"/>
      <c r="AB13" s="113">
        <f t="shared" si="2"/>
        <v>763240</v>
      </c>
      <c r="AC13" s="339">
        <f>[5]Summer!$M8</f>
        <v>87.4</v>
      </c>
      <c r="AD13" s="345"/>
      <c r="AE13" s="115"/>
      <c r="AI13" s="299">
        <v>1980</v>
      </c>
      <c r="AJ13" s="708">
        <f t="shared" si="7"/>
        <v>2685</v>
      </c>
      <c r="AK13" s="709">
        <f t="shared" si="8"/>
        <v>87.4</v>
      </c>
      <c r="AL13" s="676">
        <f t="shared" si="9"/>
        <v>763240</v>
      </c>
      <c r="AM13" s="264">
        <v>0</v>
      </c>
      <c r="AN13" s="299"/>
      <c r="AO13" s="165"/>
      <c r="AP13" s="165"/>
      <c r="AQ13" s="109"/>
      <c r="AR13" s="109"/>
      <c r="AS13" s="109"/>
      <c r="AT13" s="109"/>
      <c r="AU13" s="361">
        <f t="shared" si="10"/>
        <v>-156</v>
      </c>
      <c r="AW13" s="248" t="s">
        <v>172</v>
      </c>
      <c r="AX13" s="494">
        <f t="array" ref="AX13:BB18">LINEST(AJ25:AJ45,AK25:AN45,TRUE,TRUE)</f>
        <v>-180.39037484265992</v>
      </c>
      <c r="AY13" s="251">
        <v>-606.92482141844562</v>
      </c>
      <c r="AZ13" s="251">
        <v>6.4878932474182862E-3</v>
      </c>
      <c r="BA13" s="305">
        <v>86.137455944773762</v>
      </c>
      <c r="BB13" s="1076">
        <v>-10111.705002832241</v>
      </c>
      <c r="BC13"/>
      <c r="BD13"/>
      <c r="BE13"/>
      <c r="BF13"/>
      <c r="BG13" s="123"/>
      <c r="BH13" s="676"/>
      <c r="BI13" s="463"/>
      <c r="BJ13" s="133"/>
      <c r="BK13" s="463"/>
      <c r="BL13" s="495"/>
      <c r="BM13" s="117"/>
      <c r="BN13" s="117"/>
    </row>
    <row r="14" spans="1:72" ht="12.75" customHeight="1">
      <c r="A14" s="398">
        <v>29753.75</v>
      </c>
      <c r="B14" s="341">
        <v>18</v>
      </c>
      <c r="C14" s="346" t="str">
        <f t="shared" si="0"/>
        <v>Tue</v>
      </c>
      <c r="D14" s="97">
        <f>[6]Hist!G$22</f>
        <v>4355</v>
      </c>
      <c r="E14" s="410">
        <f>[6]Hist!H$22</f>
        <v>3535</v>
      </c>
      <c r="F14" s="97">
        <f>[6]Hist!L$22</f>
        <v>0</v>
      </c>
      <c r="G14" s="97">
        <f>[6]Hist!M$22</f>
        <v>0</v>
      </c>
      <c r="H14" s="97">
        <f>[6]Hist!N$22</f>
        <v>0</v>
      </c>
      <c r="I14" s="97">
        <f>[6]Hist!O$22</f>
        <v>0</v>
      </c>
      <c r="J14" s="97">
        <f>[6]Hist!P$22</f>
        <v>0</v>
      </c>
      <c r="K14" s="361">
        <f t="shared" si="3"/>
        <v>4355</v>
      </c>
      <c r="L14" s="361">
        <f t="shared" si="4"/>
        <v>820</v>
      </c>
      <c r="M14" s="406">
        <f t="shared" si="1"/>
        <v>3535</v>
      </c>
      <c r="N14" s="97">
        <f>[6]Hist!U$22</f>
        <v>0</v>
      </c>
      <c r="O14" s="1497">
        <f>[6]Hist!V$22</f>
        <v>11</v>
      </c>
      <c r="P14" s="1496">
        <f t="shared" si="5"/>
        <v>3535</v>
      </c>
      <c r="Q14" s="97">
        <f>[6]Hist!AA$22</f>
        <v>208</v>
      </c>
      <c r="R14" s="133">
        <f t="shared" si="6"/>
        <v>3316</v>
      </c>
      <c r="S14" s="133"/>
      <c r="T14" s="133"/>
      <c r="U14" s="98">
        <f>Jun!P14</f>
        <v>790059</v>
      </c>
      <c r="V14" s="456"/>
      <c r="W14" s="100"/>
      <c r="X14" s="101"/>
      <c r="Y14" s="114"/>
      <c r="Z14" s="102"/>
      <c r="AB14" s="113">
        <f t="shared" si="2"/>
        <v>790059</v>
      </c>
      <c r="AC14" s="339">
        <f>[5]Summer!$M9</f>
        <v>94.1</v>
      </c>
      <c r="AD14" s="345"/>
      <c r="AE14" s="115"/>
      <c r="AI14" s="109">
        <v>1981</v>
      </c>
      <c r="AJ14" s="708">
        <f t="shared" si="7"/>
        <v>3316</v>
      </c>
      <c r="AK14" s="709">
        <f t="shared" si="8"/>
        <v>94.1</v>
      </c>
      <c r="AL14" s="676">
        <f t="shared" si="9"/>
        <v>790059</v>
      </c>
      <c r="AM14" s="264">
        <v>0</v>
      </c>
      <c r="AN14" s="299"/>
      <c r="AO14" s="165"/>
      <c r="AP14" s="165"/>
      <c r="AQ14" s="109"/>
      <c r="AR14" s="109"/>
      <c r="AS14" s="109"/>
      <c r="AT14" s="109"/>
      <c r="AU14" s="361">
        <f t="shared" si="10"/>
        <v>631</v>
      </c>
      <c r="AW14" s="253" t="s">
        <v>173</v>
      </c>
      <c r="AX14" s="487">
        <v>37.77709791842446</v>
      </c>
      <c r="AY14" s="486">
        <v>42.999815006327403</v>
      </c>
      <c r="AZ14" s="485">
        <v>9.9491300079876502E-5</v>
      </c>
      <c r="BA14" s="485">
        <v>7.7564891974720069</v>
      </c>
      <c r="BB14" s="1014">
        <v>763.1501157338613</v>
      </c>
      <c r="BC14"/>
      <c r="BD14"/>
      <c r="BE14"/>
      <c r="BF14"/>
      <c r="BG14" s="123"/>
      <c r="BH14" s="676"/>
      <c r="BI14" s="463"/>
      <c r="BJ14" s="133"/>
      <c r="BK14" s="463"/>
      <c r="BL14" s="495"/>
      <c r="BM14" s="299"/>
      <c r="BN14" s="117"/>
    </row>
    <row r="15" spans="1:72" ht="12.75" customHeight="1">
      <c r="A15" s="398">
        <v>30207.708333333332</v>
      </c>
      <c r="B15" s="341">
        <v>17</v>
      </c>
      <c r="C15" s="346" t="str">
        <f t="shared" si="0"/>
        <v>Mon</v>
      </c>
      <c r="D15" s="97">
        <f>[6]Hist!G$37</f>
        <v>4086</v>
      </c>
      <c r="E15" s="410">
        <f>[6]Hist!H$37</f>
        <v>3379</v>
      </c>
      <c r="F15" s="97">
        <f>[6]Hist!L$37</f>
        <v>0</v>
      </c>
      <c r="G15" s="97">
        <f>[6]Hist!M$37</f>
        <v>0</v>
      </c>
      <c r="H15" s="97">
        <f>[6]Hist!N$37</f>
        <v>0</v>
      </c>
      <c r="I15" s="97">
        <f>[6]Hist!O$37</f>
        <v>0</v>
      </c>
      <c r="J15" s="97">
        <f>[6]Hist!P$37</f>
        <v>0</v>
      </c>
      <c r="K15" s="361">
        <f t="shared" si="3"/>
        <v>4086</v>
      </c>
      <c r="L15" s="361">
        <f t="shared" si="4"/>
        <v>707</v>
      </c>
      <c r="M15" s="406">
        <f t="shared" si="1"/>
        <v>3379</v>
      </c>
      <c r="N15" s="97">
        <f>[6]Hist!U$37</f>
        <v>13</v>
      </c>
      <c r="O15" s="1497">
        <f>[6]Hist!V$37</f>
        <v>12</v>
      </c>
      <c r="P15" s="1496">
        <f t="shared" si="5"/>
        <v>3392</v>
      </c>
      <c r="Q15" s="97">
        <f>[6]Hist!AA$37</f>
        <v>173</v>
      </c>
      <c r="R15" s="133">
        <f t="shared" si="6"/>
        <v>3194</v>
      </c>
      <c r="S15" s="133"/>
      <c r="T15" s="133"/>
      <c r="U15" s="98">
        <f>Sep!P15</f>
        <v>821618</v>
      </c>
      <c r="V15" s="456"/>
      <c r="W15" s="100"/>
      <c r="X15" s="101"/>
      <c r="Y15" s="114"/>
      <c r="Z15" s="102"/>
      <c r="AB15" s="113">
        <f t="shared" si="2"/>
        <v>821618</v>
      </c>
      <c r="AC15" s="339">
        <f>[5]Summer!$M10</f>
        <v>90.4</v>
      </c>
      <c r="AD15" s="345"/>
      <c r="AE15" s="115"/>
      <c r="AI15" s="109">
        <v>1982</v>
      </c>
      <c r="AJ15" s="708">
        <f t="shared" si="7"/>
        <v>3194</v>
      </c>
      <c r="AK15" s="709">
        <f t="shared" si="8"/>
        <v>90.4</v>
      </c>
      <c r="AL15" s="676">
        <f t="shared" si="9"/>
        <v>821618</v>
      </c>
      <c r="AM15" s="264">
        <v>0</v>
      </c>
      <c r="AN15" s="299"/>
      <c r="AO15" s="165"/>
      <c r="AP15" s="165"/>
      <c r="AQ15" s="109"/>
      <c r="AR15" s="109"/>
      <c r="AS15" s="109"/>
      <c r="AT15" s="109"/>
      <c r="AU15" s="390">
        <f t="shared" si="10"/>
        <v>-122</v>
      </c>
      <c r="AW15" s="253" t="s">
        <v>174</v>
      </c>
      <c r="AX15" s="257">
        <v>0.99743783866432689</v>
      </c>
      <c r="AY15" s="1077">
        <v>56.187065247922412</v>
      </c>
      <c r="AZ15" s="259" t="e">
        <v>#N/A</v>
      </c>
      <c r="BA15" s="259" t="e">
        <v>#N/A</v>
      </c>
      <c r="BB15" s="259" t="e">
        <v>#N/A</v>
      </c>
      <c r="BC15"/>
      <c r="BD15"/>
      <c r="BE15"/>
      <c r="BF15"/>
      <c r="BG15" s="123"/>
      <c r="BH15" s="676"/>
      <c r="BI15" s="463"/>
      <c r="BJ15" s="133"/>
      <c r="BK15" s="463"/>
      <c r="BL15" s="495"/>
      <c r="BM15" s="299"/>
      <c r="BN15" s="117"/>
    </row>
    <row r="16" spans="1:72" ht="12.75" customHeight="1">
      <c r="A16" s="398">
        <v>30550.75</v>
      </c>
      <c r="B16" s="341">
        <v>18</v>
      </c>
      <c r="C16" s="346" t="str">
        <f t="shared" si="0"/>
        <v>Mon</v>
      </c>
      <c r="D16" s="97">
        <f>[6]Hist!G$48</f>
        <v>4610</v>
      </c>
      <c r="E16" s="410">
        <f>[6]Hist!H$48</f>
        <v>3797</v>
      </c>
      <c r="F16" s="97">
        <f>[6]Hist!L$48</f>
        <v>0</v>
      </c>
      <c r="G16" s="97">
        <f>[6]Hist!M$48</f>
        <v>0</v>
      </c>
      <c r="H16" s="97">
        <f>[6]Hist!N$48</f>
        <v>0</v>
      </c>
      <c r="I16" s="97">
        <f>[6]Hist!O$48</f>
        <v>0</v>
      </c>
      <c r="J16" s="97">
        <f>[6]Hist!P$48</f>
        <v>0</v>
      </c>
      <c r="K16" s="361">
        <f t="shared" si="3"/>
        <v>4610</v>
      </c>
      <c r="L16" s="361">
        <f t="shared" si="4"/>
        <v>813</v>
      </c>
      <c r="M16" s="406">
        <f t="shared" si="1"/>
        <v>3797</v>
      </c>
      <c r="N16" s="97">
        <f>[6]Hist!U$48</f>
        <v>28</v>
      </c>
      <c r="O16" s="1497">
        <f>[6]Hist!V$48</f>
        <v>36</v>
      </c>
      <c r="P16" s="1496">
        <f t="shared" si="5"/>
        <v>3825</v>
      </c>
      <c r="Q16" s="97">
        <f>[6]Hist!AA$48</f>
        <v>163</v>
      </c>
      <c r="R16" s="133">
        <f t="shared" si="6"/>
        <v>3598</v>
      </c>
      <c r="S16" s="133"/>
      <c r="T16" s="133"/>
      <c r="U16" s="98">
        <f>[4]Data!$I$246</f>
        <v>851058</v>
      </c>
      <c r="V16" s="456"/>
      <c r="W16" s="100"/>
      <c r="X16" s="101"/>
      <c r="Y16" s="114"/>
      <c r="Z16" s="102"/>
      <c r="AB16" s="113">
        <f t="shared" si="2"/>
        <v>851058</v>
      </c>
      <c r="AC16" s="339">
        <f>[5]Summer!$M11</f>
        <v>92.1</v>
      </c>
      <c r="AD16" s="345"/>
      <c r="AE16" s="115"/>
      <c r="AI16" s="299">
        <v>1983</v>
      </c>
      <c r="AJ16" s="462">
        <f t="shared" si="7"/>
        <v>3598</v>
      </c>
      <c r="AK16" s="1342">
        <f t="shared" si="8"/>
        <v>92.1</v>
      </c>
      <c r="AL16" s="676">
        <f t="shared" si="9"/>
        <v>851058</v>
      </c>
      <c r="AM16" s="264">
        <v>0</v>
      </c>
      <c r="AN16" s="264">
        <v>0</v>
      </c>
      <c r="AO16" s="165"/>
      <c r="AP16" s="165"/>
      <c r="AQ16" s="109"/>
      <c r="AR16" s="109"/>
      <c r="AS16" s="109"/>
      <c r="AT16" s="109"/>
      <c r="AU16" s="390">
        <f t="shared" si="10"/>
        <v>404</v>
      </c>
      <c r="AW16" s="260" t="s">
        <v>175</v>
      </c>
      <c r="AX16" s="255">
        <v>1557.1819381972077</v>
      </c>
      <c r="AY16" s="261">
        <v>16</v>
      </c>
      <c r="AZ16" s="259" t="e">
        <v>#N/A</v>
      </c>
      <c r="BA16" s="259" t="e">
        <v>#N/A</v>
      </c>
      <c r="BB16" s="259" t="e">
        <v>#N/A</v>
      </c>
      <c r="BC16"/>
      <c r="BD16"/>
      <c r="BE16"/>
      <c r="BF16"/>
      <c r="BG16" s="123"/>
      <c r="BH16" s="676"/>
      <c r="BI16" s="463"/>
      <c r="BJ16" s="133"/>
      <c r="BK16" s="463"/>
      <c r="BL16" s="495"/>
      <c r="BM16" s="393"/>
      <c r="BN16" s="117"/>
    </row>
    <row r="17" spans="1:66" ht="12.75" customHeight="1">
      <c r="A17" s="398">
        <v>30903.75</v>
      </c>
      <c r="B17" s="341">
        <v>18</v>
      </c>
      <c r="C17" s="346" t="str">
        <f t="shared" si="0"/>
        <v>Thu</v>
      </c>
      <c r="D17" s="97">
        <f>[6]Hist!G$60</f>
        <v>4163</v>
      </c>
      <c r="E17" s="410">
        <f>[6]Hist!H$60</f>
        <v>3664</v>
      </c>
      <c r="F17" s="97">
        <f>[6]Hist!L$60</f>
        <v>0</v>
      </c>
      <c r="G17" s="97">
        <f>[6]Hist!M$60</f>
        <v>72</v>
      </c>
      <c r="H17" s="97">
        <f>[6]Hist!N$60</f>
        <v>0</v>
      </c>
      <c r="I17" s="97">
        <f>[6]Hist!O$60</f>
        <v>0</v>
      </c>
      <c r="J17" s="97">
        <f>[6]Hist!P$60</f>
        <v>0</v>
      </c>
      <c r="K17" s="361">
        <f t="shared" si="3"/>
        <v>4235</v>
      </c>
      <c r="L17" s="361">
        <f t="shared" si="4"/>
        <v>499</v>
      </c>
      <c r="M17" s="406">
        <f t="shared" si="1"/>
        <v>3736</v>
      </c>
      <c r="N17" s="97">
        <f>[6]Hist!U$60</f>
        <v>40</v>
      </c>
      <c r="O17" s="1497">
        <f>[6]Hist!V$60</f>
        <v>36</v>
      </c>
      <c r="P17" s="1496">
        <f t="shared" si="5"/>
        <v>3776</v>
      </c>
      <c r="Q17" s="97">
        <f>[6]Hist!AA$60</f>
        <v>201</v>
      </c>
      <c r="R17" s="133">
        <f t="shared" si="6"/>
        <v>3499</v>
      </c>
      <c r="S17" s="133"/>
      <c r="T17" s="133"/>
      <c r="U17" s="98">
        <f>[4]Data!$I$247</f>
        <v>891710</v>
      </c>
      <c r="V17" s="456"/>
      <c r="W17" s="100"/>
      <c r="X17" s="101"/>
      <c r="Y17" s="114"/>
      <c r="Z17" s="102"/>
      <c r="AB17" s="113">
        <f t="shared" si="2"/>
        <v>891710</v>
      </c>
      <c r="AC17" s="339">
        <f>[5]Summer!$M12</f>
        <v>92</v>
      </c>
      <c r="AD17" s="345"/>
      <c r="AE17" s="115"/>
      <c r="AI17" s="299">
        <v>1984</v>
      </c>
      <c r="AJ17" s="462">
        <f t="shared" si="7"/>
        <v>3499</v>
      </c>
      <c r="AK17" s="709">
        <f t="shared" si="8"/>
        <v>92</v>
      </c>
      <c r="AL17" s="676">
        <f>U17</f>
        <v>891710</v>
      </c>
      <c r="AM17" s="264">
        <v>0</v>
      </c>
      <c r="AN17" s="264">
        <v>0</v>
      </c>
      <c r="AO17" s="165">
        <f t="shared" ref="AO17:AO42" si="11">ROUND($BB$13+$BA$13*AK17+$AZ$13*AL17+$AY$13*AM17+$AX$13*AN17,0)</f>
        <v>3598</v>
      </c>
      <c r="AP17" s="165">
        <f t="shared" ref="AP17:AP33" si="12">AJ17-AO17</f>
        <v>-99</v>
      </c>
      <c r="AQ17" s="109"/>
      <c r="AR17" s="109"/>
      <c r="AS17" s="109"/>
      <c r="AT17" s="109"/>
      <c r="AU17" s="361">
        <f t="shared" si="10"/>
        <v>-99</v>
      </c>
      <c r="AW17" s="260" t="s">
        <v>176</v>
      </c>
      <c r="AX17" s="261">
        <v>19664008.189298458</v>
      </c>
      <c r="AY17" s="261">
        <v>50511.78081878864</v>
      </c>
      <c r="AZ17" s="259" t="e">
        <v>#N/A</v>
      </c>
      <c r="BA17" s="259" t="e">
        <v>#N/A</v>
      </c>
      <c r="BB17" s="843" t="e">
        <v>#N/A</v>
      </c>
      <c r="BC17" s="28"/>
      <c r="BD17" s="28"/>
      <c r="BE17" s="28"/>
      <c r="BF17" s="28"/>
      <c r="BG17" s="123">
        <v>1984</v>
      </c>
      <c r="BH17" s="676">
        <f t="shared" ref="BH17:BH43" si="13">ROUND($BB$13+$BA$13*AK$63+$AZ$13*AL17+$AY$13*AM17+$AX$13*AN17,0)</f>
        <v>3633</v>
      </c>
      <c r="BI17" s="463">
        <f t="shared" ref="BI17:BI35" si="14">AJ17</f>
        <v>3499</v>
      </c>
      <c r="BJ17" s="133">
        <f t="shared" ref="BJ17:BJ35" si="15">BI17-BH17</f>
        <v>-134</v>
      </c>
      <c r="BK17" s="463">
        <f t="shared" ref="BK17:BK35" si="16">AO17</f>
        <v>3598</v>
      </c>
      <c r="BL17" s="495">
        <f t="shared" ref="BL17:BL35" si="17">BH17-BK17</f>
        <v>35</v>
      </c>
      <c r="BM17" s="299"/>
      <c r="BN17" s="117"/>
    </row>
    <row r="18" spans="1:66" ht="12.75" customHeight="1">
      <c r="A18" s="398">
        <v>31203.708333333332</v>
      </c>
      <c r="B18" s="341">
        <v>17</v>
      </c>
      <c r="C18" s="346" t="str">
        <f t="shared" si="0"/>
        <v>Wed</v>
      </c>
      <c r="D18" s="97">
        <f>[6]Hist!G$70</f>
        <v>4548</v>
      </c>
      <c r="E18" s="410">
        <f>[6]Hist!H$70</f>
        <v>4136</v>
      </c>
      <c r="F18" s="97">
        <f>[6]Hist!L$70</f>
        <v>30</v>
      </c>
      <c r="G18" s="97">
        <f>[6]Hist!M$70</f>
        <v>97</v>
      </c>
      <c r="H18" s="97">
        <f>[6]Hist!N$70</f>
        <v>0</v>
      </c>
      <c r="I18" s="97">
        <f>[6]Hist!O$70</f>
        <v>0</v>
      </c>
      <c r="J18" s="97">
        <f>[6]Hist!P$70</f>
        <v>0</v>
      </c>
      <c r="K18" s="361">
        <f t="shared" si="3"/>
        <v>4675</v>
      </c>
      <c r="L18" s="361">
        <f t="shared" si="4"/>
        <v>412</v>
      </c>
      <c r="M18" s="406">
        <f t="shared" si="1"/>
        <v>4263</v>
      </c>
      <c r="N18" s="97">
        <f>[6]Hist!U$70</f>
        <v>53</v>
      </c>
      <c r="O18" s="1497">
        <f>[6]Hist!V$70</f>
        <v>42</v>
      </c>
      <c r="P18" s="1496">
        <f t="shared" si="5"/>
        <v>4316</v>
      </c>
      <c r="Q18" s="97">
        <f>[6]Hist!AA$70</f>
        <v>194</v>
      </c>
      <c r="R18" s="133">
        <f t="shared" si="6"/>
        <v>4027</v>
      </c>
      <c r="S18" s="133"/>
      <c r="T18" s="133"/>
      <c r="U18" s="98">
        <f>Jun!P18</f>
        <v>927200</v>
      </c>
      <c r="V18" s="456"/>
      <c r="W18" s="100"/>
      <c r="X18" s="101"/>
      <c r="Y18" s="114"/>
      <c r="Z18" s="102"/>
      <c r="AB18" s="113">
        <f t="shared" si="2"/>
        <v>927200</v>
      </c>
      <c r="AC18" s="339">
        <f>[5]Summer!$M13</f>
        <v>94.5</v>
      </c>
      <c r="AD18" s="345"/>
      <c r="AE18" s="115"/>
      <c r="AI18" s="299">
        <v>1985</v>
      </c>
      <c r="AJ18" s="462">
        <f t="shared" si="7"/>
        <v>4027</v>
      </c>
      <c r="AK18" s="709">
        <f t="shared" si="8"/>
        <v>94.5</v>
      </c>
      <c r="AL18" s="676">
        <f t="shared" ref="AL18:AL73" si="18">U18</f>
        <v>927200</v>
      </c>
      <c r="AM18" s="264">
        <v>0</v>
      </c>
      <c r="AN18" s="264">
        <v>0</v>
      </c>
      <c r="AO18" s="165">
        <f t="shared" si="11"/>
        <v>4044</v>
      </c>
      <c r="AP18" s="165">
        <f t="shared" si="12"/>
        <v>-17</v>
      </c>
      <c r="AQ18" s="109"/>
      <c r="AR18" s="109"/>
      <c r="AS18" s="109"/>
      <c r="AT18" s="109"/>
      <c r="AU18" s="361">
        <f t="shared" si="10"/>
        <v>528</v>
      </c>
      <c r="AV18" s="1"/>
      <c r="AW18" s="1078" t="s">
        <v>177</v>
      </c>
      <c r="AX18" s="1023" t="e">
        <v>#N/A</v>
      </c>
      <c r="AY18" s="1023" t="e">
        <v>#N/A</v>
      </c>
      <c r="AZ18" s="1023" t="e">
        <v>#N/A</v>
      </c>
      <c r="BA18" s="1023" t="e">
        <v>#N/A</v>
      </c>
      <c r="BB18" s="1023" t="e">
        <v>#N/A</v>
      </c>
      <c r="BC18" s="28"/>
      <c r="BD18" s="28"/>
      <c r="BE18" s="28"/>
      <c r="BF18" s="28"/>
      <c r="BG18" s="123">
        <v>1985</v>
      </c>
      <c r="BH18" s="676">
        <f t="shared" si="13"/>
        <v>3863</v>
      </c>
      <c r="BI18" s="463">
        <f t="shared" si="14"/>
        <v>4027</v>
      </c>
      <c r="BJ18" s="133">
        <f t="shared" si="15"/>
        <v>164</v>
      </c>
      <c r="BK18" s="463">
        <f t="shared" si="16"/>
        <v>4044</v>
      </c>
      <c r="BL18" s="495">
        <f t="shared" si="17"/>
        <v>-181</v>
      </c>
      <c r="BM18" s="299"/>
      <c r="BN18" s="117"/>
    </row>
    <row r="19" spans="1:66" ht="12.75" customHeight="1">
      <c r="A19" s="398">
        <v>31625.708333333332</v>
      </c>
      <c r="B19" s="341">
        <v>17</v>
      </c>
      <c r="C19" s="346" t="str">
        <f t="shared" si="0"/>
        <v>Fri</v>
      </c>
      <c r="D19" s="97">
        <f>[6]Hist!G$84</f>
        <v>4644</v>
      </c>
      <c r="E19" s="410">
        <f>[6]Hist!H$84</f>
        <v>4307</v>
      </c>
      <c r="F19" s="97">
        <f>[6]Hist!L$84</f>
        <v>0</v>
      </c>
      <c r="G19" s="97">
        <f>[6]Hist!M$84</f>
        <v>0</v>
      </c>
      <c r="H19" s="97">
        <f>[6]Hist!N$84</f>
        <v>0</v>
      </c>
      <c r="I19" s="97">
        <f>[6]Hist!O$84</f>
        <v>0</v>
      </c>
      <c r="J19" s="97">
        <f>[6]Hist!P$84</f>
        <v>0</v>
      </c>
      <c r="K19" s="361">
        <f t="shared" si="3"/>
        <v>4644</v>
      </c>
      <c r="L19" s="361">
        <f t="shared" si="4"/>
        <v>337</v>
      </c>
      <c r="M19" s="406">
        <f t="shared" si="1"/>
        <v>4307</v>
      </c>
      <c r="N19" s="97">
        <f>[6]Hist!U$84</f>
        <v>64</v>
      </c>
      <c r="O19" s="1497">
        <f>[6]Hist!V$84</f>
        <v>51</v>
      </c>
      <c r="P19" s="1496">
        <f t="shared" si="5"/>
        <v>4371</v>
      </c>
      <c r="Q19" s="97">
        <f>[6]Hist!AA$84</f>
        <v>133</v>
      </c>
      <c r="R19" s="133">
        <f t="shared" si="6"/>
        <v>4123</v>
      </c>
      <c r="S19" s="133"/>
      <c r="T19" s="133"/>
      <c r="U19" s="98">
        <f>[4]Data!$I$249</f>
        <v>968802</v>
      </c>
      <c r="V19" s="456"/>
      <c r="W19" s="100"/>
      <c r="X19" s="101"/>
      <c r="Y19" s="114"/>
      <c r="Z19" s="102"/>
      <c r="AB19" s="113">
        <f t="shared" si="2"/>
        <v>968802</v>
      </c>
      <c r="AC19" s="339">
        <f>[5]Summer!$M14</f>
        <v>93</v>
      </c>
      <c r="AD19" s="345"/>
      <c r="AE19" s="115"/>
      <c r="AI19" s="299">
        <v>1986</v>
      </c>
      <c r="AJ19" s="462">
        <f t="shared" si="7"/>
        <v>4123</v>
      </c>
      <c r="AK19" s="709">
        <f t="shared" si="8"/>
        <v>93</v>
      </c>
      <c r="AL19" s="676">
        <f t="shared" si="18"/>
        <v>968802</v>
      </c>
      <c r="AM19" s="264">
        <v>0</v>
      </c>
      <c r="AN19" s="264">
        <v>0</v>
      </c>
      <c r="AO19" s="165">
        <f t="shared" si="11"/>
        <v>4185</v>
      </c>
      <c r="AP19" s="165">
        <f t="shared" si="12"/>
        <v>-62</v>
      </c>
      <c r="AQ19" s="109"/>
      <c r="AR19" s="109"/>
      <c r="AS19" s="109"/>
      <c r="AT19" s="109"/>
      <c r="AU19" s="361">
        <f t="shared" si="10"/>
        <v>96</v>
      </c>
      <c r="AV19" s="1"/>
      <c r="AW19" s="1"/>
      <c r="AX19" s="1337">
        <f>AX13/AX14</f>
        <v>-4.7751252685474501</v>
      </c>
      <c r="AY19" s="1337">
        <f t="shared" ref="AY19:BA19" si="19">AY13/AY14</f>
        <v>-14.114591454152464</v>
      </c>
      <c r="AZ19" s="1337">
        <f t="shared" si="19"/>
        <v>65.210659044655031</v>
      </c>
      <c r="BA19" s="1337">
        <f t="shared" si="19"/>
        <v>11.105211875090042</v>
      </c>
      <c r="BB19" s="1337">
        <f>BB13/BB14</f>
        <v>-13.249955407670496</v>
      </c>
      <c r="BC19" s="28"/>
      <c r="BD19" s="28"/>
      <c r="BE19" s="28"/>
      <c r="BF19" s="28"/>
      <c r="BG19" s="123">
        <v>1986</v>
      </c>
      <c r="BH19" s="676">
        <f t="shared" si="13"/>
        <v>4133</v>
      </c>
      <c r="BI19" s="463">
        <f t="shared" si="14"/>
        <v>4123</v>
      </c>
      <c r="BJ19" s="133">
        <f t="shared" si="15"/>
        <v>-10</v>
      </c>
      <c r="BK19" s="463">
        <f t="shared" si="16"/>
        <v>4185</v>
      </c>
      <c r="BL19" s="495">
        <f t="shared" si="17"/>
        <v>-52</v>
      </c>
      <c r="BM19" s="299"/>
      <c r="BN19" s="117"/>
    </row>
    <row r="20" spans="1:66" ht="12.75" customHeight="1">
      <c r="A20" s="398">
        <v>32015.75</v>
      </c>
      <c r="B20" s="341">
        <v>18</v>
      </c>
      <c r="C20" s="346" t="str">
        <f t="shared" si="0"/>
        <v>Wed</v>
      </c>
      <c r="D20" s="97">
        <f>[6]Hist!G$96</f>
        <v>5196</v>
      </c>
      <c r="E20" s="410">
        <f>[6]Hist!H$96</f>
        <v>4732</v>
      </c>
      <c r="F20" s="97">
        <f>[6]Hist!L$96</f>
        <v>1</v>
      </c>
      <c r="G20" s="97">
        <f>[6]Hist!M$96</f>
        <v>0</v>
      </c>
      <c r="H20" s="97">
        <f>[6]Hist!N$96</f>
        <v>0</v>
      </c>
      <c r="I20" s="97">
        <f>[6]Hist!O$96</f>
        <v>0</v>
      </c>
      <c r="J20" s="97">
        <f>[6]Hist!P$96</f>
        <v>0</v>
      </c>
      <c r="K20" s="361">
        <f t="shared" si="3"/>
        <v>5197</v>
      </c>
      <c r="L20" s="361">
        <f t="shared" si="4"/>
        <v>464</v>
      </c>
      <c r="M20" s="406">
        <f t="shared" si="1"/>
        <v>4733</v>
      </c>
      <c r="N20" s="97">
        <f>[6]Hist!U$96</f>
        <v>70</v>
      </c>
      <c r="O20" s="1497">
        <f>[6]Hist!V$96</f>
        <v>58</v>
      </c>
      <c r="P20" s="1496">
        <f t="shared" si="5"/>
        <v>4803</v>
      </c>
      <c r="Q20" s="97">
        <f>[6]Hist!AA$96</f>
        <v>225</v>
      </c>
      <c r="R20" s="133">
        <f t="shared" si="6"/>
        <v>4450</v>
      </c>
      <c r="S20" s="133"/>
      <c r="T20" s="133"/>
      <c r="U20" s="98">
        <f>[4]Data!$I$250</f>
        <v>1012256</v>
      </c>
      <c r="V20" s="456"/>
      <c r="W20" s="100"/>
      <c r="X20" s="101"/>
      <c r="Z20" s="102"/>
      <c r="AA20" s="576">
        <f t="shared" ref="AA20:AA38" si="20">AB20-AB19</f>
        <v>43454</v>
      </c>
      <c r="AB20" s="113">
        <f t="shared" si="2"/>
        <v>1012256</v>
      </c>
      <c r="AC20" s="339">
        <f>[5]Summer!$M15</f>
        <v>92.5</v>
      </c>
      <c r="AD20" s="345"/>
      <c r="AE20" s="115"/>
      <c r="AI20" s="299">
        <v>1987</v>
      </c>
      <c r="AJ20" s="462">
        <f t="shared" si="7"/>
        <v>4450</v>
      </c>
      <c r="AK20" s="709">
        <f t="shared" si="8"/>
        <v>92.5</v>
      </c>
      <c r="AL20" s="676">
        <f t="shared" si="18"/>
        <v>1012256</v>
      </c>
      <c r="AM20" s="264">
        <v>0</v>
      </c>
      <c r="AN20" s="264">
        <v>0</v>
      </c>
      <c r="AO20" s="165">
        <f t="shared" si="11"/>
        <v>4423</v>
      </c>
      <c r="AP20" s="165">
        <f t="shared" si="12"/>
        <v>27</v>
      </c>
      <c r="AQ20" s="109"/>
      <c r="AR20" s="109"/>
      <c r="AS20" s="109"/>
      <c r="AT20" s="109"/>
      <c r="AU20" s="361">
        <f t="shared" si="10"/>
        <v>327</v>
      </c>
      <c r="AV20" s="1"/>
      <c r="AW20" s="1"/>
      <c r="AX20" s="1"/>
      <c r="AY20" s="1"/>
      <c r="AZ20" s="1"/>
      <c r="BA20" s="1"/>
      <c r="BB20" s="28"/>
      <c r="BC20" s="28"/>
      <c r="BD20" s="28"/>
      <c r="BE20" s="28"/>
      <c r="BF20" s="28"/>
      <c r="BG20" s="123">
        <v>1987</v>
      </c>
      <c r="BH20" s="676">
        <f t="shared" si="13"/>
        <v>4415</v>
      </c>
      <c r="BI20" s="463">
        <f t="shared" si="14"/>
        <v>4450</v>
      </c>
      <c r="BJ20" s="133">
        <f t="shared" si="15"/>
        <v>35</v>
      </c>
      <c r="BK20" s="463">
        <f t="shared" si="16"/>
        <v>4423</v>
      </c>
      <c r="BL20" s="495">
        <f t="shared" si="17"/>
        <v>-8</v>
      </c>
      <c r="BM20" s="299"/>
      <c r="BN20" s="117"/>
    </row>
    <row r="21" spans="1:66" ht="12.75" customHeight="1">
      <c r="A21" s="398">
        <v>32336.75</v>
      </c>
      <c r="B21" s="341">
        <v>18</v>
      </c>
      <c r="C21" s="346" t="str">
        <f t="shared" si="0"/>
        <v>Tue</v>
      </c>
      <c r="D21" s="97">
        <f>[6]Hist!G$107</f>
        <v>5309</v>
      </c>
      <c r="E21" s="410">
        <f>[6]Hist!H$107</f>
        <v>4588</v>
      </c>
      <c r="F21" s="97">
        <f>[6]Hist!L$107</f>
        <v>0</v>
      </c>
      <c r="G21" s="97">
        <f>[6]Hist!M$107</f>
        <v>0</v>
      </c>
      <c r="H21" s="97">
        <f>[6]Hist!N$107</f>
        <v>0</v>
      </c>
      <c r="I21" s="97">
        <f>[6]Hist!O$107</f>
        <v>0</v>
      </c>
      <c r="J21" s="97">
        <f>[6]Hist!P$107</f>
        <v>0</v>
      </c>
      <c r="K21" s="361">
        <f t="shared" si="3"/>
        <v>5309</v>
      </c>
      <c r="L21" s="361">
        <f t="shared" si="4"/>
        <v>721</v>
      </c>
      <c r="M21" s="406">
        <f t="shared" si="1"/>
        <v>4588</v>
      </c>
      <c r="N21" s="97">
        <f>[6]Hist!U$107</f>
        <v>75</v>
      </c>
      <c r="O21" s="1497">
        <f>[6]Hist!V$107</f>
        <v>61</v>
      </c>
      <c r="P21" s="1496">
        <f t="shared" si="5"/>
        <v>4663</v>
      </c>
      <c r="Q21" s="97">
        <f>[6]Hist!AA$107</f>
        <v>199</v>
      </c>
      <c r="R21" s="133">
        <f t="shared" si="6"/>
        <v>4328</v>
      </c>
      <c r="S21" s="133"/>
      <c r="T21" s="133"/>
      <c r="U21" s="98">
        <f>Jul!P21</f>
        <v>1046093</v>
      </c>
      <c r="V21" s="456"/>
      <c r="W21" s="100"/>
      <c r="X21" s="101"/>
      <c r="Z21" s="102"/>
      <c r="AA21" s="576">
        <f t="shared" si="20"/>
        <v>33837</v>
      </c>
      <c r="AB21" s="113">
        <f t="shared" si="2"/>
        <v>1046093</v>
      </c>
      <c r="AC21" s="339">
        <f>[5]Summer!$M16</f>
        <v>92.3</v>
      </c>
      <c r="AD21" s="345"/>
      <c r="AE21" s="115"/>
      <c r="AI21" s="299">
        <v>1988</v>
      </c>
      <c r="AJ21" s="462">
        <f t="shared" si="7"/>
        <v>4328</v>
      </c>
      <c r="AK21" s="1148">
        <f>AC21-3</f>
        <v>89.3</v>
      </c>
      <c r="AL21" s="676">
        <f t="shared" si="18"/>
        <v>1046093</v>
      </c>
      <c r="AM21" s="264">
        <v>0</v>
      </c>
      <c r="AN21" s="264">
        <v>0</v>
      </c>
      <c r="AO21" s="165">
        <f t="shared" si="11"/>
        <v>4367</v>
      </c>
      <c r="AP21" s="165">
        <f t="shared" si="12"/>
        <v>-39</v>
      </c>
      <c r="AQ21" s="109"/>
      <c r="AR21" s="109"/>
      <c r="AS21" s="109"/>
      <c r="AT21" s="109"/>
      <c r="AU21" s="361">
        <f t="shared" si="10"/>
        <v>-122</v>
      </c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123">
        <v>1988</v>
      </c>
      <c r="BH21" s="676">
        <f t="shared" si="13"/>
        <v>4634</v>
      </c>
      <c r="BI21" s="463">
        <f t="shared" si="14"/>
        <v>4328</v>
      </c>
      <c r="BJ21" s="133">
        <f t="shared" si="15"/>
        <v>-306</v>
      </c>
      <c r="BK21" s="463">
        <f t="shared" si="16"/>
        <v>4367</v>
      </c>
      <c r="BL21" s="495">
        <f t="shared" si="17"/>
        <v>267</v>
      </c>
      <c r="BM21" s="393"/>
      <c r="BN21" s="117"/>
    </row>
    <row r="22" spans="1:66" ht="12.75" customHeight="1">
      <c r="A22" s="398">
        <v>32727.75</v>
      </c>
      <c r="B22" s="341">
        <v>18</v>
      </c>
      <c r="C22" s="346" t="str">
        <f t="shared" si="0"/>
        <v>Mon</v>
      </c>
      <c r="D22" s="97">
        <f>[6]Hist!G$120</f>
        <v>5832</v>
      </c>
      <c r="E22" s="410">
        <f>[6]Hist!H$120</f>
        <v>5310</v>
      </c>
      <c r="F22" s="97">
        <f>[6]Hist!L$120</f>
        <v>0</v>
      </c>
      <c r="G22" s="97">
        <f>[6]Hist!M$120</f>
        <v>0</v>
      </c>
      <c r="H22" s="97">
        <f>[6]Hist!N$120</f>
        <v>0</v>
      </c>
      <c r="I22" s="97">
        <f>[6]Hist!O$120</f>
        <v>0</v>
      </c>
      <c r="J22" s="97">
        <f>[6]Hist!P$120</f>
        <v>0</v>
      </c>
      <c r="K22" s="361">
        <f t="shared" si="3"/>
        <v>5832</v>
      </c>
      <c r="L22" s="361">
        <f t="shared" si="4"/>
        <v>522</v>
      </c>
      <c r="M22" s="406">
        <f t="shared" si="1"/>
        <v>5310</v>
      </c>
      <c r="N22" s="97">
        <f>[6]Hist!U$120</f>
        <v>80</v>
      </c>
      <c r="O22" s="1497">
        <f>[6]Hist!V$120</f>
        <v>66</v>
      </c>
      <c r="P22" s="1496">
        <f t="shared" si="5"/>
        <v>5390</v>
      </c>
      <c r="Q22" s="97">
        <f>[6]Hist!AA$120</f>
        <v>240</v>
      </c>
      <c r="R22" s="133">
        <f t="shared" si="6"/>
        <v>5004</v>
      </c>
      <c r="S22" s="133"/>
      <c r="T22" s="97"/>
      <c r="U22" s="98">
        <f>[4]Data!$I$252</f>
        <v>1090312</v>
      </c>
      <c r="V22" s="456"/>
      <c r="W22" s="100"/>
      <c r="X22" s="101"/>
      <c r="Z22" s="102"/>
      <c r="AA22" s="576">
        <f t="shared" si="20"/>
        <v>44219</v>
      </c>
      <c r="AB22" s="113">
        <f t="shared" si="2"/>
        <v>1090312</v>
      </c>
      <c r="AC22" s="339">
        <f>[5]Summer!$M17</f>
        <v>92.7</v>
      </c>
      <c r="AD22" s="345"/>
      <c r="AE22" s="115"/>
      <c r="AI22" s="299">
        <v>1989</v>
      </c>
      <c r="AJ22" s="462">
        <f t="shared" si="7"/>
        <v>5004</v>
      </c>
      <c r="AK22" s="709">
        <f t="shared" si="8"/>
        <v>92.7</v>
      </c>
      <c r="AL22" s="676">
        <f t="shared" si="18"/>
        <v>1090312</v>
      </c>
      <c r="AM22" s="264">
        <v>0</v>
      </c>
      <c r="AN22" s="264">
        <v>0</v>
      </c>
      <c r="AO22" s="165">
        <f t="shared" si="11"/>
        <v>4947</v>
      </c>
      <c r="AP22" s="165">
        <f t="shared" si="12"/>
        <v>57</v>
      </c>
      <c r="AQ22" s="109"/>
      <c r="AR22" s="109"/>
      <c r="AS22" s="109"/>
      <c r="AT22" s="109"/>
      <c r="AU22" s="361">
        <f t="shared" si="10"/>
        <v>676</v>
      </c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123">
        <v>1989</v>
      </c>
      <c r="BH22" s="676">
        <f t="shared" si="13"/>
        <v>4921</v>
      </c>
      <c r="BI22" s="463">
        <f t="shared" si="14"/>
        <v>5004</v>
      </c>
      <c r="BJ22" s="133">
        <f t="shared" si="15"/>
        <v>83</v>
      </c>
      <c r="BK22" s="463">
        <f t="shared" si="16"/>
        <v>4947</v>
      </c>
      <c r="BL22" s="495">
        <f t="shared" si="17"/>
        <v>-26</v>
      </c>
      <c r="BM22" s="299"/>
      <c r="BN22" s="117"/>
    </row>
    <row r="23" spans="1:66" ht="12.75" customHeight="1">
      <c r="A23" s="398">
        <v>33044.791666666664</v>
      </c>
      <c r="B23" s="341">
        <v>19</v>
      </c>
      <c r="C23" s="346" t="str">
        <f t="shared" si="0"/>
        <v>Wed</v>
      </c>
      <c r="D23" s="97">
        <f>[7]MoCoinMW!F$10</f>
        <v>5946</v>
      </c>
      <c r="E23" s="410">
        <f>[7]MoCoinMW!G$10</f>
        <v>5313.6279037321237</v>
      </c>
      <c r="F23" s="97">
        <f>[6]Hist!L$130</f>
        <v>0</v>
      </c>
      <c r="G23" s="97">
        <f>[6]Hist!M$130</f>
        <v>-52</v>
      </c>
      <c r="H23" s="97">
        <f>[6]Hist!N$130</f>
        <v>0</v>
      </c>
      <c r="I23" s="97">
        <f>[6]Hist!O$130</f>
        <v>0</v>
      </c>
      <c r="J23" s="97">
        <f>[6]Hist!P$130</f>
        <v>0</v>
      </c>
      <c r="K23" s="361">
        <f t="shared" si="3"/>
        <v>5894</v>
      </c>
      <c r="L23" s="361">
        <f t="shared" si="4"/>
        <v>632.37209626787626</v>
      </c>
      <c r="M23" s="406">
        <f t="shared" si="1"/>
        <v>5261.6279037321237</v>
      </c>
      <c r="N23" s="97">
        <f>[6]Hist!U$130</f>
        <v>84</v>
      </c>
      <c r="O23" s="1497">
        <f>[6]Hist!V$130</f>
        <v>66</v>
      </c>
      <c r="P23" s="1496">
        <f t="shared" si="5"/>
        <v>5345.6279037321237</v>
      </c>
      <c r="Q23" s="97">
        <f>[6]Hist!AA$130</f>
        <v>198</v>
      </c>
      <c r="R23" s="133">
        <f t="shared" si="6"/>
        <v>4997.6279037321237</v>
      </c>
      <c r="S23" s="133"/>
      <c r="T23" s="97">
        <f>[6]Hist!AE$130</f>
        <v>4652</v>
      </c>
      <c r="U23" s="98">
        <f>Jun!P23</f>
        <v>1120028</v>
      </c>
      <c r="V23" s="456"/>
      <c r="W23" s="100"/>
      <c r="X23" s="101"/>
      <c r="Z23" s="102"/>
      <c r="AA23" s="576">
        <f t="shared" si="20"/>
        <v>29716</v>
      </c>
      <c r="AB23" s="113">
        <f t="shared" si="2"/>
        <v>1120028</v>
      </c>
      <c r="AC23" s="339">
        <f>[5]Summer!$M18</f>
        <v>91.5</v>
      </c>
      <c r="AD23" s="345"/>
      <c r="AE23" s="115"/>
      <c r="AI23" s="299">
        <v>1990</v>
      </c>
      <c r="AJ23" s="462">
        <f t="shared" si="7"/>
        <v>4997.6279037321237</v>
      </c>
      <c r="AK23" s="709">
        <f t="shared" si="8"/>
        <v>91.5</v>
      </c>
      <c r="AL23" s="676">
        <f t="shared" si="18"/>
        <v>1120028</v>
      </c>
      <c r="AM23" s="264">
        <v>1</v>
      </c>
      <c r="AN23" s="264">
        <v>0</v>
      </c>
      <c r="AO23" s="165">
        <f t="shared" si="11"/>
        <v>4430</v>
      </c>
      <c r="AP23" s="165">
        <f t="shared" si="12"/>
        <v>567.62790373212374</v>
      </c>
      <c r="AQ23" s="109"/>
      <c r="AR23" s="109"/>
      <c r="AS23" s="109"/>
      <c r="AT23" s="109"/>
      <c r="AU23" s="361">
        <f t="shared" si="10"/>
        <v>-6.3720962678762589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23">
        <v>1990</v>
      </c>
      <c r="BH23" s="676">
        <f t="shared" si="13"/>
        <v>4507</v>
      </c>
      <c r="BI23" s="463">
        <f t="shared" si="14"/>
        <v>4997.6279037321237</v>
      </c>
      <c r="BJ23" s="133">
        <f t="shared" si="15"/>
        <v>490.62790373212374</v>
      </c>
      <c r="BK23" s="463">
        <f t="shared" si="16"/>
        <v>4430</v>
      </c>
      <c r="BL23" s="495">
        <f t="shared" si="17"/>
        <v>77</v>
      </c>
      <c r="BM23" s="299"/>
      <c r="BN23" s="117"/>
    </row>
    <row r="24" spans="1:66" ht="12.75" customHeight="1" thickBot="1">
      <c r="A24" s="400">
        <v>33458.708333333336</v>
      </c>
      <c r="B24" s="27">
        <v>17</v>
      </c>
      <c r="C24" s="401" t="str">
        <f t="shared" si="0"/>
        <v>Thu</v>
      </c>
      <c r="D24" s="1369">
        <f>[7]MoCoinMW!F$24</f>
        <v>5925</v>
      </c>
      <c r="E24" s="402">
        <f>[7]MoCoinMW!G$24</f>
        <v>5250.6955702825253</v>
      </c>
      <c r="F24" s="1369">
        <f>[6]Hist!L$144</f>
        <v>0</v>
      </c>
      <c r="G24" s="1369">
        <f>[6]Hist!M$144</f>
        <v>0</v>
      </c>
      <c r="H24" s="1369">
        <f>[6]Hist!N$144</f>
        <v>0</v>
      </c>
      <c r="I24" s="1369">
        <f>[6]Hist!O$144</f>
        <v>0</v>
      </c>
      <c r="J24" s="1369">
        <f>[6]Hist!P$144</f>
        <v>0</v>
      </c>
      <c r="K24" s="527">
        <f t="shared" si="3"/>
        <v>5925</v>
      </c>
      <c r="L24" s="527">
        <f t="shared" si="4"/>
        <v>674.3044297174747</v>
      </c>
      <c r="M24" s="407">
        <f t="shared" si="1"/>
        <v>5250.6955702825253</v>
      </c>
      <c r="N24" s="1369">
        <f>[6]Hist!U$144</f>
        <v>89</v>
      </c>
      <c r="O24" s="1498">
        <f>[6]Hist!V$144</f>
        <v>65.5</v>
      </c>
      <c r="P24" s="1499">
        <f t="shared" si="5"/>
        <v>5339.6955702825253</v>
      </c>
      <c r="Q24" s="1369">
        <f>[6]Hist!AA$144</f>
        <v>192</v>
      </c>
      <c r="R24" s="408">
        <f t="shared" si="6"/>
        <v>4993.1955702825253</v>
      </c>
      <c r="S24" s="408"/>
      <c r="T24" s="1369">
        <f>[6]Hist!AE$144</f>
        <v>4676</v>
      </c>
      <c r="U24" s="403">
        <f>[4]Data!$I$254</f>
        <v>1144149</v>
      </c>
      <c r="V24" s="1370"/>
      <c r="W24" s="1371"/>
      <c r="X24" s="1372"/>
      <c r="Y24" s="1373"/>
      <c r="Z24" s="868"/>
      <c r="AA24" s="1374">
        <f t="shared" si="20"/>
        <v>24121</v>
      </c>
      <c r="AB24" s="1375">
        <f t="shared" si="2"/>
        <v>1144149</v>
      </c>
      <c r="AC24" s="330">
        <f>[5]Summer!$M19</f>
        <v>91.8</v>
      </c>
      <c r="AD24" s="345"/>
      <c r="AE24" s="115"/>
      <c r="AI24" s="821">
        <v>1991</v>
      </c>
      <c r="AJ24" s="1486">
        <f t="shared" si="7"/>
        <v>4993.1955702825253</v>
      </c>
      <c r="AK24" s="1344">
        <f t="shared" si="8"/>
        <v>91.8</v>
      </c>
      <c r="AL24" s="916">
        <f t="shared" si="18"/>
        <v>1144149</v>
      </c>
      <c r="AM24" s="917">
        <v>1</v>
      </c>
      <c r="AN24" s="917">
        <v>0</v>
      </c>
      <c r="AO24" s="918">
        <f t="shared" si="11"/>
        <v>4612</v>
      </c>
      <c r="AP24" s="1345">
        <f t="shared" si="12"/>
        <v>381.1955702825253</v>
      </c>
      <c r="AQ24" s="91"/>
      <c r="AR24" s="821"/>
      <c r="AS24" s="821"/>
      <c r="AT24" s="821"/>
      <c r="AU24" s="919">
        <f t="shared" si="10"/>
        <v>-4.4323334495984454</v>
      </c>
      <c r="AV24" s="110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23">
        <v>1991</v>
      </c>
      <c r="BH24" s="676">
        <f t="shared" si="13"/>
        <v>4664</v>
      </c>
      <c r="BI24" s="463">
        <f t="shared" si="14"/>
        <v>4993.1955702825253</v>
      </c>
      <c r="BJ24" s="133">
        <f t="shared" si="15"/>
        <v>329.1955702825253</v>
      </c>
      <c r="BK24" s="463">
        <f t="shared" si="16"/>
        <v>4612</v>
      </c>
      <c r="BL24" s="495">
        <f t="shared" si="17"/>
        <v>52</v>
      </c>
      <c r="BM24" s="299"/>
      <c r="BN24" s="117"/>
    </row>
    <row r="25" spans="1:66" ht="12.75" customHeight="1">
      <c r="A25" s="398">
        <v>33792.708333333336</v>
      </c>
      <c r="B25" s="341">
        <v>17</v>
      </c>
      <c r="C25" s="346" t="str">
        <f t="shared" si="0"/>
        <v>Tue</v>
      </c>
      <c r="D25" s="97">
        <f>[7]MoCoinMW!F$35</f>
        <v>6357</v>
      </c>
      <c r="E25" s="410">
        <f>[7]MoCoinMW!G$35</f>
        <v>5543.7002760720306</v>
      </c>
      <c r="F25" s="97">
        <f>[6]Hist!L$155</f>
        <v>0</v>
      </c>
      <c r="G25" s="97">
        <f>[6]Hist!M$155</f>
        <v>0</v>
      </c>
      <c r="H25" s="97">
        <f>[6]Hist!N$155</f>
        <v>0</v>
      </c>
      <c r="I25" s="97">
        <f>[6]Hist!O$155</f>
        <v>0</v>
      </c>
      <c r="J25" s="97">
        <f>[6]Hist!P$155</f>
        <v>0</v>
      </c>
      <c r="K25" s="361">
        <f t="shared" si="3"/>
        <v>6357</v>
      </c>
      <c r="L25" s="361">
        <f t="shared" si="4"/>
        <v>813.29972392796935</v>
      </c>
      <c r="M25" s="406">
        <f t="shared" si="1"/>
        <v>5543.7002760720306</v>
      </c>
      <c r="N25" s="97">
        <f>[6]Hist!U$155</f>
        <v>97</v>
      </c>
      <c r="O25" s="1497">
        <f>[6]Hist!V$155</f>
        <v>65.5</v>
      </c>
      <c r="P25" s="1496">
        <f t="shared" si="5"/>
        <v>5640.7002760720306</v>
      </c>
      <c r="Q25" s="97">
        <f>[6]Hist!AA$155</f>
        <v>150</v>
      </c>
      <c r="R25" s="133">
        <f t="shared" si="6"/>
        <v>5328.2002760720306</v>
      </c>
      <c r="S25" s="133"/>
      <c r="T25" s="97">
        <f>[6]Hist!AE$155</f>
        <v>5032</v>
      </c>
      <c r="U25" s="98">
        <f>Jul!P25</f>
        <v>1166211</v>
      </c>
      <c r="V25" s="456"/>
      <c r="W25" s="100"/>
      <c r="X25" s="101"/>
      <c r="Z25" s="102"/>
      <c r="AA25" s="576">
        <f t="shared" si="20"/>
        <v>22062</v>
      </c>
      <c r="AB25" s="113">
        <f t="shared" si="2"/>
        <v>1166211</v>
      </c>
      <c r="AC25" s="339">
        <f>[5]Summer!$M20</f>
        <v>91.7</v>
      </c>
      <c r="AD25" s="345"/>
      <c r="AE25" s="115"/>
      <c r="AI25" s="1031">
        <v>1992</v>
      </c>
      <c r="AJ25" s="1032">
        <f t="shared" si="7"/>
        <v>5328.2002760720306</v>
      </c>
      <c r="AK25" s="709">
        <f t="shared" si="8"/>
        <v>91.7</v>
      </c>
      <c r="AL25" s="676">
        <f t="shared" si="18"/>
        <v>1166211</v>
      </c>
      <c r="AM25" s="264">
        <v>0</v>
      </c>
      <c r="AN25" s="264">
        <v>0</v>
      </c>
      <c r="AO25" s="165">
        <f t="shared" si="11"/>
        <v>5353</v>
      </c>
      <c r="AP25" s="165">
        <f t="shared" si="12"/>
        <v>-24.799723927969353</v>
      </c>
      <c r="AQ25" s="109"/>
      <c r="AR25" s="299"/>
      <c r="AS25" s="299"/>
      <c r="AT25" s="299"/>
      <c r="AU25" s="361">
        <f t="shared" si="10"/>
        <v>335.00470578950535</v>
      </c>
      <c r="AV25" s="110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23">
        <v>1992</v>
      </c>
      <c r="BH25" s="676">
        <f t="shared" si="13"/>
        <v>5414</v>
      </c>
      <c r="BI25" s="463">
        <f t="shared" si="14"/>
        <v>5328.2002760720306</v>
      </c>
      <c r="BJ25" s="133">
        <f t="shared" si="15"/>
        <v>-85.799723927969353</v>
      </c>
      <c r="BK25" s="463">
        <f t="shared" si="16"/>
        <v>5353</v>
      </c>
      <c r="BL25" s="495">
        <f t="shared" si="17"/>
        <v>61</v>
      </c>
      <c r="BM25" s="299"/>
      <c r="BN25" s="117"/>
    </row>
    <row r="26" spans="1:66" ht="12.75" customHeight="1">
      <c r="A26" s="398">
        <v>34186.708333333336</v>
      </c>
      <c r="B26" s="341">
        <v>17</v>
      </c>
      <c r="C26" s="346" t="str">
        <f t="shared" si="0"/>
        <v>Thu</v>
      </c>
      <c r="D26" s="97">
        <f>[7]MoCoinMW!F$48</f>
        <v>6729</v>
      </c>
      <c r="E26" s="410">
        <f>[7]MoCoinMW!G$48</f>
        <v>5895.9332076727878</v>
      </c>
      <c r="F26" s="97">
        <f>[6]Hist!L$168</f>
        <v>0</v>
      </c>
      <c r="G26" s="97">
        <f>[6]Hist!M$168</f>
        <v>0</v>
      </c>
      <c r="H26" s="97">
        <f>[6]Hist!N$168</f>
        <v>0</v>
      </c>
      <c r="I26" s="97">
        <f>[6]Hist!O$168</f>
        <v>0</v>
      </c>
      <c r="J26" s="97">
        <f>[6]Hist!P$168</f>
        <v>0</v>
      </c>
      <c r="K26" s="361">
        <f t="shared" si="3"/>
        <v>6729</v>
      </c>
      <c r="L26" s="361">
        <f t="shared" si="4"/>
        <v>833.06679232721217</v>
      </c>
      <c r="M26" s="406">
        <f t="shared" si="1"/>
        <v>5895.9332076727878</v>
      </c>
      <c r="N26" s="97">
        <f>[6]Hist!U$168</f>
        <v>118</v>
      </c>
      <c r="O26" s="1497">
        <f>[6]Hist!V$168</f>
        <v>65.5</v>
      </c>
      <c r="P26" s="1496">
        <f t="shared" si="5"/>
        <v>6013.9332076727878</v>
      </c>
      <c r="Q26" s="97">
        <f>[6]Hist!AA$168</f>
        <v>272</v>
      </c>
      <c r="R26" s="133">
        <f t="shared" si="6"/>
        <v>5558.4332076727878</v>
      </c>
      <c r="S26" s="133"/>
      <c r="T26" s="97">
        <f>[6]Hist!AE$168</f>
        <v>5033</v>
      </c>
      <c r="U26" s="98">
        <f>[4]Data!$I$256</f>
        <v>1202907</v>
      </c>
      <c r="V26" s="456"/>
      <c r="W26" s="100"/>
      <c r="X26" s="101"/>
      <c r="Z26" s="102"/>
      <c r="AA26" s="576">
        <f t="shared" si="20"/>
        <v>36696</v>
      </c>
      <c r="AB26" s="113">
        <f t="shared" si="2"/>
        <v>1202907</v>
      </c>
      <c r="AC26" s="339">
        <f>[5]Summer!$M21</f>
        <v>93</v>
      </c>
      <c r="AD26" s="345"/>
      <c r="AE26" s="115"/>
      <c r="AI26" s="1031">
        <v>1993</v>
      </c>
      <c r="AJ26" s="1032">
        <f t="shared" si="7"/>
        <v>5558.4332076727878</v>
      </c>
      <c r="AK26" s="709">
        <f t="shared" si="8"/>
        <v>93</v>
      </c>
      <c r="AL26" s="676">
        <f t="shared" si="18"/>
        <v>1202907</v>
      </c>
      <c r="AM26" s="264">
        <v>0</v>
      </c>
      <c r="AN26" s="264">
        <v>1</v>
      </c>
      <c r="AO26" s="165">
        <f t="shared" si="11"/>
        <v>5523</v>
      </c>
      <c r="AP26" s="165">
        <f t="shared" si="12"/>
        <v>35.43320767278783</v>
      </c>
      <c r="AQ26" s="109"/>
      <c r="AR26" s="109"/>
      <c r="AS26" s="109"/>
      <c r="AT26" s="109"/>
      <c r="AU26" s="361">
        <f t="shared" si="10"/>
        <v>230.23293160075718</v>
      </c>
      <c r="AV26" s="108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23">
        <v>1993</v>
      </c>
      <c r="BH26" s="676">
        <f t="shared" si="13"/>
        <v>5471</v>
      </c>
      <c r="BI26" s="463">
        <f t="shared" si="14"/>
        <v>5558.4332076727878</v>
      </c>
      <c r="BJ26" s="133">
        <f t="shared" si="15"/>
        <v>87.43320767278783</v>
      </c>
      <c r="BK26" s="463">
        <f t="shared" si="16"/>
        <v>5523</v>
      </c>
      <c r="BL26" s="495">
        <f t="shared" si="17"/>
        <v>-52</v>
      </c>
      <c r="BM26" s="394"/>
      <c r="BN26" s="117"/>
    </row>
    <row r="27" spans="1:66" ht="12.75" customHeight="1">
      <c r="A27" s="398">
        <v>34512.75</v>
      </c>
      <c r="B27" s="341">
        <v>18</v>
      </c>
      <c r="C27" s="346" t="str">
        <f t="shared" si="0"/>
        <v>Mon</v>
      </c>
      <c r="D27" s="97">
        <f>[7]MoCoinMW!F$58</f>
        <v>6681</v>
      </c>
      <c r="E27" s="410">
        <f>[7]MoCoinMW!G$58</f>
        <v>5893.8649815541876</v>
      </c>
      <c r="F27" s="97">
        <f>[6]Hist!L$178</f>
        <v>0</v>
      </c>
      <c r="G27" s="97">
        <f>[6]Hist!M$178</f>
        <v>0</v>
      </c>
      <c r="H27" s="97">
        <f>[6]Hist!N$178</f>
        <v>0</v>
      </c>
      <c r="I27" s="97">
        <f>[6]Hist!O$178</f>
        <v>0</v>
      </c>
      <c r="J27" s="97">
        <f>[6]Hist!P$178</f>
        <v>0</v>
      </c>
      <c r="K27" s="361">
        <f t="shared" si="3"/>
        <v>6681</v>
      </c>
      <c r="L27" s="361">
        <f t="shared" si="4"/>
        <v>787.13501844581242</v>
      </c>
      <c r="M27" s="406">
        <f t="shared" si="1"/>
        <v>5893.8649815541876</v>
      </c>
      <c r="N27" s="97">
        <f>[6]Hist!U$178</f>
        <v>133</v>
      </c>
      <c r="O27" s="1497">
        <f>[6]Hist!V$178</f>
        <v>65.5</v>
      </c>
      <c r="P27" s="1496">
        <f t="shared" si="5"/>
        <v>6026.8649815541876</v>
      </c>
      <c r="Q27" s="97">
        <f>[6]Hist!AA$178</f>
        <v>262</v>
      </c>
      <c r="R27" s="133">
        <f t="shared" si="6"/>
        <v>5566.3649815541876</v>
      </c>
      <c r="S27" s="133"/>
      <c r="T27" s="97">
        <f>[6]Hist!AE$178</f>
        <v>5017</v>
      </c>
      <c r="U27" s="98">
        <f>Jun!P27</f>
        <v>1226448</v>
      </c>
      <c r="V27" s="456"/>
      <c r="W27" s="100"/>
      <c r="X27" s="101"/>
      <c r="Z27" s="102"/>
      <c r="AA27" s="576">
        <f t="shared" si="20"/>
        <v>23541</v>
      </c>
      <c r="AB27" s="113">
        <f t="shared" si="2"/>
        <v>1226448</v>
      </c>
      <c r="AC27" s="339">
        <f>[5]Summer!$M22</f>
        <v>92.5</v>
      </c>
      <c r="AD27" s="345"/>
      <c r="AE27" s="115"/>
      <c r="AI27" s="1031">
        <v>1994</v>
      </c>
      <c r="AJ27" s="1032">
        <f t="shared" si="7"/>
        <v>5566.3649815541876</v>
      </c>
      <c r="AK27" s="1342">
        <f t="shared" si="8"/>
        <v>92.5</v>
      </c>
      <c r="AL27" s="462">
        <f t="shared" si="18"/>
        <v>1226448</v>
      </c>
      <c r="AM27" s="264">
        <v>0</v>
      </c>
      <c r="AN27" s="264">
        <v>1</v>
      </c>
      <c r="AO27" s="819">
        <f t="shared" si="11"/>
        <v>5633</v>
      </c>
      <c r="AP27" s="819">
        <f t="shared" si="12"/>
        <v>-66.63501844581242</v>
      </c>
      <c r="AQ27" s="299"/>
      <c r="AR27" s="299"/>
      <c r="AS27" s="299"/>
      <c r="AT27" s="299"/>
      <c r="AU27" s="1343">
        <f t="shared" si="10"/>
        <v>7.9317738813997494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23">
        <v>1994</v>
      </c>
      <c r="BH27" s="676">
        <f t="shared" si="13"/>
        <v>5624</v>
      </c>
      <c r="BI27" s="463">
        <f t="shared" si="14"/>
        <v>5566.3649815541876</v>
      </c>
      <c r="BJ27" s="133">
        <f t="shared" si="15"/>
        <v>-57.63501844581242</v>
      </c>
      <c r="BK27" s="463">
        <f t="shared" si="16"/>
        <v>5633</v>
      </c>
      <c r="BL27" s="495">
        <f t="shared" si="17"/>
        <v>-9</v>
      </c>
      <c r="BM27" s="109"/>
    </row>
    <row r="28" spans="1:66" ht="12.75" customHeight="1">
      <c r="A28" s="398">
        <v>34926.625</v>
      </c>
      <c r="B28" s="341">
        <v>15</v>
      </c>
      <c r="C28" s="346" t="str">
        <f t="shared" si="0"/>
        <v>Tue</v>
      </c>
      <c r="D28" s="97">
        <f>[7]MoCoinMW!F$72</f>
        <v>7128</v>
      </c>
      <c r="E28" s="410">
        <f>[7]MoCoinMW!G$72</f>
        <v>6168.5743492775318</v>
      </c>
      <c r="F28" s="97">
        <f>[6]Hist!L$192</f>
        <v>0</v>
      </c>
      <c r="G28" s="97">
        <f>[6]Hist!M$192</f>
        <v>87</v>
      </c>
      <c r="H28" s="97">
        <f>[6]Hist!N$192</f>
        <v>0</v>
      </c>
      <c r="I28" s="97">
        <f>[6]Hist!O$192</f>
        <v>73</v>
      </c>
      <c r="J28" s="97">
        <f>[6]Hist!P$192</f>
        <v>0</v>
      </c>
      <c r="K28" s="361">
        <f t="shared" si="3"/>
        <v>7288</v>
      </c>
      <c r="L28" s="361">
        <f t="shared" si="4"/>
        <v>959.42565072246816</v>
      </c>
      <c r="M28" s="406">
        <f t="shared" si="1"/>
        <v>6328.5743492775318</v>
      </c>
      <c r="N28" s="97">
        <f>[6]Hist!U$192</f>
        <v>170</v>
      </c>
      <c r="O28" s="1497">
        <f>[6]Hist!V$192</f>
        <v>65.5</v>
      </c>
      <c r="P28" s="1496">
        <f t="shared" si="5"/>
        <v>6498.5743492775318</v>
      </c>
      <c r="Q28" s="97">
        <f>[6]Hist!AA$192</f>
        <v>269</v>
      </c>
      <c r="R28" s="133">
        <f t="shared" si="6"/>
        <v>5994.0743492775318</v>
      </c>
      <c r="S28" s="133"/>
      <c r="T28" s="97">
        <f>[6]Hist!AE$192</f>
        <v>5463</v>
      </c>
      <c r="U28" s="814">
        <f>'[12]1996'!$K$111-[4]Data!$G$258</f>
        <v>1258497</v>
      </c>
      <c r="V28" s="456"/>
      <c r="W28" s="100"/>
      <c r="X28" s="101"/>
      <c r="Z28" s="102"/>
      <c r="AA28" s="576">
        <f t="shared" si="20"/>
        <v>32049</v>
      </c>
      <c r="AB28" s="113">
        <f t="shared" si="2"/>
        <v>1258497</v>
      </c>
      <c r="AC28" s="339">
        <f>[5]Summer!$M23</f>
        <v>94.3</v>
      </c>
      <c r="AD28" s="345"/>
      <c r="AE28" s="115"/>
      <c r="AI28" s="1031">
        <v>1995</v>
      </c>
      <c r="AJ28" s="1032">
        <f t="shared" si="7"/>
        <v>5994.0743492775318</v>
      </c>
      <c r="AK28" s="1342">
        <f>AC28-2</f>
        <v>92.3</v>
      </c>
      <c r="AL28" s="676">
        <f t="shared" si="18"/>
        <v>1258497</v>
      </c>
      <c r="AM28" s="264">
        <v>0</v>
      </c>
      <c r="AN28" s="264">
        <v>0</v>
      </c>
      <c r="AO28" s="165">
        <f t="shared" si="11"/>
        <v>6004</v>
      </c>
      <c r="AP28" s="165">
        <f t="shared" si="12"/>
        <v>-9.9256507224681627</v>
      </c>
      <c r="AQ28" s="109"/>
      <c r="AR28" s="109"/>
      <c r="AS28" s="109"/>
      <c r="AT28" s="109"/>
      <c r="AU28" s="390">
        <f t="shared" si="10"/>
        <v>427.70936772334426</v>
      </c>
      <c r="AV28"/>
      <c r="AW28"/>
      <c r="AX28"/>
      <c r="AY28"/>
      <c r="AZ28"/>
      <c r="BA28"/>
      <c r="BB28"/>
      <c r="BC28"/>
      <c r="BD28"/>
      <c r="BE28"/>
      <c r="BF28"/>
      <c r="BG28" s="123">
        <v>1995</v>
      </c>
      <c r="BH28" s="676">
        <f t="shared" si="13"/>
        <v>6012</v>
      </c>
      <c r="BI28" s="463">
        <f t="shared" si="14"/>
        <v>5994.0743492775318</v>
      </c>
      <c r="BJ28" s="133">
        <f t="shared" si="15"/>
        <v>-17.925650722468163</v>
      </c>
      <c r="BK28" s="463">
        <f t="shared" si="16"/>
        <v>6004</v>
      </c>
      <c r="BL28" s="495">
        <f t="shared" si="17"/>
        <v>8</v>
      </c>
    </row>
    <row r="29" spans="1:66" ht="12.75" customHeight="1">
      <c r="A29" s="398">
        <v>35268.75</v>
      </c>
      <c r="B29" s="341">
        <v>18</v>
      </c>
      <c r="C29" s="346" t="str">
        <f t="shared" si="0"/>
        <v>Mon</v>
      </c>
      <c r="D29" s="97">
        <f>[7]MoCoinMW!F$83</f>
        <v>7164</v>
      </c>
      <c r="E29" s="410">
        <f>[7]MoCoinMW!G$83</f>
        <v>6340.284863026438</v>
      </c>
      <c r="F29" s="97">
        <f>[6]Hist!L$203</f>
        <v>0</v>
      </c>
      <c r="G29" s="97">
        <f>[6]Hist!M$203</f>
        <v>45</v>
      </c>
      <c r="H29" s="97">
        <f>[6]Hist!N$203</f>
        <v>0</v>
      </c>
      <c r="I29" s="97">
        <f>[6]Hist!O$203</f>
        <v>0</v>
      </c>
      <c r="J29" s="97">
        <f>[6]Hist!P$203</f>
        <v>0</v>
      </c>
      <c r="K29" s="361">
        <f t="shared" si="3"/>
        <v>7209</v>
      </c>
      <c r="L29" s="361">
        <f t="shared" si="4"/>
        <v>823.71513697356204</v>
      </c>
      <c r="M29" s="406">
        <f t="shared" si="1"/>
        <v>6385.284863026438</v>
      </c>
      <c r="N29" s="97">
        <f>[6]Hist!U$203</f>
        <v>189</v>
      </c>
      <c r="O29" s="1497">
        <f>[6]Hist!V$203</f>
        <v>71.5</v>
      </c>
      <c r="P29" s="1496">
        <f t="shared" si="5"/>
        <v>6574.284863026438</v>
      </c>
      <c r="Q29" s="97">
        <f>'Interruptible Forecast'!AN7</f>
        <v>259</v>
      </c>
      <c r="R29" s="133">
        <f t="shared" si="6"/>
        <v>6054.784863026438</v>
      </c>
      <c r="S29" s="133"/>
      <c r="T29" s="97">
        <f>[6]Hist!AE$203</f>
        <v>5416</v>
      </c>
      <c r="U29" s="814">
        <f>[8]FCST!$BI3</f>
        <v>1276550</v>
      </c>
      <c r="V29" s="456"/>
      <c r="W29" s="677" t="s">
        <v>336</v>
      </c>
      <c r="X29" s="101"/>
      <c r="Z29" s="102"/>
      <c r="AA29" s="576">
        <f t="shared" si="20"/>
        <v>18053</v>
      </c>
      <c r="AB29" s="113">
        <f t="shared" si="2"/>
        <v>1276550</v>
      </c>
      <c r="AC29" s="339">
        <f>[5]Summer!$M24</f>
        <v>91.5</v>
      </c>
      <c r="AD29" s="345"/>
      <c r="AE29" s="113"/>
      <c r="AI29" s="1031">
        <v>1996</v>
      </c>
      <c r="AJ29" s="1032">
        <f t="shared" si="7"/>
        <v>6054.784863026438</v>
      </c>
      <c r="AK29" s="709">
        <f t="shared" si="8"/>
        <v>91.5</v>
      </c>
      <c r="AL29" s="676">
        <f t="shared" si="18"/>
        <v>1276550</v>
      </c>
      <c r="AM29" s="264">
        <v>0</v>
      </c>
      <c r="AN29" s="264">
        <v>0</v>
      </c>
      <c r="AO29" s="165">
        <f t="shared" si="11"/>
        <v>6052</v>
      </c>
      <c r="AP29" s="165">
        <f t="shared" si="12"/>
        <v>2.7848630264379608</v>
      </c>
      <c r="AQ29" s="109"/>
      <c r="AR29" s="109"/>
      <c r="AS29" s="109"/>
      <c r="AT29" s="109"/>
      <c r="AU29" s="390">
        <f t="shared" si="10"/>
        <v>60.710513748906124</v>
      </c>
      <c r="AV29"/>
      <c r="AW29"/>
      <c r="AX29"/>
      <c r="AY29"/>
      <c r="AZ29"/>
      <c r="BA29"/>
      <c r="BB29"/>
      <c r="BC29"/>
      <c r="BD29"/>
      <c r="BE29"/>
      <c r="BF29"/>
      <c r="BG29" s="123">
        <v>1996</v>
      </c>
      <c r="BH29" s="676">
        <f t="shared" si="13"/>
        <v>6130</v>
      </c>
      <c r="BI29" s="463">
        <f t="shared" si="14"/>
        <v>6054.784863026438</v>
      </c>
      <c r="BJ29" s="133">
        <f t="shared" si="15"/>
        <v>-75.215136973562039</v>
      </c>
      <c r="BK29" s="463">
        <f t="shared" si="16"/>
        <v>6052</v>
      </c>
      <c r="BL29" s="495">
        <f t="shared" si="17"/>
        <v>78</v>
      </c>
    </row>
    <row r="30" spans="1:66" ht="12.75" customHeight="1">
      <c r="A30" s="398">
        <v>35614.708333333336</v>
      </c>
      <c r="B30" s="341">
        <v>17</v>
      </c>
      <c r="C30" s="346" t="str">
        <f t="shared" si="0"/>
        <v>Thu</v>
      </c>
      <c r="D30" s="97">
        <f>[7]MoCoinMW!F$95</f>
        <v>7462</v>
      </c>
      <c r="E30" s="410">
        <f>[7]MoCoinMW!G$95</f>
        <v>6590.0019459473278</v>
      </c>
      <c r="F30" s="97">
        <f>[6]Hist!L$215</f>
        <v>0</v>
      </c>
      <c r="G30" s="97">
        <f>[6]Hist!M$215</f>
        <v>44</v>
      </c>
      <c r="H30" s="97">
        <f>[6]Hist!N$215</f>
        <v>0</v>
      </c>
      <c r="I30" s="97">
        <f>[6]Hist!O$215</f>
        <v>0</v>
      </c>
      <c r="J30" s="97">
        <f>[6]Hist!P$215</f>
        <v>0</v>
      </c>
      <c r="K30" s="361">
        <f t="shared" si="3"/>
        <v>7506</v>
      </c>
      <c r="L30" s="361">
        <f t="shared" si="4"/>
        <v>871.99805405267216</v>
      </c>
      <c r="M30" s="406">
        <f t="shared" si="1"/>
        <v>6634.0019459473278</v>
      </c>
      <c r="N30" s="97">
        <f>[6]Hist!U$215</f>
        <v>208.5</v>
      </c>
      <c r="O30" s="1497">
        <f>[6]Hist!V$215</f>
        <v>71.5</v>
      </c>
      <c r="P30" s="1496">
        <f t="shared" si="5"/>
        <v>6842.5019459473278</v>
      </c>
      <c r="Q30" s="97">
        <f>'Interruptible Forecast'!AN8</f>
        <v>304</v>
      </c>
      <c r="R30" s="133">
        <f t="shared" si="6"/>
        <v>6258.5019459473278</v>
      </c>
      <c r="S30" s="133"/>
      <c r="T30" s="97">
        <f>[6]Hist!AE$215</f>
        <v>5693</v>
      </c>
      <c r="U30" s="132">
        <f>[8]FCST!$BI4</f>
        <v>1289511</v>
      </c>
      <c r="V30" s="456"/>
      <c r="W30" s="123">
        <f>[9]Sheet1!$R$13</f>
        <v>5241</v>
      </c>
      <c r="X30" s="104"/>
      <c r="Z30" s="102"/>
      <c r="AA30" s="576">
        <f t="shared" si="20"/>
        <v>18202</v>
      </c>
      <c r="AB30" s="113">
        <f>U30-V30+W30</f>
        <v>1294752</v>
      </c>
      <c r="AC30" s="339">
        <f>[5]Summer!$M25</f>
        <v>93.3</v>
      </c>
      <c r="AD30" s="345"/>
      <c r="AE30" s="113"/>
      <c r="AI30" s="1031">
        <v>1997</v>
      </c>
      <c r="AJ30" s="1032">
        <f t="shared" si="7"/>
        <v>6258.5019459473278</v>
      </c>
      <c r="AK30" s="709">
        <f t="shared" si="8"/>
        <v>93.3</v>
      </c>
      <c r="AL30" s="676">
        <f t="shared" si="18"/>
        <v>1289511</v>
      </c>
      <c r="AM30" s="264">
        <v>0</v>
      </c>
      <c r="AN30" s="264">
        <v>0</v>
      </c>
      <c r="AO30" s="165">
        <f t="shared" si="11"/>
        <v>6291</v>
      </c>
      <c r="AP30" s="165">
        <f t="shared" si="12"/>
        <v>-32.49805405267216</v>
      </c>
      <c r="AQ30" s="109"/>
      <c r="AR30" s="109"/>
      <c r="AS30" s="109"/>
      <c r="AT30" s="109"/>
      <c r="AU30" s="390">
        <f t="shared" si="10"/>
        <v>203.71708292088988</v>
      </c>
      <c r="AV30"/>
      <c r="AW30"/>
      <c r="AX30"/>
      <c r="AY30"/>
      <c r="AZ30"/>
      <c r="BA30"/>
      <c r="BB30"/>
      <c r="BC30"/>
      <c r="BD30"/>
      <c r="BE30"/>
      <c r="BF30"/>
      <c r="BG30" s="123">
        <v>1997</v>
      </c>
      <c r="BH30" s="676">
        <f t="shared" si="13"/>
        <v>6214</v>
      </c>
      <c r="BI30" s="463">
        <f t="shared" si="14"/>
        <v>6258.5019459473278</v>
      </c>
      <c r="BJ30" s="133">
        <f t="shared" si="15"/>
        <v>44.50194594732784</v>
      </c>
      <c r="BK30" s="463">
        <f t="shared" si="16"/>
        <v>6291</v>
      </c>
      <c r="BL30" s="495">
        <f t="shared" si="17"/>
        <v>-77</v>
      </c>
    </row>
    <row r="31" spans="1:66" ht="12.75" customHeight="1">
      <c r="A31" s="398">
        <v>35978.666666666664</v>
      </c>
      <c r="B31" s="341">
        <v>16</v>
      </c>
      <c r="C31" s="346" t="str">
        <f t="shared" si="0"/>
        <v>Thu</v>
      </c>
      <c r="D31" s="97">
        <f>[7]MoCoinMW!F$107</f>
        <v>8010</v>
      </c>
      <c r="E31" s="410">
        <f>[7]MoCoinMW!G$107</f>
        <v>7068.8451979043075</v>
      </c>
      <c r="F31" s="97">
        <f>[6]Hist!L$227</f>
        <v>0</v>
      </c>
      <c r="G31" s="97">
        <f>[6]Hist!M$227</f>
        <v>1</v>
      </c>
      <c r="H31" s="97">
        <f>[6]Hist!N$227</f>
        <v>0</v>
      </c>
      <c r="I31" s="97">
        <f>[6]Hist!O$227</f>
        <v>48</v>
      </c>
      <c r="J31" s="97">
        <f>[6]Hist!P$227</f>
        <v>0</v>
      </c>
      <c r="K31" s="361">
        <f t="shared" si="3"/>
        <v>8059</v>
      </c>
      <c r="L31" s="361">
        <f t="shared" si="4"/>
        <v>941.1548020956925</v>
      </c>
      <c r="M31" s="406">
        <f t="shared" si="1"/>
        <v>7117.8451979043075</v>
      </c>
      <c r="N31" s="97">
        <f>[6]Hist!U$227</f>
        <v>242</v>
      </c>
      <c r="O31" s="1497">
        <f>[6]Hist!V$227</f>
        <v>75</v>
      </c>
      <c r="P31" s="1496">
        <f t="shared" si="5"/>
        <v>7359.8451979043075</v>
      </c>
      <c r="Q31" s="97">
        <f>'Interruptible Forecast'!AN9</f>
        <v>347</v>
      </c>
      <c r="R31" s="133">
        <f t="shared" si="6"/>
        <v>6695.8451979043075</v>
      </c>
      <c r="S31" s="133"/>
      <c r="T31" s="97">
        <f>[6]Hist!AE$227</f>
        <v>6282</v>
      </c>
      <c r="U31" s="132">
        <f>[8]FCST!$BI5</f>
        <v>1328659</v>
      </c>
      <c r="V31" s="463">
        <f>[8]FCST!$DL5</f>
        <v>13650</v>
      </c>
      <c r="W31" s="123">
        <f>[9]Sheet1!$R$25</f>
        <v>6634</v>
      </c>
      <c r="X31" s="104"/>
      <c r="Z31" s="102"/>
      <c r="AA31" s="576">
        <f t="shared" si="20"/>
        <v>26891</v>
      </c>
      <c r="AB31" s="113">
        <f>U31-V31+W$31</f>
        <v>1321643</v>
      </c>
      <c r="AC31" s="339">
        <f>[5]Summer!$M26</f>
        <v>94.9</v>
      </c>
      <c r="AD31" s="345"/>
      <c r="AE31" s="113"/>
      <c r="AI31" s="1031">
        <v>1998</v>
      </c>
      <c r="AJ31" s="1032">
        <f t="shared" si="7"/>
        <v>6695.8451979043075</v>
      </c>
      <c r="AK31" s="709">
        <f t="shared" si="8"/>
        <v>94.9</v>
      </c>
      <c r="AL31" s="676">
        <f t="shared" si="18"/>
        <v>1328659</v>
      </c>
      <c r="AM31" s="264">
        <v>0</v>
      </c>
      <c r="AN31" s="264">
        <v>0</v>
      </c>
      <c r="AO31" s="165">
        <f t="shared" si="11"/>
        <v>6683</v>
      </c>
      <c r="AP31" s="165">
        <f t="shared" si="12"/>
        <v>12.845197904307497</v>
      </c>
      <c r="AQ31" s="109"/>
      <c r="AR31" s="109"/>
      <c r="AS31" s="109"/>
      <c r="AT31" s="109"/>
      <c r="AU31" s="390">
        <f t="shared" si="10"/>
        <v>437.34325195697966</v>
      </c>
      <c r="BG31" s="123">
        <v>1998</v>
      </c>
      <c r="BH31" s="676">
        <f t="shared" si="13"/>
        <v>6468</v>
      </c>
      <c r="BI31" s="463">
        <f t="shared" si="14"/>
        <v>6695.8451979043075</v>
      </c>
      <c r="BJ31" s="133">
        <f t="shared" si="15"/>
        <v>227.8451979043075</v>
      </c>
      <c r="BK31" s="463">
        <f t="shared" si="16"/>
        <v>6683</v>
      </c>
      <c r="BL31" s="495">
        <f t="shared" si="17"/>
        <v>-215</v>
      </c>
    </row>
    <row r="32" spans="1:66" ht="12.75" customHeight="1">
      <c r="A32" s="398">
        <v>36402.75</v>
      </c>
      <c r="B32" s="341">
        <v>18</v>
      </c>
      <c r="C32" s="346" t="str">
        <f t="shared" si="0"/>
        <v>Mon</v>
      </c>
      <c r="D32" s="97">
        <f>[7]MoCoinMW!F$120</f>
        <v>8351</v>
      </c>
      <c r="E32" s="410">
        <f>[7]MoCoinMW!G$120</f>
        <v>7090.2832304564354</v>
      </c>
      <c r="F32" s="97">
        <f>[6]Hist!L$240</f>
        <v>0</v>
      </c>
      <c r="G32" s="97">
        <f>[6]Hist!M$240</f>
        <v>156</v>
      </c>
      <c r="H32" s="97">
        <f>[6]Hist!N$240</f>
        <v>0</v>
      </c>
      <c r="I32" s="97">
        <f>[6]Hist!O$240</f>
        <v>0</v>
      </c>
      <c r="J32" s="97">
        <f>[6]Hist!P$240</f>
        <v>0</v>
      </c>
      <c r="K32" s="361">
        <f t="shared" si="3"/>
        <v>8507</v>
      </c>
      <c r="L32" s="361">
        <f t="shared" si="4"/>
        <v>1260.7167695435646</v>
      </c>
      <c r="M32" s="406">
        <f t="shared" si="1"/>
        <v>7246.2832304564354</v>
      </c>
      <c r="N32" s="97">
        <f>[6]Hist!U$240</f>
        <v>268</v>
      </c>
      <c r="O32" s="1497">
        <f>[6]Hist!V$240</f>
        <v>75</v>
      </c>
      <c r="P32" s="1496">
        <f t="shared" si="5"/>
        <v>7514.2832304564354</v>
      </c>
      <c r="Q32" s="97">
        <f>'Interruptible Forecast'!AO10</f>
        <v>291</v>
      </c>
      <c r="R32" s="133">
        <f t="shared" si="6"/>
        <v>6880.2832304564354</v>
      </c>
      <c r="S32" s="133"/>
      <c r="T32" s="97">
        <f>[6]Hist!AE$240</f>
        <v>6405</v>
      </c>
      <c r="U32" s="132">
        <f>[8]FCST!$BJ6</f>
        <v>1363991</v>
      </c>
      <c r="V32" s="463">
        <f>[8]FCST!$DL6</f>
        <v>21695</v>
      </c>
      <c r="W32" s="100"/>
      <c r="X32" s="490"/>
      <c r="Z32" s="102"/>
      <c r="AA32" s="576">
        <f t="shared" si="20"/>
        <v>27287</v>
      </c>
      <c r="AB32" s="113">
        <f t="shared" ref="AB32:AB58" si="21">U32-V32+W$31</f>
        <v>1348930</v>
      </c>
      <c r="AC32" s="339">
        <f>[5]Summer!$M27</f>
        <v>91.3</v>
      </c>
      <c r="AD32" s="345"/>
      <c r="AE32" s="116"/>
      <c r="AG32" s="118"/>
      <c r="AI32" s="1031">
        <v>1999</v>
      </c>
      <c r="AJ32" s="1032">
        <f t="shared" si="7"/>
        <v>6880.2832304564354</v>
      </c>
      <c r="AK32" s="1148">
        <f>AC32+2</f>
        <v>93.3</v>
      </c>
      <c r="AL32" s="676">
        <f t="shared" si="18"/>
        <v>1363991</v>
      </c>
      <c r="AM32" s="264">
        <v>0</v>
      </c>
      <c r="AN32" s="264">
        <v>0</v>
      </c>
      <c r="AO32" s="165">
        <f t="shared" si="11"/>
        <v>6774</v>
      </c>
      <c r="AP32" s="165">
        <f t="shared" si="12"/>
        <v>106.28323045643538</v>
      </c>
      <c r="AQ32" s="109"/>
      <c r="AR32" s="111"/>
      <c r="AS32" s="111"/>
      <c r="AT32" s="111"/>
      <c r="AU32" s="390">
        <f t="shared" si="10"/>
        <v>184.43803255212788</v>
      </c>
      <c r="BG32" s="123">
        <v>1999</v>
      </c>
      <c r="BH32" s="676">
        <f t="shared" si="13"/>
        <v>6697</v>
      </c>
      <c r="BI32" s="463">
        <f t="shared" si="14"/>
        <v>6880.2832304564354</v>
      </c>
      <c r="BJ32" s="133">
        <f t="shared" si="15"/>
        <v>183.28323045643538</v>
      </c>
      <c r="BK32" s="463">
        <f t="shared" si="16"/>
        <v>6774</v>
      </c>
      <c r="BL32" s="495">
        <f t="shared" si="17"/>
        <v>-77</v>
      </c>
    </row>
    <row r="33" spans="1:64" ht="12.75" customHeight="1">
      <c r="A33" s="398">
        <v>36746.75</v>
      </c>
      <c r="B33" s="341">
        <v>18</v>
      </c>
      <c r="C33" s="346" t="str">
        <f t="shared" si="0"/>
        <v>Tue</v>
      </c>
      <c r="D33" s="97">
        <f>[7]MoCoinMW!F$132</f>
        <v>8484</v>
      </c>
      <c r="E33" s="410">
        <f>[7]MoCoinMW!G$132</f>
        <v>7181.8</v>
      </c>
      <c r="F33" s="97">
        <f>[6]Hist!L$252</f>
        <v>0</v>
      </c>
      <c r="G33" s="97">
        <f>[6]Hist!M$252</f>
        <v>54</v>
      </c>
      <c r="H33" s="97">
        <f>[6]Hist!N$252</f>
        <v>0</v>
      </c>
      <c r="I33" s="97">
        <f>[6]Hist!O$252</f>
        <v>0</v>
      </c>
      <c r="J33" s="97">
        <f>[6]Hist!P$252</f>
        <v>0</v>
      </c>
      <c r="K33" s="361">
        <f t="shared" si="3"/>
        <v>8538</v>
      </c>
      <c r="L33" s="361">
        <f t="shared" si="4"/>
        <v>1302.1999999999998</v>
      </c>
      <c r="M33" s="406">
        <f t="shared" si="1"/>
        <v>7235.8</v>
      </c>
      <c r="N33" s="97">
        <f>[6]Hist!U$252</f>
        <v>284</v>
      </c>
      <c r="O33" s="1497">
        <f>[6]Hist!V$252</f>
        <v>75</v>
      </c>
      <c r="P33" s="1496">
        <f t="shared" si="5"/>
        <v>7519.8</v>
      </c>
      <c r="Q33" s="97">
        <f>'Interruptible Forecast'!AO11</f>
        <v>308</v>
      </c>
      <c r="R33" s="133">
        <f t="shared" si="6"/>
        <v>6852.8</v>
      </c>
      <c r="S33" s="133"/>
      <c r="T33" s="97">
        <f>[6]Hist!AE$252</f>
        <v>6536</v>
      </c>
      <c r="U33" s="132">
        <f>[8]FCST!$BJ7</f>
        <v>1401378</v>
      </c>
      <c r="V33" s="463">
        <f>[8]FCST!$DL7</f>
        <v>26889</v>
      </c>
      <c r="W33" s="100"/>
      <c r="X33" s="490"/>
      <c r="Z33" s="106"/>
      <c r="AA33" s="576">
        <f t="shared" si="20"/>
        <v>32193</v>
      </c>
      <c r="AB33" s="113">
        <f t="shared" si="21"/>
        <v>1381123</v>
      </c>
      <c r="AC33" s="339">
        <f>[5]Summer!$M28</f>
        <v>91.7</v>
      </c>
      <c r="AD33" s="345"/>
      <c r="AE33" s="116"/>
      <c r="AG33" s="244"/>
      <c r="AH33" s="318"/>
      <c r="AI33" s="1031">
        <v>2000</v>
      </c>
      <c r="AJ33" s="1033">
        <f t="shared" si="7"/>
        <v>6852.8</v>
      </c>
      <c r="AK33" s="264">
        <f t="shared" si="8"/>
        <v>91.7</v>
      </c>
      <c r="AL33" s="410">
        <f t="shared" si="18"/>
        <v>1401378</v>
      </c>
      <c r="AM33" s="264">
        <v>0</v>
      </c>
      <c r="AN33" s="264">
        <v>0</v>
      </c>
      <c r="AO33" s="165">
        <f t="shared" si="11"/>
        <v>6879</v>
      </c>
      <c r="AP33" s="165">
        <f t="shared" si="12"/>
        <v>-26.199999999999818</v>
      </c>
      <c r="AQ33" s="109"/>
      <c r="AR33" s="109"/>
      <c r="AS33" s="111"/>
      <c r="AT33" s="111"/>
      <c r="AU33" s="390">
        <f t="shared" si="10"/>
        <v>-27.483230456435194</v>
      </c>
      <c r="BG33" s="123">
        <v>2000</v>
      </c>
      <c r="BH33" s="676">
        <f t="shared" si="13"/>
        <v>6939</v>
      </c>
      <c r="BI33" s="463">
        <f t="shared" si="14"/>
        <v>6852.8</v>
      </c>
      <c r="BJ33" s="133">
        <f t="shared" si="15"/>
        <v>-86.199999999999818</v>
      </c>
      <c r="BK33" s="463">
        <f t="shared" si="16"/>
        <v>6879</v>
      </c>
      <c r="BL33" s="495">
        <f t="shared" si="17"/>
        <v>60</v>
      </c>
    </row>
    <row r="34" spans="1:64" ht="12.75" customHeight="1">
      <c r="A34" s="398">
        <v>37132.708333333336</v>
      </c>
      <c r="B34" s="341">
        <v>17</v>
      </c>
      <c r="C34" s="346" t="str">
        <f t="shared" si="0"/>
        <v>Wed</v>
      </c>
      <c r="D34" s="97">
        <f>[7]MoCoinMW!F$144</f>
        <v>8471</v>
      </c>
      <c r="E34" s="410">
        <f>[7]MoCoinMW!G$144</f>
        <v>7368.6</v>
      </c>
      <c r="F34" s="97">
        <f>[6]Hist!L$264</f>
        <v>0</v>
      </c>
      <c r="G34" s="97">
        <f>[6]Hist!M$264</f>
        <v>0</v>
      </c>
      <c r="H34" s="97">
        <f>[6]Hist!N$264</f>
        <v>0</v>
      </c>
      <c r="I34" s="97">
        <f>[6]Hist!O$264</f>
        <v>0</v>
      </c>
      <c r="J34" s="97">
        <f>[6]Hist!P$264</f>
        <v>0</v>
      </c>
      <c r="K34" s="361">
        <f t="shared" si="3"/>
        <v>8471</v>
      </c>
      <c r="L34" s="361">
        <f t="shared" si="4"/>
        <v>1102.3999999999996</v>
      </c>
      <c r="M34" s="406">
        <f t="shared" si="1"/>
        <v>7368.6</v>
      </c>
      <c r="N34" s="97">
        <f>[6]Hist!U$264</f>
        <v>298</v>
      </c>
      <c r="O34" s="1497">
        <f>[6]Hist!V$264</f>
        <v>75</v>
      </c>
      <c r="P34" s="1496">
        <f t="shared" si="5"/>
        <v>7666.6</v>
      </c>
      <c r="Q34" s="97">
        <f>[6]Hist!$AA$264</f>
        <v>275.35899376214337</v>
      </c>
      <c r="R34" s="133">
        <f t="shared" si="6"/>
        <v>7018.2410062378567</v>
      </c>
      <c r="S34" s="133"/>
      <c r="T34" s="97">
        <f>[6]Hist!AE$264</f>
        <v>6666</v>
      </c>
      <c r="U34" s="132">
        <f>[8]FCST!$BJ8</f>
        <v>1437243</v>
      </c>
      <c r="V34" s="463">
        <f>[8]FCST!$DL8</f>
        <v>29753</v>
      </c>
      <c r="W34" s="332"/>
      <c r="X34" s="244"/>
      <c r="Z34" s="106"/>
      <c r="AA34" s="576">
        <f t="shared" si="20"/>
        <v>33001</v>
      </c>
      <c r="AB34" s="113">
        <f t="shared" si="21"/>
        <v>1414124</v>
      </c>
      <c r="AC34" s="339">
        <f>[5]Summer!$M29</f>
        <v>90</v>
      </c>
      <c r="AD34" s="345"/>
      <c r="AE34" s="116"/>
      <c r="AG34" s="244"/>
      <c r="AI34" s="1031">
        <v>2001</v>
      </c>
      <c r="AJ34" s="1032">
        <f t="shared" si="7"/>
        <v>7018.2410062378567</v>
      </c>
      <c r="AK34" s="709">
        <f t="shared" ref="AK34:AK39" si="22">AC34</f>
        <v>90</v>
      </c>
      <c r="AL34" s="676">
        <f t="shared" si="18"/>
        <v>1437243</v>
      </c>
      <c r="AM34" s="264">
        <v>0</v>
      </c>
      <c r="AN34" s="264">
        <v>0</v>
      </c>
      <c r="AO34" s="165">
        <f t="shared" si="11"/>
        <v>6965</v>
      </c>
      <c r="AP34" s="165">
        <f t="shared" ref="AP34:AP39" si="23">AJ34-AO34</f>
        <v>53.241006237856709</v>
      </c>
      <c r="AQ34" s="109"/>
      <c r="AR34" s="491"/>
      <c r="AS34" s="111"/>
      <c r="AT34" s="111"/>
      <c r="AU34" s="390">
        <f t="shared" ref="AU34:AU45" si="24">AJ34-AJ33</f>
        <v>165.44100623785653</v>
      </c>
      <c r="BG34" s="123">
        <v>2001</v>
      </c>
      <c r="BH34" s="676">
        <f t="shared" si="13"/>
        <v>7172</v>
      </c>
      <c r="BI34" s="463">
        <f t="shared" si="14"/>
        <v>7018.2410062378567</v>
      </c>
      <c r="BJ34" s="133">
        <f t="shared" si="15"/>
        <v>-153.75899376214329</v>
      </c>
      <c r="BK34" s="463">
        <f t="shared" si="16"/>
        <v>6965</v>
      </c>
      <c r="BL34" s="495">
        <f t="shared" si="17"/>
        <v>207</v>
      </c>
    </row>
    <row r="35" spans="1:64" ht="12.75" customHeight="1">
      <c r="A35" s="398">
        <v>37454.708333333336</v>
      </c>
      <c r="B35" s="341">
        <v>17</v>
      </c>
      <c r="C35" s="346" t="str">
        <f t="shared" ref="C35:C40" si="25">TEXT(WEEKDAY(A35),"ddd")</f>
        <v>Wed</v>
      </c>
      <c r="D35" s="133">
        <f>[7]MoCoinMW!F155</f>
        <v>9034</v>
      </c>
      <c r="E35" s="133">
        <f>[7]MoCoinMW!G155</f>
        <v>7841.9</v>
      </c>
      <c r="F35" s="97">
        <f>[6]Hist!L$275</f>
        <v>0</v>
      </c>
      <c r="G35" s="97">
        <f>[6]Hist!M$275</f>
        <v>0</v>
      </c>
      <c r="H35" s="97">
        <f>[6]Hist!N$275</f>
        <v>0</v>
      </c>
      <c r="I35" s="97">
        <f>[6]Hist!O$275</f>
        <v>0</v>
      </c>
      <c r="J35" s="97">
        <f>[6]Hist!P$275</f>
        <v>0</v>
      </c>
      <c r="K35" s="361">
        <f t="shared" si="3"/>
        <v>9034</v>
      </c>
      <c r="L35" s="361">
        <f t="shared" si="4"/>
        <v>1192.1000000000004</v>
      </c>
      <c r="M35" s="406">
        <f t="shared" si="1"/>
        <v>7841.9</v>
      </c>
      <c r="N35" s="97">
        <f>[6]Hist!U$275</f>
        <v>304</v>
      </c>
      <c r="O35" s="1497">
        <f>[6]Hist!V$275</f>
        <v>75</v>
      </c>
      <c r="P35" s="1496">
        <f t="shared" si="5"/>
        <v>8145.9</v>
      </c>
      <c r="Q35" s="97">
        <f>[6]Hist!$AA$275</f>
        <v>291.59999999999997</v>
      </c>
      <c r="R35" s="133">
        <f t="shared" si="6"/>
        <v>7475.2999999999993</v>
      </c>
      <c r="S35" s="133"/>
      <c r="T35" s="97">
        <f>[6]Hist!AE$275</f>
        <v>7175</v>
      </c>
      <c r="U35" s="132">
        <f>[8]FCST!$BI9</f>
        <v>1468620</v>
      </c>
      <c r="V35" s="463">
        <f>Jul!Q35</f>
        <v>32756</v>
      </c>
      <c r="W35" s="284"/>
      <c r="X35" s="347"/>
      <c r="Z35" s="106"/>
      <c r="AA35" s="576">
        <f t="shared" si="20"/>
        <v>28374</v>
      </c>
      <c r="AB35" s="113">
        <f t="shared" si="21"/>
        <v>1442498</v>
      </c>
      <c r="AC35" s="339">
        <f>[5]Summer!$M30</f>
        <v>93.9</v>
      </c>
      <c r="AD35" s="465"/>
      <c r="AE35" s="116"/>
      <c r="AG35" s="351"/>
      <c r="AI35" s="1031">
        <v>2002</v>
      </c>
      <c r="AJ35" s="1032">
        <f t="shared" si="7"/>
        <v>7475.2999999999993</v>
      </c>
      <c r="AK35" s="709">
        <f t="shared" si="22"/>
        <v>93.9</v>
      </c>
      <c r="AL35" s="676">
        <f t="shared" si="18"/>
        <v>1468620</v>
      </c>
      <c r="AM35" s="264">
        <v>0</v>
      </c>
      <c r="AN35" s="264">
        <v>0</v>
      </c>
      <c r="AO35" s="165">
        <f t="shared" si="11"/>
        <v>7505</v>
      </c>
      <c r="AP35" s="165">
        <f t="shared" si="23"/>
        <v>-29.700000000000728</v>
      </c>
      <c r="AQ35" s="109"/>
      <c r="AR35" s="111"/>
      <c r="AS35" s="132"/>
      <c r="AT35" s="111"/>
      <c r="AU35" s="390">
        <f t="shared" si="24"/>
        <v>457.05899376214256</v>
      </c>
      <c r="BG35" s="123">
        <v>2002</v>
      </c>
      <c r="BH35" s="676">
        <f t="shared" si="13"/>
        <v>7376</v>
      </c>
      <c r="BI35" s="463">
        <f t="shared" si="14"/>
        <v>7475.2999999999993</v>
      </c>
      <c r="BJ35" s="133">
        <f t="shared" si="15"/>
        <v>99.299999999999272</v>
      </c>
      <c r="BK35" s="463">
        <f t="shared" si="16"/>
        <v>7505</v>
      </c>
      <c r="BL35" s="495">
        <f t="shared" si="17"/>
        <v>-129</v>
      </c>
    </row>
    <row r="36" spans="1:64" ht="12.75" customHeight="1">
      <c r="A36" s="398">
        <v>37811</v>
      </c>
      <c r="B36" s="341">
        <v>15</v>
      </c>
      <c r="C36" s="346" t="str">
        <f t="shared" si="25"/>
        <v>Wed</v>
      </c>
      <c r="D36" s="133">
        <f>[7]MoCoinMW!F$167</f>
        <v>8476</v>
      </c>
      <c r="E36" s="133">
        <f>[7]MoCoinMW!G$167</f>
        <v>7592.7</v>
      </c>
      <c r="F36" s="97">
        <f>[6]Hist!L$287</f>
        <v>0</v>
      </c>
      <c r="G36" s="97">
        <f>[6]Hist!M$287</f>
        <v>0</v>
      </c>
      <c r="H36" s="97">
        <f>[6]Hist!N$287</f>
        <v>0</v>
      </c>
      <c r="I36" s="97">
        <f>[6]Hist!O$287</f>
        <v>0</v>
      </c>
      <c r="J36" s="97">
        <f>[6]Hist!P$287</f>
        <v>0</v>
      </c>
      <c r="K36" s="361">
        <f t="shared" ref="K36:K41" si="26">D36+SUM(F36:J36)</f>
        <v>8476</v>
      </c>
      <c r="L36" s="361">
        <f t="shared" ref="L36:L41" si="27">D36-E36</f>
        <v>883.30000000000018</v>
      </c>
      <c r="M36" s="406">
        <f t="shared" ref="M36:M41" si="28">SUM(E36:J36)</f>
        <v>7592.7</v>
      </c>
      <c r="N36" s="97">
        <f>[6]Hist!U$287</f>
        <v>321</v>
      </c>
      <c r="O36" s="1497">
        <f>[6]Hist!V$287</f>
        <v>75</v>
      </c>
      <c r="P36" s="1496">
        <f t="shared" si="5"/>
        <v>7913.7</v>
      </c>
      <c r="Q36" s="97">
        <f>[6]Hist!$AA$287</f>
        <v>247.20103547262659</v>
      </c>
      <c r="R36" s="133">
        <f t="shared" si="6"/>
        <v>7270.4989645273736</v>
      </c>
      <c r="S36" s="133"/>
      <c r="T36" s="97">
        <f>[6]Hist!AE$287</f>
        <v>6939</v>
      </c>
      <c r="U36" s="132">
        <f>[8]FCST!$BI10</f>
        <v>1507318</v>
      </c>
      <c r="V36" s="463">
        <f>Jul!Q36</f>
        <v>34193</v>
      </c>
      <c r="W36" s="558"/>
      <c r="X36" s="371">
        <f>[8]FCST!$CS10</f>
        <v>50975</v>
      </c>
      <c r="Z36" s="106"/>
      <c r="AA36" s="576">
        <f t="shared" si="20"/>
        <v>37261</v>
      </c>
      <c r="AB36" s="113">
        <f t="shared" si="21"/>
        <v>1479759</v>
      </c>
      <c r="AC36" s="339">
        <f>[5]Summer!$M31</f>
        <v>90</v>
      </c>
      <c r="AD36" s="116"/>
      <c r="AE36" s="116"/>
      <c r="AI36" s="1031">
        <v>2003</v>
      </c>
      <c r="AJ36" s="1032">
        <f>R36</f>
        <v>7270.4989645273736</v>
      </c>
      <c r="AK36" s="709">
        <f t="shared" si="22"/>
        <v>90</v>
      </c>
      <c r="AL36" s="676">
        <f t="shared" si="18"/>
        <v>1507318</v>
      </c>
      <c r="AM36" s="264">
        <v>0</v>
      </c>
      <c r="AN36" s="264">
        <v>1</v>
      </c>
      <c r="AO36" s="165">
        <f t="shared" si="11"/>
        <v>7240</v>
      </c>
      <c r="AP36" s="165">
        <f t="shared" si="23"/>
        <v>30.498964527373573</v>
      </c>
      <c r="AQ36" s="573"/>
      <c r="AR36" s="574"/>
      <c r="AS36" s="132"/>
      <c r="AT36" s="111"/>
      <c r="AU36" s="390">
        <f t="shared" si="24"/>
        <v>-204.8010354726257</v>
      </c>
      <c r="BG36" s="123">
        <v>2003</v>
      </c>
      <c r="BH36" s="676">
        <f t="shared" si="13"/>
        <v>7446</v>
      </c>
      <c r="BI36" s="463">
        <f t="shared" ref="BI36:BI41" si="29">AJ36</f>
        <v>7270.4989645273736</v>
      </c>
      <c r="BJ36" s="133">
        <f t="shared" ref="BJ36:BJ41" si="30">BI36-BH36</f>
        <v>-175.50103547262643</v>
      </c>
      <c r="BK36" s="463">
        <f t="shared" ref="BK36:BK41" si="31">AO36</f>
        <v>7240</v>
      </c>
      <c r="BL36" s="495">
        <f t="shared" ref="BL36:BL41" si="32">BH36-BK36</f>
        <v>206</v>
      </c>
    </row>
    <row r="37" spans="1:64" ht="12.75" customHeight="1">
      <c r="A37" s="398">
        <v>38162</v>
      </c>
      <c r="B37" s="341">
        <v>17</v>
      </c>
      <c r="C37" s="346" t="str">
        <f t="shared" si="25"/>
        <v>Thu</v>
      </c>
      <c r="D37" s="133">
        <f>[7]MoCoinMW!F$178</f>
        <v>9125.2999999999993</v>
      </c>
      <c r="E37" s="133">
        <f>[7]MoCoinMW!G$178</f>
        <v>8058.0999999999995</v>
      </c>
      <c r="F37" s="97">
        <f>[6]Hist!L$298</f>
        <v>0</v>
      </c>
      <c r="G37" s="97">
        <f>[6]Hist!M$298</f>
        <v>0</v>
      </c>
      <c r="H37" s="97">
        <f>[6]Hist!N$298</f>
        <v>0</v>
      </c>
      <c r="I37" s="97">
        <f>[6]Hist!O$298</f>
        <v>0</v>
      </c>
      <c r="J37" s="97">
        <f>[6]Hist!P$298</f>
        <v>0</v>
      </c>
      <c r="K37" s="361">
        <f t="shared" si="26"/>
        <v>9125.2999999999993</v>
      </c>
      <c r="L37" s="361">
        <f t="shared" si="27"/>
        <v>1067.1999999999998</v>
      </c>
      <c r="M37" s="406">
        <f t="shared" si="28"/>
        <v>8058.0999999999995</v>
      </c>
      <c r="N37" s="97">
        <f>[6]Hist!U$298</f>
        <v>331</v>
      </c>
      <c r="O37" s="1497">
        <f>[6]Hist!V$298</f>
        <v>110</v>
      </c>
      <c r="P37" s="1496">
        <f t="shared" si="5"/>
        <v>8389.0999999999985</v>
      </c>
      <c r="Q37" s="97">
        <f>[6]Hist!$AA$298</f>
        <v>256.09999999999997</v>
      </c>
      <c r="R37" s="133">
        <f t="shared" si="6"/>
        <v>7691.9999999999991</v>
      </c>
      <c r="S37" s="133"/>
      <c r="T37" s="97">
        <f>[6]Hist!AE$298</f>
        <v>7434</v>
      </c>
      <c r="U37" s="132">
        <f>[8]FCST!$BH11</f>
        <v>1542552</v>
      </c>
      <c r="V37" s="463">
        <f>Jun!Q37</f>
        <v>32161</v>
      </c>
      <c r="W37" s="558"/>
      <c r="X37" s="371">
        <f>[8]FCST!$CR11</f>
        <v>53798</v>
      </c>
      <c r="Z37" s="106"/>
      <c r="AA37" s="576">
        <f t="shared" si="20"/>
        <v>37266</v>
      </c>
      <c r="AB37" s="113">
        <f t="shared" si="21"/>
        <v>1517025</v>
      </c>
      <c r="AC37" s="339">
        <f>[5]Summer!$M32</f>
        <v>90.8</v>
      </c>
      <c r="AE37" s="116"/>
      <c r="AG37" s="456"/>
      <c r="AI37" s="1031">
        <v>2004</v>
      </c>
      <c r="AJ37" s="1032">
        <f t="shared" si="7"/>
        <v>7691.9999999999991</v>
      </c>
      <c r="AK37" s="709">
        <f t="shared" si="22"/>
        <v>90.8</v>
      </c>
      <c r="AL37" s="676">
        <f t="shared" si="18"/>
        <v>1542552</v>
      </c>
      <c r="AM37" s="264">
        <f>AM36</f>
        <v>0</v>
      </c>
      <c r="AN37" s="264">
        <v>0</v>
      </c>
      <c r="AO37" s="165">
        <f t="shared" si="11"/>
        <v>7717</v>
      </c>
      <c r="AP37" s="165">
        <f t="shared" si="23"/>
        <v>-25.000000000000909</v>
      </c>
      <c r="AQ37" s="573"/>
      <c r="AR37" s="111"/>
      <c r="AS37" s="132"/>
      <c r="AT37" s="111"/>
      <c r="AU37" s="390">
        <f t="shared" si="24"/>
        <v>421.50103547262552</v>
      </c>
      <c r="BG37" s="123">
        <v>2004</v>
      </c>
      <c r="BH37" s="676">
        <f t="shared" si="13"/>
        <v>7855</v>
      </c>
      <c r="BI37" s="463">
        <f t="shared" si="29"/>
        <v>7691.9999999999991</v>
      </c>
      <c r="BJ37" s="133">
        <f t="shared" si="30"/>
        <v>-163.00000000000091</v>
      </c>
      <c r="BK37" s="463">
        <f t="shared" si="31"/>
        <v>7717</v>
      </c>
      <c r="BL37" s="495">
        <f t="shared" si="32"/>
        <v>138</v>
      </c>
    </row>
    <row r="38" spans="1:64" ht="12.75" customHeight="1">
      <c r="A38" s="398">
        <v>38580</v>
      </c>
      <c r="B38" s="341">
        <v>18</v>
      </c>
      <c r="C38" s="346" t="str">
        <f t="shared" si="25"/>
        <v>Tue</v>
      </c>
      <c r="D38" s="133">
        <f>[7]MoCoinMW!F$192</f>
        <v>9681.2999999999993</v>
      </c>
      <c r="E38" s="133">
        <f>[7]MoCoinMW!G$192</f>
        <v>8564.6999999999989</v>
      </c>
      <c r="F38" s="97">
        <f>[6]Hist!L$312</f>
        <v>0</v>
      </c>
      <c r="G38" s="97">
        <f>[6]Hist!M$312</f>
        <v>0</v>
      </c>
      <c r="H38" s="97">
        <f>[6]Hist!N$312</f>
        <v>0</v>
      </c>
      <c r="I38" s="97">
        <f>[6]Hist!O$312</f>
        <v>0</v>
      </c>
      <c r="J38" s="97">
        <f>[6]Hist!P$312</f>
        <v>0</v>
      </c>
      <c r="K38" s="361">
        <f t="shared" si="26"/>
        <v>9681.2999999999993</v>
      </c>
      <c r="L38" s="361">
        <f t="shared" si="27"/>
        <v>1116.6000000000004</v>
      </c>
      <c r="M38" s="406">
        <f t="shared" si="28"/>
        <v>8564.6999999999989</v>
      </c>
      <c r="N38" s="97">
        <f>[6]Hist!U$312</f>
        <v>371</v>
      </c>
      <c r="O38" s="1497">
        <f>[6]Hist!V$312</f>
        <v>110</v>
      </c>
      <c r="P38" s="1496">
        <f t="shared" si="5"/>
        <v>8935.6999999999989</v>
      </c>
      <c r="Q38" s="97">
        <f>[6]Hist!$AA$312</f>
        <v>349.64466407210159</v>
      </c>
      <c r="R38" s="133">
        <f t="shared" si="6"/>
        <v>8105.0553359278965</v>
      </c>
      <c r="S38" s="133"/>
      <c r="T38" s="97">
        <f>[6]Hist!AE$312</f>
        <v>7817</v>
      </c>
      <c r="U38" s="132">
        <f>[8]FCST!$BJ12</f>
        <v>1573758</v>
      </c>
      <c r="V38" s="463">
        <f>[8]FCST!$DL12</f>
        <v>33120</v>
      </c>
      <c r="W38" s="558"/>
      <c r="X38" s="371">
        <f>[8]FCST!$CT12</f>
        <v>56552</v>
      </c>
      <c r="Z38" s="694">
        <f>[10]WP2004!$D$51</f>
        <v>13077</v>
      </c>
      <c r="AA38" s="576">
        <f t="shared" si="20"/>
        <v>30247</v>
      </c>
      <c r="AB38" s="113">
        <f t="shared" si="21"/>
        <v>1547272</v>
      </c>
      <c r="AC38" s="339">
        <f>[5]Summer!$M33</f>
        <v>92.1</v>
      </c>
      <c r="AG38" s="456"/>
      <c r="AH38" s="629"/>
      <c r="AI38" s="1031">
        <v>2005</v>
      </c>
      <c r="AJ38" s="1032">
        <f t="shared" si="7"/>
        <v>8105.0553359278965</v>
      </c>
      <c r="AK38" s="709">
        <f t="shared" si="22"/>
        <v>92.1</v>
      </c>
      <c r="AL38" s="676">
        <f t="shared" si="18"/>
        <v>1573758</v>
      </c>
      <c r="AM38" s="264">
        <f>AM37</f>
        <v>0</v>
      </c>
      <c r="AN38" s="264">
        <v>0</v>
      </c>
      <c r="AO38" s="165">
        <f t="shared" si="11"/>
        <v>8032</v>
      </c>
      <c r="AP38" s="165">
        <f t="shared" si="23"/>
        <v>73.055335927896522</v>
      </c>
      <c r="AQ38" s="573"/>
      <c r="AR38" s="111"/>
      <c r="AS38" s="132"/>
      <c r="AT38" s="111"/>
      <c r="AU38" s="390">
        <f t="shared" si="24"/>
        <v>413.05533592789743</v>
      </c>
      <c r="BG38" s="123">
        <v>2005</v>
      </c>
      <c r="BH38" s="676">
        <f t="shared" si="13"/>
        <v>8058</v>
      </c>
      <c r="BI38" s="463">
        <f t="shared" si="29"/>
        <v>8105.0553359278965</v>
      </c>
      <c r="BJ38" s="133">
        <f t="shared" si="30"/>
        <v>47.055335927896522</v>
      </c>
      <c r="BK38" s="463">
        <f t="shared" si="31"/>
        <v>8032</v>
      </c>
      <c r="BL38" s="495">
        <f t="shared" si="32"/>
        <v>26</v>
      </c>
    </row>
    <row r="39" spans="1:64" ht="12.75" customHeight="1">
      <c r="A39" s="398">
        <v>38939</v>
      </c>
      <c r="B39" s="341">
        <v>17</v>
      </c>
      <c r="C39" s="346" t="str">
        <f t="shared" si="25"/>
        <v>Thu</v>
      </c>
      <c r="D39" s="133">
        <f>[7]MoCoinMW!F$204</f>
        <v>9689</v>
      </c>
      <c r="E39" s="133">
        <f>[7]MoCoinMW!G$204</f>
        <v>8431.9</v>
      </c>
      <c r="F39" s="97">
        <f>[6]Hist!L$324</f>
        <v>0</v>
      </c>
      <c r="G39" s="97">
        <f>[6]Hist!M$324</f>
        <v>0</v>
      </c>
      <c r="H39" s="97">
        <f>[6]Hist!N$324</f>
        <v>0</v>
      </c>
      <c r="I39" s="97">
        <f>[6]Hist!O$324</f>
        <v>0</v>
      </c>
      <c r="J39" s="97">
        <f>[6]Hist!P$324</f>
        <v>0</v>
      </c>
      <c r="K39" s="361">
        <f t="shared" si="26"/>
        <v>9689</v>
      </c>
      <c r="L39" s="361">
        <f t="shared" si="27"/>
        <v>1257.1000000000004</v>
      </c>
      <c r="M39" s="406">
        <f t="shared" si="28"/>
        <v>8431.9</v>
      </c>
      <c r="N39" s="97">
        <f>[6]Hist!U$324</f>
        <v>394</v>
      </c>
      <c r="O39" s="1497">
        <f>[6]Hist!V$324</f>
        <v>66</v>
      </c>
      <c r="P39" s="1496">
        <f t="shared" si="5"/>
        <v>8825.9</v>
      </c>
      <c r="Q39" s="97">
        <f>[6]Hist!$AA$324</f>
        <v>314.28541347235</v>
      </c>
      <c r="R39" s="133">
        <f t="shared" si="6"/>
        <v>8051.6145865276494</v>
      </c>
      <c r="S39" s="133"/>
      <c r="T39" s="97">
        <f>[6]Hist!AE$324</f>
        <v>7837</v>
      </c>
      <c r="U39" s="132">
        <f>[8]FCST!$BJ13</f>
        <v>1614389</v>
      </c>
      <c r="V39" s="463">
        <f>[8]FCST!$DL13</f>
        <v>33277</v>
      </c>
      <c r="W39" s="558"/>
      <c r="X39" s="371">
        <f>[8]FCST!$CT13</f>
        <v>60968</v>
      </c>
      <c r="Y39" s="411"/>
      <c r="Z39" s="693">
        <f>ROUND(Z38*1.01,0)</f>
        <v>13208</v>
      </c>
      <c r="AA39" s="576">
        <f t="shared" ref="AA39:AA58" si="33">AB39-AB38</f>
        <v>40474</v>
      </c>
      <c r="AB39" s="777">
        <f t="shared" si="21"/>
        <v>1587746</v>
      </c>
      <c r="AC39" s="339">
        <f>[5]Summer!$M34</f>
        <v>90</v>
      </c>
      <c r="AD39" s="116"/>
      <c r="AE39" s="116"/>
      <c r="AG39" s="456"/>
      <c r="AH39" s="629"/>
      <c r="AI39" s="1031">
        <v>2006</v>
      </c>
      <c r="AJ39" s="1032">
        <f t="shared" ref="AJ39:AJ44" si="34">R39</f>
        <v>8051.6145865276494</v>
      </c>
      <c r="AK39" s="709">
        <f t="shared" si="22"/>
        <v>90</v>
      </c>
      <c r="AL39" s="676">
        <f t="shared" si="18"/>
        <v>1614389</v>
      </c>
      <c r="AM39" s="264">
        <f>AM38</f>
        <v>0</v>
      </c>
      <c r="AN39" s="264">
        <v>0</v>
      </c>
      <c r="AO39" s="165">
        <f>ROUND($BB$13+$BA$13*AK39+$AZ$13*AL39+$AY$13*AM39+$AX$13*AN39,0)</f>
        <v>8115</v>
      </c>
      <c r="AP39" s="165">
        <f t="shared" si="23"/>
        <v>-63.385413472350592</v>
      </c>
      <c r="AQ39" s="573"/>
      <c r="AR39" s="683"/>
      <c r="AS39" s="132"/>
      <c r="AT39" s="111"/>
      <c r="AU39" s="390">
        <f t="shared" si="24"/>
        <v>-53.440749400247114</v>
      </c>
      <c r="BG39" s="123">
        <v>2006</v>
      </c>
      <c r="BH39" s="676">
        <f t="shared" si="13"/>
        <v>8321</v>
      </c>
      <c r="BI39" s="463">
        <f t="shared" si="29"/>
        <v>8051.6145865276494</v>
      </c>
      <c r="BJ39" s="133">
        <f t="shared" si="30"/>
        <v>-269.38541347235059</v>
      </c>
      <c r="BK39" s="463">
        <f t="shared" si="31"/>
        <v>8115</v>
      </c>
      <c r="BL39" s="495">
        <f t="shared" si="32"/>
        <v>206</v>
      </c>
    </row>
    <row r="40" spans="1:64" ht="12.75" customHeight="1">
      <c r="A40" s="398">
        <v>39314</v>
      </c>
      <c r="B40" s="361">
        <v>17</v>
      </c>
      <c r="C40" s="346" t="str">
        <f t="shared" si="25"/>
        <v>Mon</v>
      </c>
      <c r="D40" s="133">
        <f>[7]MoCoinMW!F$216</f>
        <v>10405</v>
      </c>
      <c r="E40" s="133">
        <f>[7]MoCoinMW!G$216</f>
        <v>8861</v>
      </c>
      <c r="F40" s="97">
        <f>[6]Hist!L$336</f>
        <v>44</v>
      </c>
      <c r="G40" s="97">
        <f>[6]Hist!M$336</f>
        <v>0</v>
      </c>
      <c r="H40" s="97">
        <f>[6]Hist!N$336</f>
        <v>0</v>
      </c>
      <c r="I40" s="97">
        <f>[6]Hist!O$336</f>
        <v>0</v>
      </c>
      <c r="J40" s="97">
        <f>[6]Hist!P$336</f>
        <v>0</v>
      </c>
      <c r="K40" s="361">
        <f t="shared" si="26"/>
        <v>10449</v>
      </c>
      <c r="L40" s="361">
        <f t="shared" si="27"/>
        <v>1544</v>
      </c>
      <c r="M40" s="406">
        <f t="shared" si="28"/>
        <v>8905</v>
      </c>
      <c r="N40" s="97">
        <f>[6]Hist!U$336</f>
        <v>418</v>
      </c>
      <c r="O40" s="1497">
        <f>[6]Hist!V$336</f>
        <v>110</v>
      </c>
      <c r="P40" s="1496">
        <f t="shared" ref="P40:P45" si="35">SUM(M40:N40)</f>
        <v>9323</v>
      </c>
      <c r="Q40" s="97">
        <f>[6]Hist!$AA$336</f>
        <v>325</v>
      </c>
      <c r="R40" s="133">
        <f t="shared" si="6"/>
        <v>8470</v>
      </c>
      <c r="S40" s="133"/>
      <c r="T40" s="97">
        <f>[6]Hist!AE$336</f>
        <v>8266</v>
      </c>
      <c r="U40" s="132">
        <f>[8]FCST!$BJ14</f>
        <v>1635120</v>
      </c>
      <c r="V40" s="463">
        <f>[8]FCST!$DL14</f>
        <v>33154</v>
      </c>
      <c r="W40" s="558"/>
      <c r="X40" s="371">
        <f>[8]FCST!$CT14</f>
        <v>64001</v>
      </c>
      <c r="Y40" s="411"/>
      <c r="Z40" s="693">
        <f>ROUND(Z39*1.01,0)</f>
        <v>13340</v>
      </c>
      <c r="AA40" s="576">
        <f t="shared" si="33"/>
        <v>20854</v>
      </c>
      <c r="AB40" s="777">
        <f t="shared" si="21"/>
        <v>1608600</v>
      </c>
      <c r="AC40" s="339">
        <f>[5]Summer!$M35</f>
        <v>93.1</v>
      </c>
      <c r="AD40" s="116"/>
      <c r="AE40" s="116"/>
      <c r="AG40" s="456"/>
      <c r="AH40" s="629"/>
      <c r="AI40" s="1031">
        <v>2007</v>
      </c>
      <c r="AJ40" s="1032">
        <f t="shared" si="34"/>
        <v>8470</v>
      </c>
      <c r="AK40" s="709">
        <f t="shared" ref="AK40:AK45" si="36">AC40</f>
        <v>93.1</v>
      </c>
      <c r="AL40" s="676">
        <f t="shared" si="18"/>
        <v>1635120</v>
      </c>
      <c r="AM40" s="264">
        <f>AM39</f>
        <v>0</v>
      </c>
      <c r="AN40" s="264">
        <v>0</v>
      </c>
      <c r="AO40" s="165">
        <f t="shared" si="11"/>
        <v>8516</v>
      </c>
      <c r="AP40" s="165">
        <f t="shared" ref="AP40:AP45" si="37">AJ40-AO40</f>
        <v>-46</v>
      </c>
      <c r="AQ40" s="573"/>
      <c r="AR40" s="683"/>
      <c r="AS40" s="132"/>
      <c r="AT40" s="111"/>
      <c r="AU40" s="390">
        <f t="shared" si="24"/>
        <v>418.38541347235059</v>
      </c>
      <c r="BG40" s="123">
        <v>2007</v>
      </c>
      <c r="BH40" s="676">
        <f t="shared" si="13"/>
        <v>8456</v>
      </c>
      <c r="BI40" s="463">
        <f t="shared" si="29"/>
        <v>8470</v>
      </c>
      <c r="BJ40" s="133">
        <f t="shared" si="30"/>
        <v>14</v>
      </c>
      <c r="BK40" s="463">
        <f t="shared" si="31"/>
        <v>8516</v>
      </c>
      <c r="BL40" s="495">
        <f t="shared" si="32"/>
        <v>-60</v>
      </c>
    </row>
    <row r="41" spans="1:64" ht="12.75" customHeight="1">
      <c r="A41" s="398">
        <v>39667</v>
      </c>
      <c r="B41" s="361">
        <v>17</v>
      </c>
      <c r="C41" s="346" t="str">
        <f>TEXT(WEEKDAY(A41),"ddd")</f>
        <v>Thu</v>
      </c>
      <c r="D41" s="133">
        <f>[7]MoCoinMW!F$228</f>
        <v>10036</v>
      </c>
      <c r="E41" s="133">
        <f>[7]MoCoinMW!G$228</f>
        <v>8524</v>
      </c>
      <c r="F41" s="97">
        <f>[6]Hist!L$348</f>
        <v>0</v>
      </c>
      <c r="G41" s="97">
        <f>[6]Hist!M$348</f>
        <v>0</v>
      </c>
      <c r="H41" s="97">
        <f>[6]Hist!N$348</f>
        <v>0</v>
      </c>
      <c r="I41" s="97">
        <f>[6]Hist!O$348</f>
        <v>0</v>
      </c>
      <c r="J41" s="97">
        <f>[6]Hist!P$348</f>
        <v>0</v>
      </c>
      <c r="K41" s="361">
        <f t="shared" si="26"/>
        <v>10036</v>
      </c>
      <c r="L41" s="361">
        <f t="shared" si="27"/>
        <v>1512</v>
      </c>
      <c r="M41" s="406">
        <f t="shared" si="28"/>
        <v>8524</v>
      </c>
      <c r="N41" s="97">
        <f>[6]Hist!U$348</f>
        <v>449</v>
      </c>
      <c r="O41" s="1497">
        <f>[6]Hist!V$348</f>
        <v>110</v>
      </c>
      <c r="P41" s="1496">
        <f t="shared" si="35"/>
        <v>8973</v>
      </c>
      <c r="Q41" s="97">
        <f>[6]Hist!$AA$348</f>
        <v>332.5631455159014</v>
      </c>
      <c r="R41" s="133">
        <f t="shared" si="6"/>
        <v>8081.4368544840981</v>
      </c>
      <c r="T41" s="97">
        <f>[6]Hist!AE$348</f>
        <v>7685</v>
      </c>
      <c r="U41" s="132">
        <f>[8]FCST!$BJ15</f>
        <v>1634684</v>
      </c>
      <c r="V41" s="463">
        <f>[8]FCST!$DL15</f>
        <v>35810</v>
      </c>
      <c r="W41" s="558"/>
      <c r="X41" s="371">
        <f>[8]FCST!$CT15</f>
        <v>60430</v>
      </c>
      <c r="Y41" s="411"/>
      <c r="Z41" s="693">
        <f>ROUND(Z40*1.005,0)</f>
        <v>13407</v>
      </c>
      <c r="AA41" s="576">
        <f t="shared" si="33"/>
        <v>-3092</v>
      </c>
      <c r="AB41" s="777">
        <f>U41-V41+W$31</f>
        <v>1605508</v>
      </c>
      <c r="AC41" s="339">
        <f>[5]Summer!$M36</f>
        <v>90.7</v>
      </c>
      <c r="AD41" s="116"/>
      <c r="AE41" s="116"/>
      <c r="AG41" s="456"/>
      <c r="AH41" s="629"/>
      <c r="AI41" s="1031">
        <v>2008</v>
      </c>
      <c r="AJ41" s="1032">
        <f t="shared" si="34"/>
        <v>8081.4368544840981</v>
      </c>
      <c r="AK41" s="709">
        <f t="shared" si="36"/>
        <v>90.7</v>
      </c>
      <c r="AL41" s="676">
        <f t="shared" si="18"/>
        <v>1634684</v>
      </c>
      <c r="AM41" s="264">
        <v>0.5</v>
      </c>
      <c r="AN41" s="264">
        <v>0</v>
      </c>
      <c r="AO41" s="165">
        <f t="shared" si="11"/>
        <v>8003</v>
      </c>
      <c r="AP41" s="165">
        <f t="shared" si="37"/>
        <v>78.436854484098149</v>
      </c>
      <c r="AQ41" s="573"/>
      <c r="AR41" s="683"/>
      <c r="AS41" s="132"/>
      <c r="AT41" s="111"/>
      <c r="AU41" s="390">
        <f t="shared" si="24"/>
        <v>-388.56314551590185</v>
      </c>
      <c r="BG41" s="123">
        <v>2008</v>
      </c>
      <c r="BH41" s="676">
        <f t="shared" si="13"/>
        <v>8150</v>
      </c>
      <c r="BI41" s="463">
        <f t="shared" si="29"/>
        <v>8081.4368544840981</v>
      </c>
      <c r="BJ41" s="133">
        <f t="shared" si="30"/>
        <v>-68.563145515901851</v>
      </c>
      <c r="BK41" s="463">
        <f t="shared" si="31"/>
        <v>8003</v>
      </c>
      <c r="BL41" s="495">
        <f t="shared" si="32"/>
        <v>147</v>
      </c>
    </row>
    <row r="42" spans="1:64" ht="12.75" customHeight="1">
      <c r="A42" s="327">
        <v>39986</v>
      </c>
      <c r="B42" s="123">
        <v>18</v>
      </c>
      <c r="C42" s="346" t="str">
        <f>TEXT(WEEKDAY(A42),"ddd")</f>
        <v>Mon</v>
      </c>
      <c r="D42" s="133">
        <f>[7]MoCoinMW!F$238</f>
        <v>10247</v>
      </c>
      <c r="E42" s="133">
        <f>[7]MoCoinMW!G$238</f>
        <v>8629</v>
      </c>
      <c r="F42" s="97">
        <f>[6]Hist!L$358</f>
        <v>0</v>
      </c>
      <c r="G42" s="97">
        <f>[6]Hist!M$358</f>
        <v>14</v>
      </c>
      <c r="H42" s="97">
        <f>[6]Hist!N$358</f>
        <v>0</v>
      </c>
      <c r="I42" s="97">
        <f>[6]Hist!O$358</f>
        <v>0</v>
      </c>
      <c r="J42" s="97">
        <f>[6]Hist!P$358</f>
        <v>0</v>
      </c>
      <c r="K42" s="361">
        <f>D42+SUM(F42:J42)</f>
        <v>10261</v>
      </c>
      <c r="L42" s="361">
        <f>D42-E42</f>
        <v>1618</v>
      </c>
      <c r="M42" s="406">
        <f>SUM(E42:J42)</f>
        <v>8643</v>
      </c>
      <c r="N42" s="97">
        <f>[6]Hist!U$358</f>
        <v>457</v>
      </c>
      <c r="O42" s="1497">
        <f>[6]Hist!V$358</f>
        <v>110</v>
      </c>
      <c r="P42" s="1496">
        <f t="shared" si="35"/>
        <v>9100</v>
      </c>
      <c r="Q42" s="97">
        <f>[6]Hist!$AA$358</f>
        <v>246.48435902678389</v>
      </c>
      <c r="R42" s="133">
        <f t="shared" si="6"/>
        <v>8286.5156409732153</v>
      </c>
      <c r="T42" s="97">
        <f>[6]Hist!AE$358</f>
        <v>7857</v>
      </c>
      <c r="U42" s="132">
        <f>[8]FCST!$BH16</f>
        <v>1627485</v>
      </c>
      <c r="V42" s="463">
        <f>[8]FCST!$DJ16</f>
        <v>35541</v>
      </c>
      <c r="W42" s="558"/>
      <c r="X42" s="371">
        <f>[8]FCST!$CR16</f>
        <v>62231</v>
      </c>
      <c r="Y42" s="411"/>
      <c r="Z42" s="693">
        <f t="shared" ref="Z42:Z63" si="38">ROUND(Z41*1.005,0)</f>
        <v>13474</v>
      </c>
      <c r="AA42" s="576">
        <f t="shared" si="33"/>
        <v>-6930</v>
      </c>
      <c r="AB42" s="777">
        <f t="shared" si="21"/>
        <v>1598578</v>
      </c>
      <c r="AC42" s="339">
        <f>[5]Summer!$M37</f>
        <v>95.2</v>
      </c>
      <c r="AG42" s="456"/>
      <c r="AH42" s="629"/>
      <c r="AI42" s="1031">
        <v>2009</v>
      </c>
      <c r="AJ42" s="1032">
        <f t="shared" si="34"/>
        <v>8286.5156409732153</v>
      </c>
      <c r="AK42" s="709">
        <f t="shared" si="36"/>
        <v>95.2</v>
      </c>
      <c r="AL42" s="676">
        <f t="shared" si="18"/>
        <v>1627485</v>
      </c>
      <c r="AM42" s="264">
        <v>0.5</v>
      </c>
      <c r="AN42" s="264">
        <v>0</v>
      </c>
      <c r="AO42" s="165">
        <f t="shared" si="11"/>
        <v>8344</v>
      </c>
      <c r="AP42" s="165">
        <f t="shared" si="37"/>
        <v>-57.484359026784659</v>
      </c>
      <c r="AQ42" s="573"/>
      <c r="AR42" s="683"/>
      <c r="AS42" s="132"/>
      <c r="AT42" s="111"/>
      <c r="AU42" s="390">
        <f t="shared" si="24"/>
        <v>205.07878648911719</v>
      </c>
      <c r="BG42" s="123">
        <v>2009</v>
      </c>
      <c r="BH42" s="676">
        <f t="shared" si="13"/>
        <v>8103</v>
      </c>
      <c r="BI42" s="463">
        <f>AJ42</f>
        <v>8286.5156409732153</v>
      </c>
      <c r="BJ42" s="133">
        <f>BI42-BH42</f>
        <v>183.51564097321534</v>
      </c>
      <c r="BK42" s="463">
        <f>AO42</f>
        <v>8344</v>
      </c>
      <c r="BL42" s="495">
        <f>BH42-BK42</f>
        <v>-241</v>
      </c>
    </row>
    <row r="43" spans="1:64" ht="12.75" customHeight="1">
      <c r="A43" s="139">
        <v>40386</v>
      </c>
      <c r="B43" s="123">
        <v>18</v>
      </c>
      <c r="C43" s="346" t="str">
        <f>TEXT(WEEKDAY(A43),"ddd")</f>
        <v>Tue</v>
      </c>
      <c r="D43" s="133">
        <f>[7]MoCoinMW!F$251</f>
        <v>9600</v>
      </c>
      <c r="E43" s="133">
        <f>[7]MoCoinMW!G$251</f>
        <v>8328</v>
      </c>
      <c r="F43" s="97">
        <f>[6]Hist!L$371</f>
        <v>0</v>
      </c>
      <c r="G43" s="97">
        <f>[6]Hist!M$371</f>
        <v>0</v>
      </c>
      <c r="H43" s="97">
        <f>[6]Hist!N$371</f>
        <v>0</v>
      </c>
      <c r="I43" s="97">
        <f>[6]Hist!O$371</f>
        <v>0</v>
      </c>
      <c r="J43" s="97">
        <f>[6]Hist!P$371</f>
        <v>0</v>
      </c>
      <c r="K43" s="361">
        <f>D43+SUM(F43:J43)</f>
        <v>9600</v>
      </c>
      <c r="L43" s="361">
        <f>D43-E43</f>
        <v>1272</v>
      </c>
      <c r="M43" s="406">
        <f>SUM(E43:J43)</f>
        <v>8328</v>
      </c>
      <c r="N43" s="97">
        <f>[6]Hist!U$371</f>
        <v>508</v>
      </c>
      <c r="O43" s="1497">
        <f>[6]Hist!V$371</f>
        <v>110</v>
      </c>
      <c r="P43" s="1496">
        <f t="shared" si="35"/>
        <v>8836</v>
      </c>
      <c r="Q43" s="97">
        <f>[6]Hist!$AA$371</f>
        <v>251.78083171554101</v>
      </c>
      <c r="R43" s="133">
        <f t="shared" si="6"/>
        <v>7966.2191682844586</v>
      </c>
      <c r="T43" s="97">
        <f>[6]Hist!AE$371</f>
        <v>7679</v>
      </c>
      <c r="U43" s="132">
        <f>[8]FCST!$BI17</f>
        <v>1632942</v>
      </c>
      <c r="V43" s="463">
        <f>[8]FCST!$DK17</f>
        <v>33267</v>
      </c>
      <c r="W43" s="558"/>
      <c r="X43" s="371">
        <f>[8]FCST!$CS17</f>
        <v>60394</v>
      </c>
      <c r="Y43" s="411"/>
      <c r="Z43" s="693">
        <f t="shared" si="38"/>
        <v>13541</v>
      </c>
      <c r="AA43" s="576">
        <f t="shared" si="33"/>
        <v>7731</v>
      </c>
      <c r="AB43" s="777">
        <f t="shared" si="21"/>
        <v>1606309</v>
      </c>
      <c r="AC43" s="339">
        <f>[5]Summer!$M38</f>
        <v>93.7</v>
      </c>
      <c r="AD43" s="116"/>
      <c r="AE43" s="116"/>
      <c r="AG43" s="456"/>
      <c r="AH43" s="629"/>
      <c r="AI43" s="1031">
        <v>2010</v>
      </c>
      <c r="AJ43" s="1032">
        <f t="shared" si="34"/>
        <v>7966.2191682844586</v>
      </c>
      <c r="AK43" s="709">
        <f t="shared" si="36"/>
        <v>93.7</v>
      </c>
      <c r="AL43" s="676">
        <f t="shared" si="18"/>
        <v>1632942</v>
      </c>
      <c r="AM43" s="1342">
        <v>1</v>
      </c>
      <c r="AN43" s="264">
        <v>0</v>
      </c>
      <c r="AO43" s="165">
        <f>ROUND($BB$13+$BA$13*$AK43+$AZ$13*$AL43+$AY$13*$AM43+$AX$13*$AN43,0)</f>
        <v>7947</v>
      </c>
      <c r="AP43" s="165">
        <f t="shared" si="37"/>
        <v>19.219168284458647</v>
      </c>
      <c r="AQ43" s="573"/>
      <c r="AR43" s="683"/>
      <c r="AS43" s="132"/>
      <c r="AT43" s="111"/>
      <c r="AU43" s="390">
        <f t="shared" si="24"/>
        <v>-320.29647268875669</v>
      </c>
      <c r="BG43" s="123">
        <v>2010</v>
      </c>
      <c r="BH43" s="676">
        <f t="shared" si="13"/>
        <v>7835</v>
      </c>
      <c r="BI43" s="463">
        <f>AJ43</f>
        <v>7966.2191682844586</v>
      </c>
      <c r="BJ43" s="133">
        <f>BI43-BH43</f>
        <v>131.21916828445865</v>
      </c>
      <c r="BK43" s="463">
        <f>AO43</f>
        <v>7947</v>
      </c>
      <c r="BL43" s="495">
        <f>BH43-BK43</f>
        <v>-112</v>
      </c>
    </row>
    <row r="44" spans="1:64" ht="12.75" customHeight="1">
      <c r="A44" s="139">
        <v>40715</v>
      </c>
      <c r="B44" s="361">
        <v>17</v>
      </c>
      <c r="C44" s="346" t="str">
        <f>TEXT(WEEKDAY(A44),"ddd")</f>
        <v>Tue</v>
      </c>
      <c r="D44" s="133">
        <f>[7]MoCoinMW!F$262</f>
        <v>9277</v>
      </c>
      <c r="E44" s="133">
        <f>[7]MoCoinMW!G$262</f>
        <v>8343</v>
      </c>
      <c r="F44" s="97">
        <f>[6]Hist!L$382</f>
        <v>0</v>
      </c>
      <c r="G44" s="97">
        <f>[6]Hist!M$382</f>
        <v>0</v>
      </c>
      <c r="H44" s="97">
        <f>[6]Hist!N$382</f>
        <v>0</v>
      </c>
      <c r="I44" s="97">
        <f>[6]Hist!O$382</f>
        <v>0</v>
      </c>
      <c r="J44" s="97">
        <f>[6]Hist!P$382</f>
        <v>0</v>
      </c>
      <c r="K44" s="361">
        <f>D44+SUM(F44:J44)</f>
        <v>9277</v>
      </c>
      <c r="L44" s="361">
        <f>D44-E44</f>
        <v>934</v>
      </c>
      <c r="M44" s="406">
        <f>SUM(E44:J44)</f>
        <v>8343</v>
      </c>
      <c r="N44" s="97">
        <f>[6]Hist!U$382</f>
        <v>546</v>
      </c>
      <c r="O44" s="1497">
        <f>[6]Hist!V$382</f>
        <v>110</v>
      </c>
      <c r="P44" s="1496">
        <f t="shared" si="35"/>
        <v>8889</v>
      </c>
      <c r="Q44" s="97">
        <f>[6]Hist!$AA$382</f>
        <v>225.05892547660312</v>
      </c>
      <c r="R44" s="133">
        <f t="shared" si="6"/>
        <v>8007.9410745233972</v>
      </c>
      <c r="T44" s="97">
        <f>[6]Hist!AE$382</f>
        <v>7754</v>
      </c>
      <c r="U44" s="132">
        <f>[8]FCST!$BJ18</f>
        <v>1640431</v>
      </c>
      <c r="V44" s="463">
        <f>[8]FCST!$DK18</f>
        <v>34464</v>
      </c>
      <c r="W44" s="558"/>
      <c r="X44" s="371">
        <f>[8]FCST!$CT18</f>
        <v>65966</v>
      </c>
      <c r="Y44" s="411"/>
      <c r="Z44" s="693">
        <f t="shared" si="38"/>
        <v>13609</v>
      </c>
      <c r="AA44" s="576">
        <f t="shared" si="33"/>
        <v>6292</v>
      </c>
      <c r="AB44" s="777">
        <f t="shared" si="21"/>
        <v>1612601</v>
      </c>
      <c r="AC44" s="339">
        <f>[5]Summer!$M39</f>
        <v>93.5</v>
      </c>
      <c r="AD44" s="116"/>
      <c r="AE44" s="116"/>
      <c r="AG44" s="456"/>
      <c r="AH44" s="629"/>
      <c r="AI44" s="1031">
        <v>2011</v>
      </c>
      <c r="AJ44" s="1032">
        <f t="shared" si="34"/>
        <v>8007.9410745233972</v>
      </c>
      <c r="AK44" s="709">
        <f t="shared" si="36"/>
        <v>93.5</v>
      </c>
      <c r="AL44" s="676">
        <f t="shared" si="18"/>
        <v>1640431</v>
      </c>
      <c r="AM44" s="1342">
        <v>1</v>
      </c>
      <c r="AN44" s="264">
        <v>0</v>
      </c>
      <c r="AO44" s="165">
        <f>ROUND($BB$13+$BA$13*$AK44+$AZ$13*$AL44+$AY$13*$AM44+$AX$13*$AN44,0)</f>
        <v>7978</v>
      </c>
      <c r="AP44" s="165">
        <f t="shared" si="37"/>
        <v>29.941074523397219</v>
      </c>
      <c r="AQ44" s="573"/>
      <c r="AR44" s="165"/>
      <c r="AS44" s="132"/>
      <c r="AT44" s="111"/>
      <c r="AU44" s="390">
        <f t="shared" si="24"/>
        <v>41.721906238938573</v>
      </c>
      <c r="BG44" s="123">
        <v>2011</v>
      </c>
      <c r="BH44" s="676">
        <f t="shared" ref="BH44" si="39">ROUND($BB$13+$BA$13*AK$63+$AZ$13*AL44+$AY$13*AM44+$AX$13*AN44,0)</f>
        <v>7883</v>
      </c>
      <c r="BI44" s="463">
        <f>AJ44</f>
        <v>8007.9410745233972</v>
      </c>
      <c r="BJ44" s="133">
        <f>BI44-BH44</f>
        <v>124.94107452339722</v>
      </c>
      <c r="BK44" s="463">
        <f>AO44</f>
        <v>7978</v>
      </c>
      <c r="BL44" s="495">
        <f>BH44-BK44</f>
        <v>-95</v>
      </c>
    </row>
    <row r="45" spans="1:64" ht="12.75" customHeight="1">
      <c r="A45" s="139">
        <v>41130</v>
      </c>
      <c r="B45" s="361">
        <v>16</v>
      </c>
      <c r="C45" s="346" t="str">
        <f>TEXT(WEEKDAY(A45),"ddd")</f>
        <v>Thu</v>
      </c>
      <c r="D45" s="133">
        <f>[7]MoCoinMW!F$276</f>
        <v>8850</v>
      </c>
      <c r="E45" s="133">
        <f>[7]MoCoinMW!G$276</f>
        <v>7989</v>
      </c>
      <c r="F45" s="97">
        <f>[6]Hist!L$396</f>
        <v>0</v>
      </c>
      <c r="G45" s="97">
        <f>[6]Hist!M$396</f>
        <v>0</v>
      </c>
      <c r="H45" s="97">
        <f>[6]Hist!N$396</f>
        <v>0</v>
      </c>
      <c r="I45" s="97">
        <f>[6]Hist!O$396</f>
        <v>0</v>
      </c>
      <c r="J45" s="97">
        <f>[6]Hist!P$396</f>
        <v>0</v>
      </c>
      <c r="K45" s="361">
        <f>D45+SUM(F45:J45)</f>
        <v>8850</v>
      </c>
      <c r="L45" s="361">
        <f>D45-E45</f>
        <v>861</v>
      </c>
      <c r="M45" s="406">
        <f>SUM(E45:J45)</f>
        <v>7989</v>
      </c>
      <c r="N45" s="97">
        <f>[6]Hist!U$396</f>
        <v>628</v>
      </c>
      <c r="O45" s="1497">
        <f>[6]Hist!V$396</f>
        <v>124</v>
      </c>
      <c r="P45" s="1496">
        <f t="shared" si="35"/>
        <v>8617</v>
      </c>
      <c r="Q45" s="97">
        <f>[6]Hist!$AA$396</f>
        <v>230.17056788113169</v>
      </c>
      <c r="R45" s="133">
        <f t="shared" si="6"/>
        <v>7634.8294321188687</v>
      </c>
      <c r="T45" s="361">
        <f>M45-'Monthly Peaks'!I485-'Monthly Peaks'!I605</f>
        <v>7334</v>
      </c>
      <c r="U45" s="132">
        <f>[8]FCST!$BJ19</f>
        <v>1655109</v>
      </c>
      <c r="V45" s="463">
        <f>[8]FCST!$DK19</f>
        <v>37301</v>
      </c>
      <c r="W45" s="558"/>
      <c r="X45" s="371">
        <f>[8]FCST!$CT19</f>
        <v>66856</v>
      </c>
      <c r="Y45" s="411"/>
      <c r="Z45" s="693">
        <f t="shared" si="38"/>
        <v>13677</v>
      </c>
      <c r="AA45" s="576">
        <f t="shared" si="33"/>
        <v>11841</v>
      </c>
      <c r="AB45" s="777">
        <f t="shared" si="21"/>
        <v>1624442</v>
      </c>
      <c r="AC45" s="339">
        <f>[5]Summer!$M40</f>
        <v>89.1</v>
      </c>
      <c r="AD45" s="116"/>
      <c r="AE45" s="116"/>
      <c r="AG45" s="456"/>
      <c r="AH45" s="629"/>
      <c r="AI45" s="1031">
        <v>2012</v>
      </c>
      <c r="AJ45" s="1032">
        <f t="shared" ref="AJ45" si="40">R45</f>
        <v>7634.8294321188687</v>
      </c>
      <c r="AK45" s="709">
        <f t="shared" si="36"/>
        <v>89.1</v>
      </c>
      <c r="AL45" s="676">
        <f t="shared" si="18"/>
        <v>1655109</v>
      </c>
      <c r="AM45" s="1342">
        <v>1</v>
      </c>
      <c r="AN45" s="264">
        <v>0</v>
      </c>
      <c r="AO45" s="165">
        <f>ROUND($BB$13+$BA$13*$AK45+$AZ$13*$AL45+$AY$13*$AM45+$AX$13*$AN45,0)</f>
        <v>7694</v>
      </c>
      <c r="AP45" s="165">
        <f t="shared" si="37"/>
        <v>-59.170567881131319</v>
      </c>
      <c r="AQ45" s="573"/>
      <c r="AR45" s="165"/>
      <c r="AS45" s="132"/>
      <c r="AT45" s="111"/>
      <c r="AU45" s="390">
        <f t="shared" si="24"/>
        <v>-373.11164240452854</v>
      </c>
      <c r="BG45" s="123">
        <v>2012</v>
      </c>
      <c r="BH45" s="676">
        <f t="shared" ref="BH45" si="41">ROUND($BB$13+$BA$13*AK$63+$AZ$13*AL45+$AY$13*AM45+$AX$13*AN45,0)</f>
        <v>7979</v>
      </c>
      <c r="BI45" s="463">
        <f>AJ45</f>
        <v>7634.8294321188687</v>
      </c>
      <c r="BJ45" s="133">
        <f>BI45-BH45</f>
        <v>-344.17056788113132</v>
      </c>
      <c r="BK45" s="463">
        <f>AO45</f>
        <v>7694</v>
      </c>
      <c r="BL45" s="495">
        <f>BH45-BK45</f>
        <v>285</v>
      </c>
    </row>
    <row r="46" spans="1:64" ht="12.75" customHeight="1">
      <c r="A46" s="656">
        <f t="shared" ref="A46:A72" si="42">A45+365</f>
        <v>41495</v>
      </c>
      <c r="B46" s="361"/>
      <c r="C46" s="93"/>
      <c r="J46" s="662"/>
      <c r="K46" s="660"/>
      <c r="L46" s="660"/>
      <c r="M46" s="661">
        <f>SUM(AQ46:AR46)-'Monthly Peaks'!I566+'Monthly Peaks'!I486</f>
        <v>8470</v>
      </c>
      <c r="N46" s="663"/>
      <c r="O46" s="1500"/>
      <c r="P46" s="767"/>
      <c r="T46" s="361">
        <f>M46-'Monthly Peaks'!I486-'Monthly Peaks'!I606</f>
        <v>7803</v>
      </c>
      <c r="U46" s="132">
        <f>[8]FCST!$BJ20</f>
        <v>1671403</v>
      </c>
      <c r="V46" s="371">
        <f t="shared" ref="V46:V53" si="43">W46*X46</f>
        <v>29661.733499999998</v>
      </c>
      <c r="W46" s="558">
        <f t="shared" ref="W46:W73" si="44">$W$4</f>
        <v>0.52049999999999996</v>
      </c>
      <c r="X46" s="371">
        <f>[8]FCST!$CT20</f>
        <v>56987</v>
      </c>
      <c r="Y46" s="411">
        <f>[8]FCST!$CB20</f>
        <v>1479289</v>
      </c>
      <c r="Z46" s="693">
        <f t="shared" si="38"/>
        <v>13745</v>
      </c>
      <c r="AA46" s="576">
        <f t="shared" si="33"/>
        <v>23933.266499999911</v>
      </c>
      <c r="AB46" s="628">
        <f t="shared" si="21"/>
        <v>1648375.2664999999</v>
      </c>
      <c r="AC46" s="116"/>
      <c r="AD46" s="116"/>
      <c r="AE46" s="116"/>
      <c r="AG46" s="456"/>
      <c r="AH46" s="629">
        <f>AR46-Jul!AM46</f>
        <v>157</v>
      </c>
      <c r="AI46" s="109">
        <v>2013</v>
      </c>
      <c r="AJ46" s="391"/>
      <c r="AK46" s="710">
        <f t="shared" ref="AK46:AK63" si="45">$AC$74</f>
        <v>92.4</v>
      </c>
      <c r="AL46" s="676">
        <f t="shared" si="18"/>
        <v>1671403</v>
      </c>
      <c r="AM46" s="1383">
        <v>0.75</v>
      </c>
      <c r="AN46" s="264"/>
      <c r="AO46" s="109"/>
      <c r="AP46" s="109"/>
      <c r="AQ46" s="492">
        <v>25</v>
      </c>
      <c r="AR46" s="165">
        <f>ROUND($BB$13+$BA$13*$AK46+$AZ$13*$AL46+$AY$13*$AM46+$AX$13*$AN46,0)-AQ46</f>
        <v>8211</v>
      </c>
      <c r="AS46" s="132">
        <f>[11]Summer!$AR46</f>
        <v>9125</v>
      </c>
      <c r="AT46" s="111">
        <f t="shared" ref="AT46:AT53" si="46">AR46-AS46</f>
        <v>-914</v>
      </c>
      <c r="AU46" s="361">
        <f>AR46-AJ45</f>
        <v>576.17056788113132</v>
      </c>
      <c r="BG46" s="123"/>
    </row>
    <row r="47" spans="1:64" ht="12.75" customHeight="1">
      <c r="A47" s="656">
        <f t="shared" si="42"/>
        <v>41860</v>
      </c>
      <c r="B47" s="361"/>
      <c r="C47" s="93"/>
      <c r="J47" s="662"/>
      <c r="K47" s="660"/>
      <c r="L47" s="660"/>
      <c r="M47" s="661">
        <f>SUM(AQ47:AR47)-'Monthly Peaks'!I567+'Monthly Peaks'!I487</f>
        <v>8704.9107469557039</v>
      </c>
      <c r="N47" s="663"/>
      <c r="O47" s="1500"/>
      <c r="P47" s="767"/>
      <c r="T47" s="361">
        <f>M47-'Monthly Peaks'!I487-'Monthly Peaks'!I607</f>
        <v>8012.9107469557039</v>
      </c>
      <c r="U47" s="132">
        <f>[8]FCST!$BJ21</f>
        <v>1693582.2354812301</v>
      </c>
      <c r="V47" s="371">
        <f t="shared" si="43"/>
        <v>32782.323527855173</v>
      </c>
      <c r="W47" s="558">
        <f t="shared" si="44"/>
        <v>0.52049999999999996</v>
      </c>
      <c r="X47" s="371">
        <f>[8]FCST!$CT21</f>
        <v>62982.369890211667</v>
      </c>
      <c r="Y47" s="411">
        <f>[8]FCST!$CB21</f>
        <v>1499580.2354812301</v>
      </c>
      <c r="Z47" s="693">
        <f t="shared" si="38"/>
        <v>13814</v>
      </c>
      <c r="AA47" s="576">
        <f t="shared" si="33"/>
        <v>19058.645453375066</v>
      </c>
      <c r="AB47" s="628">
        <f t="shared" si="21"/>
        <v>1667433.911953375</v>
      </c>
      <c r="AC47" s="116"/>
      <c r="AD47" s="116"/>
      <c r="AE47" s="116"/>
      <c r="AG47" s="456"/>
      <c r="AH47" s="629">
        <f>AR47-Jul!AM47</f>
        <v>195</v>
      </c>
      <c r="AI47" s="109">
        <v>2014</v>
      </c>
      <c r="AJ47" s="391"/>
      <c r="AK47" s="710">
        <f t="shared" si="45"/>
        <v>92.4</v>
      </c>
      <c r="AL47" s="676">
        <f t="shared" si="18"/>
        <v>1693582.2354812301</v>
      </c>
      <c r="AM47" s="1342">
        <f>AM46-0.2</f>
        <v>0.55000000000000004</v>
      </c>
      <c r="AN47" s="264"/>
      <c r="AO47" s="109"/>
      <c r="AP47" s="109"/>
      <c r="AQ47" s="492">
        <v>25</v>
      </c>
      <c r="AR47" s="165">
        <f t="shared" ref="AR47:AR63" si="47">ROUND($BB$13+$BA$13*$AK47+$AZ$13*$AL47+$AY$13*$AM47+$AX$13*$AN47,0)-AQ47</f>
        <v>8476</v>
      </c>
      <c r="AS47" s="132">
        <f>[11]Summer!$AR47</f>
        <v>9299</v>
      </c>
      <c r="AT47" s="111">
        <f t="shared" si="46"/>
        <v>-823</v>
      </c>
      <c r="AU47" s="361">
        <f t="shared" ref="AU47:AU58" si="48">AR47-AR46</f>
        <v>265</v>
      </c>
      <c r="BG47" s="123"/>
    </row>
    <row r="48" spans="1:64" ht="12.75" customHeight="1">
      <c r="A48" s="656">
        <f t="shared" si="42"/>
        <v>42225</v>
      </c>
      <c r="B48" s="361"/>
      <c r="C48" s="93"/>
      <c r="J48" s="662"/>
      <c r="K48" s="660"/>
      <c r="L48" s="660"/>
      <c r="M48" s="661">
        <f>SUM(AQ48:AR48)-'Monthly Peaks'!I568+'Monthly Peaks'!I488</f>
        <v>8943.7419886142743</v>
      </c>
      <c r="N48" s="663"/>
      <c r="O48" s="1500"/>
      <c r="P48" s="767"/>
      <c r="T48" s="361">
        <f>M48-'Monthly Peaks'!I488-'Monthly Peaks'!I608</f>
        <v>8240.7419886142743</v>
      </c>
      <c r="U48" s="132">
        <f>[8]FCST!$BJ22</f>
        <v>1720790.0282306401</v>
      </c>
      <c r="V48" s="371">
        <f t="shared" si="43"/>
        <v>33315.989729150024</v>
      </c>
      <c r="W48" s="558">
        <f t="shared" si="44"/>
        <v>0.52049999999999996</v>
      </c>
      <c r="X48" s="371">
        <f>[8]FCST!$CT22</f>
        <v>64007.665185686885</v>
      </c>
      <c r="Y48" s="411">
        <f>[8]FCST!$CB22</f>
        <v>1523992.0282306401</v>
      </c>
      <c r="Z48" s="693">
        <f t="shared" si="38"/>
        <v>13883</v>
      </c>
      <c r="AA48" s="576">
        <f t="shared" si="33"/>
        <v>26674.126548115164</v>
      </c>
      <c r="AB48" s="628">
        <f t="shared" si="21"/>
        <v>1694108.0385014901</v>
      </c>
      <c r="AC48" s="116"/>
      <c r="AD48" s="116"/>
      <c r="AE48" s="116"/>
      <c r="AG48" s="456"/>
      <c r="AH48" s="629">
        <f>AR48-Jul!AM48</f>
        <v>201</v>
      </c>
      <c r="AI48" s="109">
        <v>2015</v>
      </c>
      <c r="AJ48" s="391"/>
      <c r="AK48" s="710">
        <f t="shared" si="45"/>
        <v>92.4</v>
      </c>
      <c r="AL48" s="676">
        <f t="shared" si="18"/>
        <v>1720790.0282306401</v>
      </c>
      <c r="AM48" s="1342">
        <v>0.4</v>
      </c>
      <c r="AN48" s="299"/>
      <c r="AO48" s="109"/>
      <c r="AP48" s="109"/>
      <c r="AQ48" s="492">
        <v>25</v>
      </c>
      <c r="AR48" s="165">
        <f t="shared" si="47"/>
        <v>8744</v>
      </c>
      <c r="AS48" s="132">
        <f>[11]Summer!$AR48</f>
        <v>9495</v>
      </c>
      <c r="AT48" s="111">
        <f t="shared" si="46"/>
        <v>-751</v>
      </c>
      <c r="AU48" s="361">
        <f t="shared" si="48"/>
        <v>268</v>
      </c>
      <c r="BG48" s="123"/>
    </row>
    <row r="49" spans="1:47" ht="12.75" customHeight="1">
      <c r="A49" s="656">
        <f t="shared" si="42"/>
        <v>42590</v>
      </c>
      <c r="B49" s="361"/>
      <c r="C49" s="93"/>
      <c r="J49" s="662"/>
      <c r="K49" s="660"/>
      <c r="L49" s="660"/>
      <c r="M49" s="661">
        <f>SUM(AQ49:AR49)-'Monthly Peaks'!I569+'Monthly Peaks'!I489</f>
        <v>9206.535651523247</v>
      </c>
      <c r="N49" s="663"/>
      <c r="O49" s="1500"/>
      <c r="P49" s="767"/>
      <c r="T49" s="361">
        <f>M49-'Monthly Peaks'!I489-'Monthly Peaks'!I609</f>
        <v>8495.535651523247</v>
      </c>
      <c r="U49" s="132">
        <f>[8]FCST!$BJ23</f>
        <v>1747026.13322698</v>
      </c>
      <c r="V49" s="371">
        <f t="shared" si="43"/>
        <v>33830.949740475007</v>
      </c>
      <c r="W49" s="558">
        <f t="shared" si="44"/>
        <v>0.52049999999999996</v>
      </c>
      <c r="X49" s="371">
        <f>[8]FCST!$CT23</f>
        <v>64997.021595533166</v>
      </c>
      <c r="Y49" s="411">
        <f>[8]FCST!$CB23</f>
        <v>1547548.13322698</v>
      </c>
      <c r="Z49" s="693">
        <f t="shared" si="38"/>
        <v>13952</v>
      </c>
      <c r="AA49" s="576">
        <f t="shared" si="33"/>
        <v>25721.144985014806</v>
      </c>
      <c r="AB49" s="628">
        <f t="shared" si="21"/>
        <v>1719829.1834865049</v>
      </c>
      <c r="AC49" s="116"/>
      <c r="AD49" s="116"/>
      <c r="AE49" s="116"/>
      <c r="AG49" s="456"/>
      <c r="AH49" s="629">
        <f>AR49-Jul!AM49</f>
        <v>238</v>
      </c>
      <c r="AI49" s="109">
        <v>2016</v>
      </c>
      <c r="AJ49" s="391"/>
      <c r="AK49" s="710">
        <f t="shared" si="45"/>
        <v>92.4</v>
      </c>
      <c r="AL49" s="676">
        <f t="shared" si="18"/>
        <v>1747026.13322698</v>
      </c>
      <c r="AM49" s="264">
        <v>0.2</v>
      </c>
      <c r="AN49" s="299"/>
      <c r="AO49" s="109"/>
      <c r="AP49" s="109"/>
      <c r="AQ49" s="492">
        <v>25</v>
      </c>
      <c r="AR49" s="165">
        <f t="shared" si="47"/>
        <v>9036</v>
      </c>
      <c r="AS49" s="132">
        <f>[11]Summer!$AR49</f>
        <v>9684</v>
      </c>
      <c r="AT49" s="111">
        <f t="shared" si="46"/>
        <v>-648</v>
      </c>
      <c r="AU49" s="361">
        <f t="shared" si="48"/>
        <v>292</v>
      </c>
    </row>
    <row r="50" spans="1:47" ht="12.75" customHeight="1">
      <c r="A50" s="656">
        <f t="shared" si="42"/>
        <v>42955</v>
      </c>
      <c r="B50" s="361"/>
      <c r="C50" s="93"/>
      <c r="J50" s="662"/>
      <c r="K50" s="660"/>
      <c r="L50" s="660"/>
      <c r="M50" s="661">
        <f>SUM(AQ50:AR50)-'Monthly Peaks'!I570+'Monthly Peaks'!I490</f>
        <v>9476.8193870989307</v>
      </c>
      <c r="N50" s="663"/>
      <c r="T50" s="361">
        <f>M50-'Monthly Peaks'!I490-'Monthly Peaks'!I610</f>
        <v>8724.8193870989307</v>
      </c>
      <c r="U50" s="132">
        <f>[8]FCST!$BJ24</f>
        <v>1773662.69182096</v>
      </c>
      <c r="V50" s="371">
        <f t="shared" si="43"/>
        <v>34354.139403898</v>
      </c>
      <c r="W50" s="558">
        <f t="shared" si="44"/>
        <v>0.52049999999999996</v>
      </c>
      <c r="X50" s="371">
        <f>[8]FCST!$CT24</f>
        <v>66002.189056480318</v>
      </c>
      <c r="Y50" s="411">
        <f>[8]FCST!$CB24</f>
        <v>1571480.69182096</v>
      </c>
      <c r="Z50" s="693">
        <f t="shared" si="38"/>
        <v>14022</v>
      </c>
      <c r="AA50" s="576">
        <f t="shared" si="33"/>
        <v>26113.368930557044</v>
      </c>
      <c r="AB50" s="628">
        <f t="shared" si="21"/>
        <v>1745942.552417062</v>
      </c>
      <c r="AC50" s="116"/>
      <c r="AD50" s="116"/>
      <c r="AE50" s="116"/>
      <c r="AG50" s="456"/>
      <c r="AH50" s="629">
        <f>AR50-Jul!AM50</f>
        <v>273</v>
      </c>
      <c r="AI50" s="109">
        <v>2017</v>
      </c>
      <c r="AJ50" s="391"/>
      <c r="AK50" s="710">
        <f t="shared" si="45"/>
        <v>92.4</v>
      </c>
      <c r="AL50" s="676">
        <f t="shared" si="18"/>
        <v>1773662.69182096</v>
      </c>
      <c r="AM50" s="264">
        <v>0</v>
      </c>
      <c r="AN50" s="299"/>
      <c r="AO50" s="109"/>
      <c r="AP50" s="109"/>
      <c r="AQ50" s="492">
        <v>25</v>
      </c>
      <c r="AR50" s="165">
        <f t="shared" si="47"/>
        <v>9330</v>
      </c>
      <c r="AS50" s="132">
        <f>[11]Summer!$AR50</f>
        <v>9880</v>
      </c>
      <c r="AT50" s="111">
        <f t="shared" si="46"/>
        <v>-550</v>
      </c>
      <c r="AU50" s="361">
        <f t="shared" si="48"/>
        <v>294</v>
      </c>
    </row>
    <row r="51" spans="1:47" ht="12.75" customHeight="1">
      <c r="A51" s="656">
        <f t="shared" si="42"/>
        <v>43320</v>
      </c>
      <c r="B51" s="361"/>
      <c r="C51" s="93"/>
      <c r="J51" s="662"/>
      <c r="K51" s="660"/>
      <c r="L51" s="660"/>
      <c r="M51" s="661">
        <f>SUM(AQ51:AR51)-'Monthly Peaks'!I571+'Monthly Peaks'!I491</f>
        <v>9625.8944126664192</v>
      </c>
      <c r="N51" s="663"/>
      <c r="T51" s="361">
        <f>M51-'Monthly Peaks'!I491-'Monthly Peaks'!I611</f>
        <v>8856.8944126664192</v>
      </c>
      <c r="U51" s="132">
        <f>[8]FCST!$BJ25</f>
        <v>1798940.8131978901</v>
      </c>
      <c r="V51" s="371">
        <f t="shared" si="43"/>
        <v>34851.042587319069</v>
      </c>
      <c r="W51" s="558">
        <f t="shared" si="44"/>
        <v>0.52049999999999996</v>
      </c>
      <c r="X51" s="371">
        <f>[8]FCST!$CT25</f>
        <v>66956.854154311382</v>
      </c>
      <c r="Y51" s="411">
        <f>[8]FCST!$CB25</f>
        <v>1594210.8131978901</v>
      </c>
      <c r="Z51" s="693">
        <f t="shared" si="38"/>
        <v>14092</v>
      </c>
      <c r="AA51" s="576">
        <f t="shared" si="33"/>
        <v>24781.218193508917</v>
      </c>
      <c r="AB51" s="628">
        <f t="shared" si="21"/>
        <v>1770723.7706105709</v>
      </c>
      <c r="AC51" s="116"/>
      <c r="AD51" s="116"/>
      <c r="AE51" s="116"/>
      <c r="AG51" s="456"/>
      <c r="AH51" s="629">
        <f>AR51-Jul!AM51</f>
        <v>280</v>
      </c>
      <c r="AI51" s="109">
        <v>2018</v>
      </c>
      <c r="AJ51" s="391"/>
      <c r="AK51" s="710">
        <f t="shared" si="45"/>
        <v>92.4</v>
      </c>
      <c r="AL51" s="676">
        <f t="shared" si="18"/>
        <v>1798940.8131978901</v>
      </c>
      <c r="AM51" s="264">
        <v>0</v>
      </c>
      <c r="AN51" s="299"/>
      <c r="AO51" s="109"/>
      <c r="AP51" s="109"/>
      <c r="AQ51" s="492">
        <v>25</v>
      </c>
      <c r="AR51" s="165">
        <f t="shared" si="47"/>
        <v>9494</v>
      </c>
      <c r="AS51" s="132">
        <f>[11]Summer!$AR51</f>
        <v>10080</v>
      </c>
      <c r="AT51" s="111">
        <f t="shared" si="46"/>
        <v>-586</v>
      </c>
      <c r="AU51" s="361">
        <f t="shared" si="48"/>
        <v>164</v>
      </c>
    </row>
    <row r="52" spans="1:47" ht="12.75" customHeight="1">
      <c r="A52" s="656">
        <f t="shared" si="42"/>
        <v>43685</v>
      </c>
      <c r="B52" s="361"/>
      <c r="C52" s="93"/>
      <c r="J52" s="662"/>
      <c r="K52" s="660"/>
      <c r="L52" s="660"/>
      <c r="M52" s="661">
        <f>SUM(AQ52:AR52)-'Monthly Peaks'!I572+'Monthly Peaks'!I492</f>
        <v>9806.0635202888661</v>
      </c>
      <c r="N52" s="663"/>
      <c r="T52" s="361">
        <f>M52-'Monthly Peaks'!I492-'Monthly Peaks'!I612</f>
        <v>8981.0635202888661</v>
      </c>
      <c r="U52" s="132">
        <f>[8]FCST!$BJ26</f>
        <v>1822680.16661799</v>
      </c>
      <c r="V52" s="371">
        <f t="shared" si="43"/>
        <v>35318.307327435883</v>
      </c>
      <c r="W52" s="558">
        <f t="shared" si="44"/>
        <v>0.52049999999999996</v>
      </c>
      <c r="X52" s="371">
        <f>[8]FCST!$CT26</f>
        <v>67854.576997955592</v>
      </c>
      <c r="Y52" s="411">
        <f>[8]FCST!$CB26</f>
        <v>1615585.16661799</v>
      </c>
      <c r="Z52" s="693">
        <f t="shared" si="38"/>
        <v>14162</v>
      </c>
      <c r="AA52" s="576">
        <f t="shared" si="33"/>
        <v>23272.088679983281</v>
      </c>
      <c r="AB52" s="628">
        <f t="shared" si="21"/>
        <v>1793995.8592905542</v>
      </c>
      <c r="AC52" s="116"/>
      <c r="AD52" s="116"/>
      <c r="AE52" s="116"/>
      <c r="AG52" s="456"/>
      <c r="AH52" s="629">
        <f>AR52-Jul!AM52</f>
        <v>288</v>
      </c>
      <c r="AI52" s="109">
        <v>2019</v>
      </c>
      <c r="AJ52" s="391"/>
      <c r="AK52" s="710">
        <f t="shared" si="45"/>
        <v>92.4</v>
      </c>
      <c r="AL52" s="676">
        <f t="shared" si="18"/>
        <v>1822680.16661799</v>
      </c>
      <c r="AM52" s="264">
        <v>0</v>
      </c>
      <c r="AN52" s="299"/>
      <c r="AO52" s="109"/>
      <c r="AP52" s="109"/>
      <c r="AQ52" s="492">
        <v>25</v>
      </c>
      <c r="AR52" s="165">
        <f t="shared" si="47"/>
        <v>9648</v>
      </c>
      <c r="AS52" s="132">
        <f>[11]Summer!$AR52</f>
        <v>10281</v>
      </c>
      <c r="AT52" s="111">
        <f t="shared" si="46"/>
        <v>-633</v>
      </c>
      <c r="AU52" s="361">
        <f t="shared" si="48"/>
        <v>154</v>
      </c>
    </row>
    <row r="53" spans="1:47" ht="12.75" customHeight="1">
      <c r="A53" s="656">
        <f t="shared" si="42"/>
        <v>44050</v>
      </c>
      <c r="B53" s="361"/>
      <c r="C53" s="93"/>
      <c r="J53" s="662"/>
      <c r="K53" s="660"/>
      <c r="L53" s="660"/>
      <c r="M53" s="661">
        <f>SUM(AQ53:AR53)-'Monthly Peaks'!I573+'Monthly Peaks'!I493</f>
        <v>9958.5205234677542</v>
      </c>
      <c r="N53" s="663"/>
      <c r="T53" s="361">
        <f>M53-'Monthly Peaks'!I493-'Monthly Peaks'!I613</f>
        <v>9102.5205234677542</v>
      </c>
      <c r="U53" s="132">
        <f>[8]FCST!$BJ27</f>
        <v>1846146.1840053899</v>
      </c>
      <c r="V53" s="371">
        <f t="shared" si="43"/>
        <v>35780.580413541829</v>
      </c>
      <c r="W53" s="558">
        <f t="shared" si="44"/>
        <v>0.52049999999999996</v>
      </c>
      <c r="X53" s="371">
        <f>[8]FCST!$CT27</f>
        <v>68742.709728226386</v>
      </c>
      <c r="Y53" s="411">
        <f>[8]FCST!$CB27</f>
        <v>1636731.1840053899</v>
      </c>
      <c r="Z53" s="693">
        <f t="shared" si="38"/>
        <v>14233</v>
      </c>
      <c r="AA53" s="576">
        <f t="shared" si="33"/>
        <v>23003.744301293977</v>
      </c>
      <c r="AB53" s="628">
        <f t="shared" si="21"/>
        <v>1816999.6035918482</v>
      </c>
      <c r="AC53" s="116"/>
      <c r="AD53" s="116"/>
      <c r="AE53" s="116"/>
      <c r="AG53" s="456"/>
      <c r="AH53" s="629">
        <f>AR53-Jul!AM53</f>
        <v>294</v>
      </c>
      <c r="AI53" s="109">
        <v>2020</v>
      </c>
      <c r="AJ53" s="391"/>
      <c r="AK53" s="710">
        <f t="shared" si="45"/>
        <v>92.4</v>
      </c>
      <c r="AL53" s="676">
        <f t="shared" si="18"/>
        <v>1846146.1840053899</v>
      </c>
      <c r="AM53" s="264">
        <v>0</v>
      </c>
      <c r="AN53" s="299"/>
      <c r="AO53" s="109"/>
      <c r="AP53" s="109"/>
      <c r="AQ53" s="492">
        <v>25</v>
      </c>
      <c r="AR53" s="165">
        <f t="shared" si="47"/>
        <v>9800</v>
      </c>
      <c r="AS53" s="132">
        <f>[11]Summer!$AR53</f>
        <v>10482</v>
      </c>
      <c r="AT53" s="111">
        <f t="shared" si="46"/>
        <v>-682</v>
      </c>
      <c r="AU53" s="361">
        <f t="shared" si="48"/>
        <v>152</v>
      </c>
    </row>
    <row r="54" spans="1:47" ht="12.75" customHeight="1">
      <c r="A54" s="656">
        <f t="shared" si="42"/>
        <v>44415</v>
      </c>
      <c r="B54" s="361"/>
      <c r="J54" s="662"/>
      <c r="K54" s="660"/>
      <c r="L54" s="660"/>
      <c r="M54" s="661"/>
      <c r="N54" s="663"/>
      <c r="U54" s="132">
        <f>[8]FCST!$BJ28</f>
        <v>1868686.13435066</v>
      </c>
      <c r="V54" s="371">
        <f t="shared" ref="V54:V63" si="49">W54*X54</f>
        <v>36225.013458039779</v>
      </c>
      <c r="W54" s="558">
        <f t="shared" si="44"/>
        <v>0.52049999999999996</v>
      </c>
      <c r="X54" s="371">
        <f>[8]FCST!$CT28</f>
        <v>69596.567642727721</v>
      </c>
      <c r="Y54" s="411">
        <f>[8]FCST!$CB28</f>
        <v>1657061.13435066</v>
      </c>
      <c r="Z54" s="693">
        <f t="shared" si="38"/>
        <v>14304</v>
      </c>
      <c r="AA54" s="576">
        <f t="shared" si="33"/>
        <v>22095.517300772015</v>
      </c>
      <c r="AB54" s="628">
        <f t="shared" si="21"/>
        <v>1839095.1208926202</v>
      </c>
      <c r="AH54" s="629">
        <f>AR54-Jul!AM54</f>
        <v>301</v>
      </c>
      <c r="AI54" s="109">
        <v>2021</v>
      </c>
      <c r="AJ54" s="391"/>
      <c r="AK54" s="710">
        <f t="shared" si="45"/>
        <v>92.4</v>
      </c>
      <c r="AL54" s="676">
        <f t="shared" si="18"/>
        <v>1868686.13435066</v>
      </c>
      <c r="AM54" s="264">
        <v>0</v>
      </c>
      <c r="AN54" s="299"/>
      <c r="AO54" s="109"/>
      <c r="AP54" s="109"/>
      <c r="AQ54" s="492">
        <v>25</v>
      </c>
      <c r="AR54" s="165">
        <f t="shared" si="47"/>
        <v>9946</v>
      </c>
      <c r="AS54" s="132">
        <f>[11]Summer!$AR54</f>
        <v>10679</v>
      </c>
      <c r="AT54" s="111">
        <f t="shared" ref="AT54:AT63" si="50">AR54-AS54</f>
        <v>-733</v>
      </c>
      <c r="AU54" s="361">
        <f t="shared" si="48"/>
        <v>146</v>
      </c>
    </row>
    <row r="55" spans="1:47" ht="12.75" customHeight="1">
      <c r="A55" s="656">
        <f t="shared" si="42"/>
        <v>44780</v>
      </c>
      <c r="B55" s="361"/>
      <c r="J55" s="662"/>
      <c r="K55" s="660"/>
      <c r="L55" s="660"/>
      <c r="M55" s="661"/>
      <c r="N55" s="663"/>
      <c r="U55" s="132">
        <f>[8]FCST!$BJ29</f>
        <v>1890719.5723928099</v>
      </c>
      <c r="V55" s="371">
        <f t="shared" si="49"/>
        <v>36659.750880079213</v>
      </c>
      <c r="W55" s="558">
        <f t="shared" si="44"/>
        <v>0.52049999999999996</v>
      </c>
      <c r="X55" s="371">
        <f>[8]FCST!$CT29</f>
        <v>70431.798040498019</v>
      </c>
      <c r="Y55" s="411">
        <f>[8]FCST!$CB29</f>
        <v>1676947.5723928099</v>
      </c>
      <c r="Z55" s="693">
        <f t="shared" si="38"/>
        <v>14376</v>
      </c>
      <c r="AA55" s="576">
        <f t="shared" si="33"/>
        <v>21598.700620110612</v>
      </c>
      <c r="AB55" s="628">
        <f t="shared" si="21"/>
        <v>1860693.8215127308</v>
      </c>
      <c r="AH55" s="629">
        <f>AR55-Jul!AM55</f>
        <v>307</v>
      </c>
      <c r="AI55" s="109">
        <v>2022</v>
      </c>
      <c r="AJ55" s="391"/>
      <c r="AK55" s="710">
        <f t="shared" si="45"/>
        <v>92.4</v>
      </c>
      <c r="AL55" s="676">
        <f t="shared" si="18"/>
        <v>1890719.5723928099</v>
      </c>
      <c r="AM55" s="264">
        <v>0</v>
      </c>
      <c r="AN55" s="299"/>
      <c r="AO55" s="109"/>
      <c r="AP55" s="109"/>
      <c r="AQ55" s="492">
        <v>25</v>
      </c>
      <c r="AR55" s="165">
        <f t="shared" si="47"/>
        <v>10089</v>
      </c>
      <c r="AS55" s="132">
        <f>[11]Summer!$AR55</f>
        <v>10872</v>
      </c>
      <c r="AT55" s="111">
        <f t="shared" si="50"/>
        <v>-783</v>
      </c>
      <c r="AU55" s="361">
        <f t="shared" si="48"/>
        <v>143</v>
      </c>
    </row>
    <row r="56" spans="1:47" ht="12.75" customHeight="1">
      <c r="A56" s="656">
        <f t="shared" si="42"/>
        <v>45145</v>
      </c>
      <c r="B56" s="361"/>
      <c r="J56" s="662"/>
      <c r="K56" s="660"/>
      <c r="L56" s="660"/>
      <c r="M56" s="661"/>
      <c r="N56" s="663"/>
      <c r="U56" s="132">
        <f>[8]FCST!$BJ30</f>
        <v>1911244.22223854</v>
      </c>
      <c r="V56" s="371">
        <f t="shared" si="49"/>
        <v>37065.264775356722</v>
      </c>
      <c r="W56" s="558">
        <f t="shared" si="44"/>
        <v>0.52049999999999996</v>
      </c>
      <c r="X56" s="371">
        <f>[8]FCST!$CT30</f>
        <v>71210.883334018683</v>
      </c>
      <c r="Y56" s="411">
        <f>[8]FCST!$CB30</f>
        <v>1695497.22223854</v>
      </c>
      <c r="Z56" s="693">
        <f t="shared" si="38"/>
        <v>14448</v>
      </c>
      <c r="AA56" s="576">
        <f t="shared" si="33"/>
        <v>20119.135950452415</v>
      </c>
      <c r="AB56" s="628">
        <f t="shared" si="21"/>
        <v>1880812.9574631832</v>
      </c>
      <c r="AH56" s="629">
        <f>AR56-Jul!AM56</f>
        <v>313</v>
      </c>
      <c r="AI56" s="109">
        <v>2023</v>
      </c>
      <c r="AJ56" s="264"/>
      <c r="AK56" s="710">
        <f t="shared" si="45"/>
        <v>92.4</v>
      </c>
      <c r="AL56" s="676">
        <f t="shared" si="18"/>
        <v>1911244.22223854</v>
      </c>
      <c r="AM56" s="264">
        <v>0</v>
      </c>
      <c r="AN56" s="299"/>
      <c r="AO56" s="109"/>
      <c r="AP56" s="109"/>
      <c r="AQ56" s="492">
        <v>25</v>
      </c>
      <c r="AR56" s="165">
        <f t="shared" si="47"/>
        <v>10222</v>
      </c>
      <c r="AS56" s="132">
        <f>[11]Summer!$AR56</f>
        <v>11064</v>
      </c>
      <c r="AT56" s="111">
        <f t="shared" si="50"/>
        <v>-842</v>
      </c>
      <c r="AU56" s="361">
        <f t="shared" si="48"/>
        <v>133</v>
      </c>
    </row>
    <row r="57" spans="1:47" ht="12.75" customHeight="1">
      <c r="A57" s="656">
        <f t="shared" si="42"/>
        <v>45510</v>
      </c>
      <c r="B57" s="361"/>
      <c r="J57" s="662"/>
      <c r="K57" s="660"/>
      <c r="L57" s="660"/>
      <c r="M57" s="661"/>
      <c r="N57" s="663"/>
      <c r="U57" s="132">
        <f>[8]FCST!$BJ31</f>
        <v>1931330.7370612801</v>
      </c>
      <c r="V57" s="371">
        <f t="shared" si="49"/>
        <v>37462.49039989664</v>
      </c>
      <c r="W57" s="558">
        <f t="shared" si="44"/>
        <v>0.52049999999999996</v>
      </c>
      <c r="X57" s="371">
        <f>[8]FCST!$CT31</f>
        <v>71974.044956573765</v>
      </c>
      <c r="Y57" s="411">
        <f>[8]FCST!$CB31</f>
        <v>1713667.7370612801</v>
      </c>
      <c r="Z57" s="693">
        <f t="shared" si="38"/>
        <v>14520</v>
      </c>
      <c r="AA57" s="576">
        <f t="shared" si="33"/>
        <v>19689.289198200218</v>
      </c>
      <c r="AB57" s="628">
        <f t="shared" si="21"/>
        <v>1900502.2466613834</v>
      </c>
      <c r="AH57" s="629">
        <f>AR57-Jul!AM57</f>
        <v>320</v>
      </c>
      <c r="AI57" s="109">
        <v>2024</v>
      </c>
      <c r="AJ57" s="264"/>
      <c r="AK57" s="710">
        <f t="shared" si="45"/>
        <v>92.4</v>
      </c>
      <c r="AL57" s="676">
        <f t="shared" si="18"/>
        <v>1931330.7370612801</v>
      </c>
      <c r="AM57" s="264">
        <v>0</v>
      </c>
      <c r="AN57" s="299"/>
      <c r="AO57" s="109"/>
      <c r="AP57" s="109"/>
      <c r="AQ57" s="492">
        <v>25</v>
      </c>
      <c r="AR57" s="165">
        <f t="shared" si="47"/>
        <v>10353</v>
      </c>
      <c r="AS57" s="132">
        <f>[11]Summer!$AR57</f>
        <v>11253</v>
      </c>
      <c r="AT57" s="111">
        <f t="shared" si="50"/>
        <v>-900</v>
      </c>
      <c r="AU57" s="361">
        <f t="shared" si="48"/>
        <v>131</v>
      </c>
    </row>
    <row r="58" spans="1:47" ht="12.75" customHeight="1">
      <c r="A58" s="656">
        <f t="shared" si="42"/>
        <v>45875</v>
      </c>
      <c r="B58" s="361"/>
      <c r="J58" s="662"/>
      <c r="K58" s="660"/>
      <c r="L58" s="660"/>
      <c r="M58" s="661"/>
      <c r="N58" s="663"/>
      <c r="U58" s="132">
        <f>[8]FCST!$BJ32</f>
        <v>1950434.74049714</v>
      </c>
      <c r="V58" s="371">
        <f t="shared" si="49"/>
        <v>37840.642053007978</v>
      </c>
      <c r="W58" s="558">
        <f t="shared" si="44"/>
        <v>0.52049999999999996</v>
      </c>
      <c r="X58" s="371">
        <f>[8]FCST!$CT32</f>
        <v>72700.561100879888</v>
      </c>
      <c r="Y58" s="411">
        <f>[8]FCST!$CB32</f>
        <v>1730965.74049714</v>
      </c>
      <c r="Z58" s="693">
        <f t="shared" si="38"/>
        <v>14593</v>
      </c>
      <c r="AA58" s="576">
        <f t="shared" si="33"/>
        <v>18725.851782748476</v>
      </c>
      <c r="AB58" s="628">
        <f t="shared" si="21"/>
        <v>1919228.0984441319</v>
      </c>
      <c r="AC58" s="767"/>
      <c r="AE58" s="116"/>
      <c r="AH58" s="629">
        <f>AR58-Jul!AM58</f>
        <v>325</v>
      </c>
      <c r="AI58" s="109">
        <v>2025</v>
      </c>
      <c r="AJ58" s="264"/>
      <c r="AK58" s="710">
        <f t="shared" si="45"/>
        <v>92.4</v>
      </c>
      <c r="AL58" s="676">
        <f t="shared" si="18"/>
        <v>1950434.74049714</v>
      </c>
      <c r="AM58" s="264">
        <v>0</v>
      </c>
      <c r="AN58" s="299"/>
      <c r="AO58" s="109"/>
      <c r="AP58" s="109"/>
      <c r="AQ58" s="492">
        <v>25</v>
      </c>
      <c r="AR58" s="165">
        <f t="shared" si="47"/>
        <v>10477</v>
      </c>
      <c r="AS58" s="132">
        <f>[11]Summer!$AR58</f>
        <v>11440</v>
      </c>
      <c r="AT58" s="111">
        <f t="shared" si="50"/>
        <v>-963</v>
      </c>
      <c r="AU58" s="361">
        <f t="shared" si="48"/>
        <v>124</v>
      </c>
    </row>
    <row r="59" spans="1:47" ht="12.75" customHeight="1">
      <c r="A59" s="656">
        <f t="shared" si="42"/>
        <v>46240</v>
      </c>
      <c r="B59" s="361"/>
      <c r="J59" s="662"/>
      <c r="K59" s="660"/>
      <c r="L59" s="660"/>
      <c r="M59" s="661"/>
      <c r="N59" s="663"/>
      <c r="U59" s="132">
        <f>[8]FCST!$BJ33</f>
        <v>1968600.9161276601</v>
      </c>
      <c r="V59" s="371">
        <f t="shared" si="49"/>
        <v>38200.740284466781</v>
      </c>
      <c r="W59" s="558">
        <f t="shared" si="44"/>
        <v>0.52049999999999996</v>
      </c>
      <c r="X59" s="371">
        <f>[8]FCST!$CT33</f>
        <v>73392.392477361733</v>
      </c>
      <c r="Y59" s="411">
        <f>[8]FCST!$CB33</f>
        <v>1747437.9161276601</v>
      </c>
      <c r="Z59" s="693">
        <f t="shared" si="38"/>
        <v>14666</v>
      </c>
      <c r="AA59" s="576">
        <f>AB59-AB58</f>
        <v>17806.077399061294</v>
      </c>
      <c r="AB59" s="628">
        <f>U59-V59+W$31</f>
        <v>1937034.1758431932</v>
      </c>
      <c r="AC59" s="772"/>
      <c r="AD59" s="302"/>
      <c r="AE59" s="116"/>
      <c r="AH59" s="629">
        <f>AR59-Jul!AM59</f>
        <v>330</v>
      </c>
      <c r="AI59" s="109">
        <v>2026</v>
      </c>
      <c r="AJ59" s="264"/>
      <c r="AK59" s="710">
        <f t="shared" si="45"/>
        <v>92.4</v>
      </c>
      <c r="AL59" s="676">
        <f t="shared" si="18"/>
        <v>1968600.9161276601</v>
      </c>
      <c r="AM59" s="264">
        <v>0</v>
      </c>
      <c r="AN59" s="299"/>
      <c r="AO59" s="109"/>
      <c r="AP59" s="109"/>
      <c r="AQ59" s="492">
        <v>25</v>
      </c>
      <c r="AR59" s="165">
        <f t="shared" si="47"/>
        <v>10594</v>
      </c>
      <c r="AS59" s="132">
        <f>[11]Summer!$AR59</f>
        <v>11627</v>
      </c>
      <c r="AT59" s="111">
        <f t="shared" si="50"/>
        <v>-1033</v>
      </c>
      <c r="AU59" s="361">
        <f>AR59-AR58</f>
        <v>117</v>
      </c>
    </row>
    <row r="60" spans="1:47" ht="12.75" customHeight="1">
      <c r="A60" s="656">
        <f t="shared" si="42"/>
        <v>46605</v>
      </c>
      <c r="B60" s="361"/>
      <c r="J60" s="662"/>
      <c r="K60" s="660"/>
      <c r="L60" s="660"/>
      <c r="M60" s="661"/>
      <c r="N60" s="663"/>
      <c r="U60" s="132">
        <f>[8]FCST!$BJ34</f>
        <v>1986398.7384523801</v>
      </c>
      <c r="V60" s="371">
        <f t="shared" si="49"/>
        <v>38553.900855307482</v>
      </c>
      <c r="W60" s="558">
        <f t="shared" si="44"/>
        <v>0.52049999999999996</v>
      </c>
      <c r="X60" s="371">
        <f>[8]FCST!$CT34</f>
        <v>74070.895014999973</v>
      </c>
      <c r="Y60" s="411">
        <f>[8]FCST!$CB34</f>
        <v>1763592.7384523801</v>
      </c>
      <c r="Z60" s="693">
        <f t="shared" si="38"/>
        <v>14739</v>
      </c>
      <c r="AA60" s="576">
        <f>AB60-AB59</f>
        <v>17444.661753879394</v>
      </c>
      <c r="AB60" s="628">
        <f>U60-V60+W$31</f>
        <v>1954478.8375970726</v>
      </c>
      <c r="AC60" s="772"/>
      <c r="AD60" s="302"/>
      <c r="AE60" s="116"/>
      <c r="AH60" s="629">
        <f>AR60-Jul!AM60</f>
        <v>336</v>
      </c>
      <c r="AI60" s="109">
        <v>2027</v>
      </c>
      <c r="AJ60" s="264"/>
      <c r="AK60" s="710">
        <f t="shared" si="45"/>
        <v>92.4</v>
      </c>
      <c r="AL60" s="676">
        <f t="shared" si="18"/>
        <v>1986398.7384523801</v>
      </c>
      <c r="AM60" s="264">
        <v>0</v>
      </c>
      <c r="AN60" s="299"/>
      <c r="AO60" s="109"/>
      <c r="AP60" s="109"/>
      <c r="AQ60" s="492">
        <v>25</v>
      </c>
      <c r="AR60" s="165">
        <f t="shared" si="47"/>
        <v>10710</v>
      </c>
      <c r="AS60" s="132">
        <f>[11]Summer!$AR60</f>
        <v>11811</v>
      </c>
      <c r="AT60" s="111">
        <f t="shared" si="50"/>
        <v>-1101</v>
      </c>
      <c r="AU60" s="361">
        <f>AR60-AR59</f>
        <v>116</v>
      </c>
    </row>
    <row r="61" spans="1:47" ht="12.75" customHeight="1">
      <c r="A61" s="656">
        <f>A60+366</f>
        <v>46971</v>
      </c>
      <c r="B61" s="361"/>
      <c r="J61" s="662"/>
      <c r="K61" s="660"/>
      <c r="L61" s="660"/>
      <c r="M61" s="661"/>
      <c r="N61" s="663"/>
      <c r="U61" s="132">
        <f>[8]FCST!$BJ35</f>
        <v>2003822.6766820999</v>
      </c>
      <c r="V61" s="371">
        <f t="shared" si="49"/>
        <v>38899.959134947385</v>
      </c>
      <c r="W61" s="558">
        <f t="shared" si="44"/>
        <v>0.52049999999999996</v>
      </c>
      <c r="X61" s="371">
        <f>[8]FCST!$CT35</f>
        <v>74735.752420648205</v>
      </c>
      <c r="Y61" s="411">
        <f>[8]FCST!$CB35</f>
        <v>1779422.6766820999</v>
      </c>
      <c r="Z61" s="693">
        <f t="shared" si="38"/>
        <v>14813</v>
      </c>
      <c r="AA61" s="576">
        <f>AB61-AB60</f>
        <v>17077.879950080067</v>
      </c>
      <c r="AB61" s="628">
        <f>U61-V61+W$31</f>
        <v>1971556.7175471527</v>
      </c>
      <c r="AC61" s="772"/>
      <c r="AD61" s="302"/>
      <c r="AE61" s="116"/>
      <c r="AH61" s="629">
        <f>AR61-Jul!AM61</f>
        <v>341</v>
      </c>
      <c r="AI61" s="109">
        <v>2028</v>
      </c>
      <c r="AJ61" s="264"/>
      <c r="AK61" s="710">
        <f t="shared" si="45"/>
        <v>92.4</v>
      </c>
      <c r="AL61" s="676">
        <f t="shared" si="18"/>
        <v>2003822.6766820999</v>
      </c>
      <c r="AM61" s="264">
        <v>0</v>
      </c>
      <c r="AN61" s="299"/>
      <c r="AO61" s="109"/>
      <c r="AP61" s="109"/>
      <c r="AQ61" s="492">
        <v>25</v>
      </c>
      <c r="AR61" s="165">
        <f t="shared" si="47"/>
        <v>10823</v>
      </c>
      <c r="AS61" s="132">
        <f>[11]Summer!$AR61</f>
        <v>11995</v>
      </c>
      <c r="AT61" s="111">
        <f t="shared" si="50"/>
        <v>-1172</v>
      </c>
      <c r="AU61" s="361">
        <f>AR61-AR60</f>
        <v>113</v>
      </c>
    </row>
    <row r="62" spans="1:47" ht="12.75" customHeight="1">
      <c r="A62" s="656">
        <f t="shared" si="42"/>
        <v>47336</v>
      </c>
      <c r="B62" s="361"/>
      <c r="J62" s="662"/>
      <c r="K62" s="660"/>
      <c r="L62" s="660"/>
      <c r="M62" s="661"/>
      <c r="N62" s="663"/>
      <c r="U62" s="132">
        <f>[8]FCST!$BJ36</f>
        <v>2020813.6413797899</v>
      </c>
      <c r="V62" s="371">
        <f t="shared" si="49"/>
        <v>39237.645230203583</v>
      </c>
      <c r="W62" s="558">
        <f t="shared" si="44"/>
        <v>0.52049999999999996</v>
      </c>
      <c r="X62" s="371">
        <f>[8]FCST!$CT36</f>
        <v>75384.524937951181</v>
      </c>
      <c r="Y62" s="411">
        <f>[8]FCST!$CB36</f>
        <v>1794869.6413797899</v>
      </c>
      <c r="Z62" s="693">
        <f t="shared" si="38"/>
        <v>14887</v>
      </c>
      <c r="AA62" s="576">
        <f>AB62-AB61</f>
        <v>16653.278602433624</v>
      </c>
      <c r="AB62" s="628">
        <f>U62-V62+W$31</f>
        <v>1988209.9961495863</v>
      </c>
      <c r="AC62" s="772"/>
      <c r="AD62" s="302"/>
      <c r="AE62" s="116"/>
      <c r="AH62" s="629">
        <f>AR62-Jul!AM62</f>
        <v>346</v>
      </c>
      <c r="AI62" s="109">
        <v>2029</v>
      </c>
      <c r="AJ62" s="264"/>
      <c r="AK62" s="710">
        <f t="shared" si="45"/>
        <v>92.4</v>
      </c>
      <c r="AL62" s="676">
        <f t="shared" si="18"/>
        <v>2020813.6413797899</v>
      </c>
      <c r="AM62" s="264">
        <v>0</v>
      </c>
      <c r="AN62" s="299"/>
      <c r="AO62" s="109"/>
      <c r="AP62" s="109"/>
      <c r="AQ62" s="492">
        <v>25</v>
      </c>
      <c r="AR62" s="165">
        <f t="shared" si="47"/>
        <v>10933</v>
      </c>
      <c r="AS62" s="132">
        <f>[11]Summer!$AR62</f>
        <v>12176</v>
      </c>
      <c r="AT62" s="111">
        <f t="shared" si="50"/>
        <v>-1243</v>
      </c>
      <c r="AU62" s="361">
        <f>AR62-AR61</f>
        <v>110</v>
      </c>
    </row>
    <row r="63" spans="1:47" ht="12.75" customHeight="1">
      <c r="A63" s="656">
        <f t="shared" si="42"/>
        <v>47701</v>
      </c>
      <c r="B63" s="361"/>
      <c r="J63" s="662"/>
      <c r="K63" s="660"/>
      <c r="L63" s="660"/>
      <c r="M63" s="661"/>
      <c r="N63" s="663"/>
      <c r="U63" s="132">
        <f>[8]FCST!$BJ37</f>
        <v>2036800.09557905</v>
      </c>
      <c r="V63" s="371">
        <f t="shared" si="49"/>
        <v>39555.885736453616</v>
      </c>
      <c r="W63" s="558">
        <f t="shared" si="44"/>
        <v>0.52049999999999996</v>
      </c>
      <c r="X63" s="371">
        <f>[8]FCST!$CT37</f>
        <v>75995.938014320112</v>
      </c>
      <c r="Y63" s="411">
        <f>[8]FCST!$CB37</f>
        <v>1809427.09557905</v>
      </c>
      <c r="Z63" s="693">
        <f t="shared" si="38"/>
        <v>14961</v>
      </c>
      <c r="AA63" s="576">
        <f>AB63-AB62</f>
        <v>15668.213693010155</v>
      </c>
      <c r="AB63" s="628">
        <f>U63-V63+W$31</f>
        <v>2003878.2098425964</v>
      </c>
      <c r="AE63" s="116"/>
      <c r="AH63" s="629">
        <f>AR63-Jul!AM63</f>
        <v>351</v>
      </c>
      <c r="AI63" s="109">
        <v>2030</v>
      </c>
      <c r="AJ63" s="264"/>
      <c r="AK63" s="710">
        <f t="shared" si="45"/>
        <v>92.4</v>
      </c>
      <c r="AL63" s="676">
        <f t="shared" si="18"/>
        <v>2036800.09557905</v>
      </c>
      <c r="AM63" s="264">
        <v>0</v>
      </c>
      <c r="AN63" s="299"/>
      <c r="AO63" s="109"/>
      <c r="AP63" s="109"/>
      <c r="AQ63" s="492">
        <v>25</v>
      </c>
      <c r="AR63" s="165">
        <f t="shared" si="47"/>
        <v>11037</v>
      </c>
      <c r="AS63" s="132">
        <f>[11]Summer!$AR63</f>
        <v>12356</v>
      </c>
      <c r="AT63" s="111">
        <f t="shared" si="50"/>
        <v>-1319</v>
      </c>
      <c r="AU63" s="361">
        <f>AR63-AR62</f>
        <v>104</v>
      </c>
    </row>
    <row r="64" spans="1:47" ht="12.75" customHeight="1">
      <c r="A64" s="656">
        <f t="shared" si="42"/>
        <v>48066</v>
      </c>
      <c r="U64" s="132">
        <f>[8]FCST!$BJ38</f>
        <v>2052375.8974512301</v>
      </c>
      <c r="V64" s="371">
        <f t="shared" ref="V64:V73" si="51">W64*X64</f>
        <v>39866.329466181342</v>
      </c>
      <c r="W64" s="558">
        <f t="shared" si="44"/>
        <v>0.52049999999999996</v>
      </c>
      <c r="X64" s="371">
        <f>[8]FCST!$CT38</f>
        <v>76592.371692951667</v>
      </c>
      <c r="Y64" s="411">
        <f>[8]FCST!$CB38</f>
        <v>1823627.8974512301</v>
      </c>
      <c r="AA64" s="576">
        <f t="shared" ref="AA64:AA73" si="52">AB64-AB63</f>
        <v>15265.358142452314</v>
      </c>
      <c r="AB64" s="628">
        <f t="shared" ref="AB64:AB73" si="53">U64-V64+W$31</f>
        <v>2019143.5679850488</v>
      </c>
      <c r="AH64" s="629">
        <f>AR64-Jul!AM64</f>
        <v>355</v>
      </c>
      <c r="AI64" s="109">
        <v>2031</v>
      </c>
      <c r="AJ64" s="117"/>
      <c r="AK64" s="710">
        <f t="shared" ref="AK64:AK73" si="54">$AC$74</f>
        <v>92.4</v>
      </c>
      <c r="AL64" s="676">
        <f t="shared" si="18"/>
        <v>2052375.8974512301</v>
      </c>
      <c r="AM64" s="264">
        <v>0</v>
      </c>
      <c r="AN64" s="299"/>
      <c r="AO64" s="109"/>
      <c r="AP64" s="109"/>
      <c r="AQ64" s="492">
        <v>25</v>
      </c>
      <c r="AR64" s="165">
        <f t="shared" ref="AR64:AR73" si="55">ROUND($BB$13+$BA$13*$AK64+$AZ$13*$AL64+$AY$13*$AM64+$AX$13*$AN64,0)-AQ64</f>
        <v>11138</v>
      </c>
      <c r="AS64" s="491"/>
      <c r="AT64" s="299"/>
      <c r="AU64" s="361">
        <f t="shared" ref="AU64:AU73" si="56">AR64-AR63</f>
        <v>101</v>
      </c>
    </row>
    <row r="65" spans="1:47" ht="12.75" customHeight="1">
      <c r="A65" s="656">
        <f>A64+366</f>
        <v>48432</v>
      </c>
      <c r="U65" s="132">
        <f>[8]FCST!$BJ39</f>
        <v>2067549.60369515</v>
      </c>
      <c r="V65" s="371">
        <f t="shared" si="51"/>
        <v>40169.09789437968</v>
      </c>
      <c r="W65" s="558">
        <f t="shared" si="44"/>
        <v>0.52049999999999996</v>
      </c>
      <c r="X65" s="371">
        <f>[8]FCST!$CT39</f>
        <v>77174.05935519631</v>
      </c>
      <c r="Y65" s="411">
        <f>[8]FCST!$CB39</f>
        <v>1837477.60369515</v>
      </c>
      <c r="AA65" s="576">
        <f t="shared" si="52"/>
        <v>14870.937815721612</v>
      </c>
      <c r="AB65" s="628">
        <f t="shared" si="53"/>
        <v>2034014.5058007704</v>
      </c>
      <c r="AH65" s="629">
        <f>AR65-Jul!AM65</f>
        <v>360</v>
      </c>
      <c r="AI65" s="109">
        <v>2032</v>
      </c>
      <c r="AK65" s="710">
        <f t="shared" si="54"/>
        <v>92.4</v>
      </c>
      <c r="AL65" s="676">
        <f t="shared" si="18"/>
        <v>2067549.60369515</v>
      </c>
      <c r="AM65" s="264">
        <v>0</v>
      </c>
      <c r="AN65" s="299"/>
      <c r="AO65" s="109"/>
      <c r="AP65" s="109"/>
      <c r="AQ65" s="492">
        <v>25</v>
      </c>
      <c r="AR65" s="165">
        <f t="shared" si="55"/>
        <v>11236</v>
      </c>
      <c r="AU65" s="361">
        <f t="shared" si="56"/>
        <v>98</v>
      </c>
    </row>
    <row r="66" spans="1:47" ht="12.75" customHeight="1">
      <c r="A66" s="656">
        <f t="shared" si="42"/>
        <v>48797</v>
      </c>
      <c r="U66" s="132">
        <f>[8]FCST!$BJ40</f>
        <v>2082328.9514885701</v>
      </c>
      <c r="V66" s="371">
        <f t="shared" si="51"/>
        <v>40464.382024491628</v>
      </c>
      <c r="W66" s="558">
        <f t="shared" si="44"/>
        <v>0.52049999999999996</v>
      </c>
      <c r="X66" s="371">
        <f>[8]FCST!$CT40</f>
        <v>77741.367962519944</v>
      </c>
      <c r="Y66" s="411">
        <f>[8]FCST!$CB40</f>
        <v>1850984.9514885701</v>
      </c>
      <c r="AA66" s="576">
        <f t="shared" si="52"/>
        <v>14484.063663308043</v>
      </c>
      <c r="AB66" s="628">
        <f t="shared" si="53"/>
        <v>2048498.5694640784</v>
      </c>
      <c r="AH66" s="629">
        <f>AR66-Jul!AM66</f>
        <v>364</v>
      </c>
      <c r="AI66" s="109">
        <v>2033</v>
      </c>
      <c r="AK66" s="710">
        <f t="shared" si="54"/>
        <v>92.4</v>
      </c>
      <c r="AL66" s="676">
        <f t="shared" si="18"/>
        <v>2082328.9514885701</v>
      </c>
      <c r="AM66" s="264">
        <v>0</v>
      </c>
      <c r="AN66" s="299"/>
      <c r="AO66" s="109"/>
      <c r="AP66" s="109"/>
      <c r="AQ66" s="492">
        <v>25</v>
      </c>
      <c r="AR66" s="165">
        <f t="shared" si="55"/>
        <v>11332</v>
      </c>
      <c r="AU66" s="361">
        <f t="shared" si="56"/>
        <v>96</v>
      </c>
    </row>
    <row r="67" spans="1:47" ht="12.75" customHeight="1">
      <c r="A67" s="656">
        <f t="shared" si="42"/>
        <v>49162</v>
      </c>
      <c r="U67" s="132">
        <f>[8]FCST!$BJ41</f>
        <v>2096728.27587971</v>
      </c>
      <c r="V67" s="371">
        <f t="shared" si="51"/>
        <v>40752.36406900634</v>
      </c>
      <c r="W67" s="558">
        <f t="shared" si="44"/>
        <v>0.52049999999999996</v>
      </c>
      <c r="X67" s="371">
        <f>[8]FCST!$CT41</f>
        <v>78294.647586947831</v>
      </c>
      <c r="Y67" s="411">
        <f>[8]FCST!$CB41</f>
        <v>1864158.27587971</v>
      </c>
      <c r="AA67" s="576">
        <f t="shared" si="52"/>
        <v>14111.34234662517</v>
      </c>
      <c r="AB67" s="628">
        <f t="shared" si="53"/>
        <v>2062609.9118107036</v>
      </c>
      <c r="AH67" s="629">
        <f>AR67-Jul!AM67</f>
        <v>369</v>
      </c>
      <c r="AI67" s="109">
        <v>2034</v>
      </c>
      <c r="AK67" s="710">
        <f t="shared" si="54"/>
        <v>92.4</v>
      </c>
      <c r="AL67" s="676">
        <f t="shared" si="18"/>
        <v>2096728.27587971</v>
      </c>
      <c r="AM67" s="264">
        <v>0</v>
      </c>
      <c r="AN67" s="299"/>
      <c r="AO67" s="109"/>
      <c r="AP67" s="109"/>
      <c r="AQ67" s="492">
        <v>25</v>
      </c>
      <c r="AR67" s="165">
        <f t="shared" si="55"/>
        <v>11426</v>
      </c>
      <c r="AU67" s="361">
        <f t="shared" si="56"/>
        <v>94</v>
      </c>
    </row>
    <row r="68" spans="1:47" ht="12.75" customHeight="1">
      <c r="A68" s="656">
        <f t="shared" si="42"/>
        <v>49527</v>
      </c>
      <c r="U68" s="132">
        <f>[8]FCST!$BJ42</f>
        <v>2110751.6796186203</v>
      </c>
      <c r="V68" s="371">
        <f t="shared" si="51"/>
        <v>41033.243023142655</v>
      </c>
      <c r="W68" s="558">
        <f t="shared" si="44"/>
        <v>0.52049999999999996</v>
      </c>
      <c r="X68" s="371">
        <f>[8]FCST!$CT42</f>
        <v>78834.280543982051</v>
      </c>
      <c r="Y68" s="411">
        <f>[8]FCST!$CB42</f>
        <v>1877006.6796186201</v>
      </c>
      <c r="AA68" s="576">
        <f t="shared" si="52"/>
        <v>13742.524784774054</v>
      </c>
      <c r="AB68" s="628">
        <f t="shared" si="53"/>
        <v>2076352.4365954776</v>
      </c>
      <c r="AH68" s="629">
        <f>AR68-Jul!AM68</f>
        <v>373</v>
      </c>
      <c r="AI68" s="109">
        <v>2035</v>
      </c>
      <c r="AK68" s="710">
        <f t="shared" si="54"/>
        <v>92.4</v>
      </c>
      <c r="AL68" s="676">
        <f t="shared" si="18"/>
        <v>2110751.6796186203</v>
      </c>
      <c r="AM68" s="264">
        <v>0</v>
      </c>
      <c r="AN68" s="299"/>
      <c r="AO68" s="109"/>
      <c r="AP68" s="109"/>
      <c r="AQ68" s="492">
        <v>25</v>
      </c>
      <c r="AR68" s="165">
        <f t="shared" si="55"/>
        <v>11517</v>
      </c>
      <c r="AU68" s="361">
        <f t="shared" si="56"/>
        <v>91</v>
      </c>
    </row>
    <row r="69" spans="1:47" ht="12.75" customHeight="1">
      <c r="A69" s="656">
        <f>A68+366</f>
        <v>49893</v>
      </c>
      <c r="U69" s="132">
        <f>[8]FCST!$BJ43</f>
        <v>2124535.3217029301</v>
      </c>
      <c r="V69" s="371">
        <f t="shared" si="51"/>
        <v>41309.776848747752</v>
      </c>
      <c r="W69" s="558">
        <f t="shared" si="44"/>
        <v>0.52049999999999996</v>
      </c>
      <c r="X69" s="371">
        <f>[8]FCST!$CT43</f>
        <v>79365.565511523062</v>
      </c>
      <c r="Y69" s="411">
        <f>[8]FCST!$CB43</f>
        <v>1889656.3217029299</v>
      </c>
      <c r="AA69" s="576">
        <f t="shared" si="52"/>
        <v>13507.108258704655</v>
      </c>
      <c r="AB69" s="628">
        <f t="shared" si="53"/>
        <v>2089859.5448541823</v>
      </c>
      <c r="AH69" s="629">
        <f>AR69-Jul!AM69</f>
        <v>378</v>
      </c>
      <c r="AI69" s="109">
        <v>2036</v>
      </c>
      <c r="AK69" s="710">
        <f t="shared" si="54"/>
        <v>92.4</v>
      </c>
      <c r="AL69" s="676">
        <f t="shared" si="18"/>
        <v>2124535.3217029301</v>
      </c>
      <c r="AM69" s="264">
        <v>0</v>
      </c>
      <c r="AN69" s="299"/>
      <c r="AO69" s="109"/>
      <c r="AP69" s="109"/>
      <c r="AQ69" s="492">
        <v>25</v>
      </c>
      <c r="AR69" s="165">
        <f t="shared" si="55"/>
        <v>11606</v>
      </c>
      <c r="AU69" s="361">
        <f t="shared" si="56"/>
        <v>89</v>
      </c>
    </row>
    <row r="70" spans="1:47" ht="12.75" customHeight="1">
      <c r="A70" s="656">
        <f t="shared" si="42"/>
        <v>50258</v>
      </c>
      <c r="U70" s="132">
        <f>[8]FCST!$BJ44</f>
        <v>2139382.5734818298</v>
      </c>
      <c r="V70" s="371">
        <f t="shared" si="51"/>
        <v>41607.441728886282</v>
      </c>
      <c r="W70" s="558">
        <f t="shared" si="44"/>
        <v>0.52049999999999996</v>
      </c>
      <c r="X70" s="371">
        <f>[8]FCST!$CT44</f>
        <v>79937.448086236865</v>
      </c>
      <c r="Y70" s="411">
        <f>[8]FCST!$CB44</f>
        <v>1903272.5734818301</v>
      </c>
      <c r="AA70" s="576">
        <f t="shared" si="52"/>
        <v>14549.586898761336</v>
      </c>
      <c r="AB70" s="628">
        <f t="shared" si="53"/>
        <v>2104409.1317529436</v>
      </c>
      <c r="AH70" s="629">
        <f>AR70-Jul!AM70</f>
        <v>382</v>
      </c>
      <c r="AI70" s="109">
        <v>2037</v>
      </c>
      <c r="AK70" s="710">
        <f t="shared" si="54"/>
        <v>92.4</v>
      </c>
      <c r="AL70" s="676">
        <f t="shared" si="18"/>
        <v>2139382.5734818298</v>
      </c>
      <c r="AM70" s="264">
        <v>0</v>
      </c>
      <c r="AN70" s="299"/>
      <c r="AO70" s="109"/>
      <c r="AP70" s="109"/>
      <c r="AQ70" s="492">
        <v>25</v>
      </c>
      <c r="AR70" s="165">
        <f t="shared" si="55"/>
        <v>11702</v>
      </c>
      <c r="AU70" s="361">
        <f t="shared" si="56"/>
        <v>96</v>
      </c>
    </row>
    <row r="71" spans="1:47" ht="12.75" customHeight="1">
      <c r="A71" s="656">
        <f t="shared" si="42"/>
        <v>50623</v>
      </c>
      <c r="U71" s="132">
        <f>[8]FCST!$BJ45</f>
        <v>2154637.4706661701</v>
      </c>
      <c r="V71" s="371">
        <f t="shared" si="51"/>
        <v>41913.099983233136</v>
      </c>
      <c r="W71" s="558">
        <f t="shared" si="44"/>
        <v>0.52049999999999996</v>
      </c>
      <c r="X71" s="371">
        <f>[8]FCST!$CT45</f>
        <v>80524.687767979136</v>
      </c>
      <c r="Y71" s="411">
        <f>[8]FCST!$CB45</f>
        <v>1917254.4706661699</v>
      </c>
      <c r="AA71" s="576">
        <f t="shared" si="52"/>
        <v>14949.238929993473</v>
      </c>
      <c r="AB71" s="628">
        <f t="shared" si="53"/>
        <v>2119358.3706829371</v>
      </c>
      <c r="AH71" s="629">
        <f>AR71-Jul!AM71</f>
        <v>387</v>
      </c>
      <c r="AI71" s="109">
        <v>2038</v>
      </c>
      <c r="AK71" s="710">
        <f t="shared" si="54"/>
        <v>92.4</v>
      </c>
      <c r="AL71" s="676">
        <f t="shared" si="18"/>
        <v>2154637.4706661701</v>
      </c>
      <c r="AM71" s="264">
        <v>0</v>
      </c>
      <c r="AN71" s="299"/>
      <c r="AO71" s="109"/>
      <c r="AP71" s="109"/>
      <c r="AQ71" s="492">
        <v>25</v>
      </c>
      <c r="AR71" s="165">
        <f t="shared" si="55"/>
        <v>11801</v>
      </c>
      <c r="AU71" s="361">
        <f t="shared" si="56"/>
        <v>99</v>
      </c>
    </row>
    <row r="72" spans="1:47" ht="12.75" customHeight="1">
      <c r="A72" s="656">
        <f t="shared" si="42"/>
        <v>50988</v>
      </c>
      <c r="U72" s="132">
        <f>[8]FCST!$BJ46</f>
        <v>2169169.0999256503</v>
      </c>
      <c r="V72" s="371">
        <f t="shared" si="51"/>
        <v>42204.892506474629</v>
      </c>
      <c r="W72" s="558">
        <f t="shared" si="44"/>
        <v>0.52049999999999996</v>
      </c>
      <c r="X72" s="371">
        <f>[8]FCST!$CT46</f>
        <v>81085.2881968773</v>
      </c>
      <c r="Y72" s="411">
        <f>[8]FCST!$CB46</f>
        <v>1930602.0999256501</v>
      </c>
      <c r="AA72" s="576">
        <f t="shared" si="52"/>
        <v>14239.836736238562</v>
      </c>
      <c r="AB72" s="628">
        <f t="shared" si="53"/>
        <v>2133598.2074191757</v>
      </c>
      <c r="AH72" s="629">
        <f>AR72-Jul!AM72</f>
        <v>392</v>
      </c>
      <c r="AI72" s="109">
        <v>2039</v>
      </c>
      <c r="AK72" s="710">
        <f t="shared" si="54"/>
        <v>92.4</v>
      </c>
      <c r="AL72" s="676">
        <f t="shared" si="18"/>
        <v>2169169.0999256503</v>
      </c>
      <c r="AM72" s="264">
        <v>0</v>
      </c>
      <c r="AN72" s="299"/>
      <c r="AO72" s="109"/>
      <c r="AP72" s="109"/>
      <c r="AQ72" s="492">
        <v>25</v>
      </c>
      <c r="AR72" s="165">
        <f t="shared" si="55"/>
        <v>11896</v>
      </c>
      <c r="AU72" s="361">
        <f t="shared" si="56"/>
        <v>95</v>
      </c>
    </row>
    <row r="73" spans="1:47" ht="12.75" customHeight="1">
      <c r="A73" s="656">
        <f>A72+366</f>
        <v>51354</v>
      </c>
      <c r="U73" s="132">
        <f>[8]FCST!$BJ47</f>
        <v>2183699.7291851304</v>
      </c>
      <c r="V73" s="371">
        <f t="shared" si="51"/>
        <v>42496.685029716129</v>
      </c>
      <c r="W73" s="558">
        <f t="shared" si="44"/>
        <v>0.52049999999999996</v>
      </c>
      <c r="X73" s="371">
        <f>[8]FCST!$CT47</f>
        <v>81645.888625775464</v>
      </c>
      <c r="Y73" s="411">
        <f>[8]FCST!$CB47</f>
        <v>1943949.7291851302</v>
      </c>
      <c r="AA73" s="576">
        <f t="shared" si="52"/>
        <v>14238.836736238562</v>
      </c>
      <c r="AB73" s="628">
        <f t="shared" si="53"/>
        <v>2147837.0441554142</v>
      </c>
      <c r="AH73" s="629">
        <f>AR73-Jul!AM73</f>
        <v>393</v>
      </c>
      <c r="AI73" s="109">
        <v>2040</v>
      </c>
      <c r="AK73" s="710">
        <f t="shared" si="54"/>
        <v>92.4</v>
      </c>
      <c r="AL73" s="676">
        <f t="shared" si="18"/>
        <v>2183699.7291851304</v>
      </c>
      <c r="AM73" s="264">
        <v>0</v>
      </c>
      <c r="AN73" s="299"/>
      <c r="AO73" s="109"/>
      <c r="AP73" s="109"/>
      <c r="AQ73" s="492">
        <v>25</v>
      </c>
      <c r="AR73" s="165">
        <f t="shared" si="55"/>
        <v>11990</v>
      </c>
      <c r="AU73" s="361">
        <f t="shared" si="56"/>
        <v>94</v>
      </c>
    </row>
    <row r="74" spans="1:47" ht="12.75" customHeight="1">
      <c r="AC74" s="575">
        <f>ROUND(AVERAGE(AC14:AC43),1)</f>
        <v>92.4</v>
      </c>
      <c r="AD74" s="892" t="s">
        <v>446</v>
      </c>
    </row>
    <row r="75" spans="1:47" ht="12.75" customHeight="1">
      <c r="AC75" s="105">
        <f>AVERAGE(AC42:AC43,AC40,AC38,AC35,AC30:AC31,AC26:AC28,AC16:AC22,AC9:AC10)</f>
        <v>93.168421052631587</v>
      </c>
      <c r="AD75" s="1029" t="s">
        <v>449</v>
      </c>
    </row>
    <row r="77" spans="1:47" ht="12.75" customHeight="1">
      <c r="AU77" s="390"/>
    </row>
    <row r="78" spans="1:47" ht="12.75" customHeight="1">
      <c r="AU78" s="702"/>
    </row>
    <row r="83" spans="35:46" ht="12.75" customHeight="1">
      <c r="AI83" s="1415"/>
      <c r="AJ83" s="1415"/>
      <c r="AR83" s="412"/>
      <c r="AS83" s="412"/>
      <c r="AT83" s="117"/>
    </row>
    <row r="84" spans="35:46" ht="12.75" customHeight="1">
      <c r="AI84" s="701"/>
      <c r="AJ84" s="701"/>
      <c r="AK84" s="689"/>
      <c r="AL84" s="690"/>
      <c r="AM84" s="690"/>
      <c r="AO84" s="118"/>
      <c r="AP84" s="93"/>
      <c r="AR84" s="690"/>
      <c r="AS84" s="690"/>
      <c r="AT84" s="117"/>
    </row>
    <row r="85" spans="35:46" ht="12.75" customHeight="1">
      <c r="AI85" s="1415"/>
      <c r="AJ85" s="1415"/>
      <c r="AR85" s="412"/>
      <c r="AS85" s="412"/>
      <c r="AT85" s="117"/>
    </row>
    <row r="86" spans="35:46" ht="12.75" customHeight="1">
      <c r="AI86" s="701"/>
      <c r="AJ86" s="701"/>
      <c r="AK86" s="689"/>
      <c r="AL86" s="690"/>
      <c r="AM86" s="690"/>
      <c r="AO86" s="118"/>
      <c r="AP86" s="93"/>
      <c r="AR86" s="690"/>
      <c r="AS86" s="690"/>
      <c r="AT86" s="117"/>
    </row>
    <row r="87" spans="35:46" ht="12.75" customHeight="1">
      <c r="AI87" s="1415"/>
      <c r="AJ87" s="1415"/>
      <c r="AR87" s="412"/>
      <c r="AS87" s="412"/>
      <c r="AT87" s="117"/>
    </row>
    <row r="88" spans="35:46" ht="12.75" customHeight="1">
      <c r="AI88" s="701"/>
      <c r="AJ88" s="701"/>
      <c r="AK88" s="689"/>
      <c r="AL88" s="690"/>
      <c r="AM88" s="690"/>
      <c r="AO88" s="118"/>
      <c r="AP88" s="93"/>
      <c r="AR88" s="690"/>
      <c r="AS88" s="690"/>
      <c r="AT88" s="117"/>
    </row>
    <row r="89" spans="35:46" ht="12.75" customHeight="1">
      <c r="AI89" s="1415"/>
      <c r="AJ89" s="1415"/>
      <c r="AR89" s="412"/>
      <c r="AS89" s="412"/>
      <c r="AT89" s="117"/>
    </row>
    <row r="90" spans="35:46" ht="12.75" customHeight="1">
      <c r="AI90" s="701"/>
      <c r="AJ90" s="701"/>
      <c r="AK90" s="689"/>
      <c r="AL90" s="690"/>
      <c r="AM90" s="690"/>
      <c r="AO90" s="118"/>
      <c r="AP90" s="93"/>
      <c r="AR90" s="690"/>
      <c r="AS90" s="690"/>
      <c r="AT90" s="117"/>
    </row>
    <row r="91" spans="35:46" ht="12.75" customHeight="1">
      <c r="AI91" s="1415"/>
      <c r="AJ91" s="1415"/>
      <c r="AR91" s="412"/>
      <c r="AS91" s="412"/>
      <c r="AT91" s="117"/>
    </row>
    <row r="92" spans="35:46" ht="12.75" customHeight="1">
      <c r="AI92" s="701"/>
      <c r="AJ92" s="701"/>
      <c r="AK92" s="689"/>
      <c r="AL92" s="690"/>
      <c r="AM92" s="690"/>
      <c r="AO92" s="118"/>
      <c r="AP92" s="93"/>
      <c r="AR92" s="690"/>
      <c r="AS92" s="690"/>
      <c r="AT92" s="117"/>
    </row>
    <row r="93" spans="35:46" ht="12.75" customHeight="1">
      <c r="AI93" s="1415"/>
      <c r="AJ93" s="1415"/>
      <c r="AR93" s="412"/>
      <c r="AS93" s="412"/>
      <c r="AT93" s="117"/>
    </row>
    <row r="94" spans="35:46" ht="12.75" customHeight="1">
      <c r="AI94" s="701"/>
      <c r="AJ94" s="701"/>
      <c r="AK94" s="689"/>
      <c r="AL94" s="690"/>
      <c r="AM94" s="690"/>
      <c r="AO94" s="118"/>
      <c r="AP94" s="93"/>
      <c r="AR94" s="690"/>
      <c r="AS94" s="690"/>
      <c r="AT94" s="117"/>
    </row>
    <row r="95" spans="35:46" ht="12.75" customHeight="1">
      <c r="AI95" s="117"/>
      <c r="AJ95" s="117"/>
      <c r="AR95" s="412"/>
      <c r="AS95" s="412"/>
      <c r="AT95" s="117"/>
    </row>
    <row r="96" spans="35:46" ht="12.75" customHeight="1">
      <c r="AI96" s="701"/>
      <c r="AJ96" s="701"/>
      <c r="AK96" s="689"/>
      <c r="AL96" s="690"/>
      <c r="AM96" s="690"/>
      <c r="AO96" s="118"/>
      <c r="AP96" s="93"/>
      <c r="AR96" s="690"/>
      <c r="AS96" s="690"/>
      <c r="AT96" s="117"/>
    </row>
    <row r="97" spans="35:46" ht="12.75" customHeight="1">
      <c r="AI97" s="117"/>
      <c r="AJ97" s="117"/>
      <c r="AR97" s="412"/>
      <c r="AS97" s="412"/>
      <c r="AT97" s="117"/>
    </row>
    <row r="98" spans="35:46" ht="12.75" customHeight="1">
      <c r="AI98" s="701"/>
      <c r="AJ98" s="701"/>
      <c r="AK98" s="689"/>
      <c r="AL98" s="690"/>
      <c r="AM98" s="690"/>
      <c r="AO98" s="118"/>
      <c r="AP98" s="93"/>
      <c r="AR98" s="690"/>
      <c r="AS98" s="690"/>
      <c r="AT98" s="117"/>
    </row>
    <row r="99" spans="35:46" ht="12.75" customHeight="1">
      <c r="AI99" s="117"/>
      <c r="AJ99" s="117"/>
      <c r="AR99" s="412"/>
      <c r="AS99" s="412"/>
      <c r="AT99" s="117"/>
    </row>
    <row r="100" spans="35:46" ht="12.75" customHeight="1">
      <c r="AI100" s="701"/>
      <c r="AJ100" s="701"/>
      <c r="AK100" s="689"/>
      <c r="AL100" s="690"/>
      <c r="AM100" s="690"/>
      <c r="AO100" s="118"/>
      <c r="AP100" s="93"/>
      <c r="AR100" s="690"/>
      <c r="AS100" s="690"/>
      <c r="AT100" s="117"/>
    </row>
    <row r="101" spans="35:46" ht="12.75" customHeight="1">
      <c r="AI101" s="117"/>
      <c r="AJ101" s="117"/>
      <c r="AR101" s="412"/>
      <c r="AS101" s="412"/>
      <c r="AT101" s="117"/>
    </row>
    <row r="102" spans="35:46" ht="12.75" customHeight="1">
      <c r="AI102" s="701"/>
      <c r="AJ102" s="701"/>
      <c r="AK102" s="689"/>
      <c r="AL102" s="690"/>
      <c r="AM102" s="690"/>
      <c r="AO102" s="118"/>
      <c r="AP102" s="93"/>
      <c r="AR102" s="690"/>
      <c r="AS102" s="690"/>
      <c r="AT102" s="117"/>
    </row>
    <row r="103" spans="35:46" ht="12.75" customHeight="1">
      <c r="AI103" s="117"/>
      <c r="AJ103" s="117"/>
      <c r="AR103" s="412"/>
      <c r="AS103" s="412"/>
      <c r="AT103" s="117"/>
    </row>
    <row r="104" spans="35:46" ht="12.75" customHeight="1">
      <c r="AI104" s="701"/>
      <c r="AJ104" s="701"/>
      <c r="AK104" s="689"/>
      <c r="AL104" s="690"/>
      <c r="AM104" s="690"/>
      <c r="AO104" s="118"/>
      <c r="AP104" s="93"/>
      <c r="AR104" s="690"/>
      <c r="AS104" s="690"/>
      <c r="AT104" s="117"/>
    </row>
    <row r="105" spans="35:46" ht="12.75" customHeight="1">
      <c r="AI105" s="117"/>
      <c r="AJ105" s="117"/>
      <c r="AR105" s="412"/>
      <c r="AS105" s="412"/>
      <c r="AT105" s="117"/>
    </row>
    <row r="106" spans="35:46" ht="12.75" customHeight="1">
      <c r="AI106" s="701"/>
      <c r="AJ106" s="701"/>
      <c r="AK106" s="689"/>
      <c r="AL106" s="690"/>
      <c r="AM106" s="690"/>
      <c r="AO106" s="118"/>
      <c r="AP106" s="93"/>
      <c r="AR106" s="690"/>
      <c r="AS106" s="690"/>
      <c r="AT106" s="117"/>
    </row>
    <row r="107" spans="35:46" ht="12.75" customHeight="1">
      <c r="AI107" s="117"/>
      <c r="AJ107" s="117"/>
      <c r="AR107" s="412"/>
      <c r="AS107" s="412"/>
      <c r="AT107" s="117"/>
    </row>
    <row r="108" spans="35:46" ht="12.75" customHeight="1">
      <c r="AI108" s="701"/>
      <c r="AJ108" s="701"/>
      <c r="AK108" s="689"/>
      <c r="AL108" s="690"/>
      <c r="AM108" s="690"/>
      <c r="AO108" s="118"/>
      <c r="AP108" s="93"/>
      <c r="AR108" s="690"/>
      <c r="AS108" s="690"/>
      <c r="AT108" s="117"/>
    </row>
    <row r="109" spans="35:46" ht="12.75" customHeight="1">
      <c r="AI109" s="117"/>
      <c r="AJ109" s="117"/>
      <c r="AR109" s="412"/>
      <c r="AS109" s="412"/>
      <c r="AT109" s="117"/>
    </row>
    <row r="110" spans="35:46" ht="12.75" customHeight="1">
      <c r="AI110" s="701"/>
      <c r="AJ110" s="701"/>
      <c r="AK110" s="689"/>
      <c r="AL110" s="690"/>
      <c r="AM110" s="690"/>
      <c r="AO110" s="118"/>
      <c r="AP110" s="93"/>
      <c r="AR110" s="690"/>
      <c r="AS110" s="690"/>
      <c r="AT110" s="117"/>
    </row>
    <row r="111" spans="35:46" ht="12.75" customHeight="1">
      <c r="AI111" s="117"/>
      <c r="AJ111" s="117"/>
      <c r="AR111" s="412"/>
      <c r="AS111" s="412"/>
      <c r="AT111" s="117"/>
    </row>
    <row r="112" spans="35:46" ht="12.75" customHeight="1">
      <c r="AI112" s="701"/>
      <c r="AJ112" s="701"/>
      <c r="AK112" s="689"/>
      <c r="AL112" s="690"/>
      <c r="AM112" s="690"/>
      <c r="AO112" s="118"/>
      <c r="AP112" s="93"/>
      <c r="AR112" s="690"/>
      <c r="AS112" s="690"/>
      <c r="AT112" s="117"/>
    </row>
    <row r="113" spans="35:49" ht="12.75" customHeight="1">
      <c r="AI113" s="117"/>
      <c r="AJ113" s="117"/>
      <c r="AR113" s="412"/>
      <c r="AS113" s="412"/>
      <c r="AT113" s="117"/>
      <c r="AW113" s="820" t="s">
        <v>393</v>
      </c>
    </row>
    <row r="114" spans="35:49" ht="12.75" customHeight="1">
      <c r="AI114" s="701"/>
      <c r="AJ114" s="701"/>
      <c r="AK114" s="689"/>
      <c r="AL114" s="690"/>
      <c r="AM114" s="690"/>
      <c r="AO114" s="118"/>
      <c r="AP114" s="93"/>
      <c r="AR114" s="690"/>
      <c r="AS114" s="690"/>
      <c r="AT114" s="117"/>
      <c r="AW114" s="117" t="s">
        <v>22</v>
      </c>
    </row>
    <row r="115" spans="35:49" ht="12.75" customHeight="1">
      <c r="AI115" s="117"/>
      <c r="AJ115" s="117"/>
      <c r="AR115" s="412"/>
      <c r="AS115" s="412"/>
      <c r="AT115" s="117"/>
      <c r="AW115" s="117" t="s">
        <v>389</v>
      </c>
    </row>
    <row r="116" spans="35:49" ht="12.75" customHeight="1">
      <c r="AI116" s="701"/>
      <c r="AJ116" s="701"/>
      <c r="AK116" s="689"/>
      <c r="AL116" s="690"/>
      <c r="AM116" s="690"/>
      <c r="AO116" s="118"/>
      <c r="AP116" s="93"/>
      <c r="AR116" s="690"/>
      <c r="AS116" s="690"/>
      <c r="AT116" s="117"/>
      <c r="AW116" s="117" t="s">
        <v>399</v>
      </c>
    </row>
    <row r="117" spans="35:49" ht="12.75" customHeight="1" thickBot="1">
      <c r="AI117" s="117"/>
      <c r="AJ117" s="117"/>
      <c r="AR117" s="412"/>
      <c r="AS117" s="412"/>
      <c r="AT117" s="117"/>
      <c r="AW117" s="821" t="s">
        <v>390</v>
      </c>
    </row>
    <row r="118" spans="35:49" ht="12.75" customHeight="1">
      <c r="AI118" s="701"/>
      <c r="AJ118" s="701"/>
      <c r="AK118" s="689"/>
      <c r="AL118" s="690"/>
      <c r="AM118" s="690"/>
      <c r="AO118" s="118"/>
      <c r="AP118" s="93"/>
      <c r="AR118" s="690"/>
      <c r="AS118" s="690"/>
      <c r="AT118" s="117"/>
    </row>
    <row r="119" spans="35:49" ht="12.75" customHeight="1">
      <c r="AI119" s="117"/>
      <c r="AJ119" s="117"/>
      <c r="AR119" s="412"/>
      <c r="AS119" s="412"/>
      <c r="AT119" s="117"/>
    </row>
  </sheetData>
  <mergeCells count="2">
    <mergeCell ref="AR4:AT4"/>
    <mergeCell ref="F5:I5"/>
  </mergeCells>
  <phoneticPr fontId="52" type="noConversion"/>
  <printOptions horizontalCentered="1"/>
  <pageMargins left="0.25" right="0.25" top="0.5" bottom="0.75" header="0" footer="0.25"/>
  <pageSetup scale="47" orientation="landscape" horizontalDpi="300" verticalDpi="300" r:id="rId1"/>
  <headerFooter alignWithMargins="0">
    <oddFooter>&amp;LLoad Forecasting : &amp;D&amp;R14LGBRA-NRGPOD1-6-DOC 38
14BGBRA-STAFFROG1-19A-DOC 38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H87"/>
  <sheetViews>
    <sheetView tabSelected="1" zoomScale="80" zoomScaleNormal="80" workbookViewId="0">
      <pane xSplit="4" ySplit="6" topLeftCell="T25" activePane="bottomRight" state="frozen"/>
      <selection activeCell="AR47" sqref="AR47"/>
      <selection pane="topRight" activeCell="AR47" sqref="AR47"/>
      <selection pane="bottomLeft" activeCell="AR47" sqref="AR47"/>
      <selection pane="bottomRight" activeCell="AR47" sqref="AR47"/>
    </sheetView>
  </sheetViews>
  <sheetFormatPr defaultColWidth="9.140625" defaultRowHeight="12.75"/>
  <cols>
    <col min="1" max="1" width="6.28515625" style="123" bestFit="1" customWidth="1"/>
    <col min="2" max="2" width="8.7109375" style="123" bestFit="1" customWidth="1"/>
    <col min="3" max="3" width="4" style="123" bestFit="1" customWidth="1"/>
    <col min="4" max="4" width="8.5703125" style="123" bestFit="1" customWidth="1"/>
    <col min="5" max="5" width="8.7109375" style="123" bestFit="1" customWidth="1"/>
    <col min="6" max="6" width="10.42578125" style="123" bestFit="1" customWidth="1"/>
    <col min="7" max="7" width="11.140625" style="123" bestFit="1" customWidth="1"/>
    <col min="8" max="8" width="8.28515625" style="123" bestFit="1" customWidth="1"/>
    <col min="9" max="9" width="9.42578125" style="123" bestFit="1" customWidth="1"/>
    <col min="10" max="10" width="8.7109375" style="123" bestFit="1" customWidth="1"/>
    <col min="11" max="11" width="10" style="123" bestFit="1" customWidth="1"/>
    <col min="12" max="12" width="7.7109375" style="123" bestFit="1" customWidth="1"/>
    <col min="13" max="13" width="11.42578125" style="123" bestFit="1" customWidth="1"/>
    <col min="14" max="14" width="7.140625" style="123" bestFit="1" customWidth="1"/>
    <col min="15" max="15" width="7.7109375" style="123" bestFit="1" customWidth="1"/>
    <col min="16" max="16" width="12.7109375" style="123" bestFit="1" customWidth="1"/>
    <col min="17" max="18" width="12.7109375" style="123" customWidth="1"/>
    <col min="19" max="19" width="14.28515625" style="123" bestFit="1" customWidth="1"/>
    <col min="20" max="20" width="13.85546875" style="123" bestFit="1" customWidth="1"/>
    <col min="21" max="21" width="12.7109375" style="123" bestFit="1" customWidth="1"/>
    <col min="22" max="22" width="9.85546875" style="124" bestFit="1" customWidth="1"/>
    <col min="23" max="23" width="12.28515625" style="124" bestFit="1" customWidth="1"/>
    <col min="24" max="25" width="9.140625" style="124"/>
    <col min="26" max="26" width="4.7109375" style="124" customWidth="1"/>
    <col min="27" max="27" width="9.140625" style="124"/>
    <col min="28" max="28" width="6.85546875" style="124" customWidth="1"/>
    <col min="29" max="29" width="6.42578125" style="124" customWidth="1"/>
    <col min="30" max="31" width="9.140625" style="124"/>
    <col min="32" max="32" width="10.28515625" style="124" bestFit="1" customWidth="1"/>
    <col min="33" max="33" width="8.28515625" style="124" bestFit="1" customWidth="1"/>
    <col min="34" max="34" width="13.85546875" style="124" bestFit="1" customWidth="1"/>
    <col min="35" max="35" width="7.5703125" style="124" customWidth="1"/>
    <col min="36" max="36" width="9.140625" style="124"/>
    <col min="37" max="37" width="7.7109375" style="124" bestFit="1" customWidth="1"/>
    <col min="38" max="40" width="9.140625" style="124"/>
    <col min="41" max="41" width="8.85546875" style="124" customWidth="1"/>
    <col min="42" max="42" width="16" style="124" bestFit="1" customWidth="1"/>
    <col min="43" max="43" width="13.7109375" style="124" customWidth="1"/>
    <col min="44" max="47" width="12.7109375" style="124" customWidth="1"/>
    <col min="48" max="48" width="10.140625" style="124" customWidth="1"/>
    <col min="49" max="16384" width="9.140625" style="124"/>
  </cols>
  <sheetData>
    <row r="1" spans="1:60" s="122" customFormat="1" ht="13.5" thickBot="1">
      <c r="A1" s="906" t="s">
        <v>105</v>
      </c>
      <c r="B1" s="1583"/>
      <c r="C1" s="1583"/>
      <c r="D1" s="1583"/>
      <c r="E1" s="1583"/>
      <c r="F1" s="1583"/>
      <c r="G1" s="1583"/>
      <c r="H1" s="1583"/>
      <c r="I1" s="1583"/>
      <c r="J1" s="1583"/>
      <c r="K1" s="1583" t="s">
        <v>634</v>
      </c>
      <c r="L1" s="1583"/>
      <c r="M1" s="1583"/>
      <c r="N1" s="1583"/>
      <c r="O1" s="1583"/>
      <c r="P1" s="1583"/>
      <c r="Q1" s="1583" t="s">
        <v>634</v>
      </c>
      <c r="R1" s="1583" t="s">
        <v>634</v>
      </c>
      <c r="S1" s="1583" t="s">
        <v>634</v>
      </c>
      <c r="T1" s="308" t="s">
        <v>634</v>
      </c>
      <c r="U1" s="308" t="s">
        <v>634</v>
      </c>
      <c r="V1" s="308" t="s">
        <v>634</v>
      </c>
      <c r="W1" s="308" t="s">
        <v>634</v>
      </c>
      <c r="X1" s="121"/>
      <c r="Y1" s="121"/>
      <c r="AD1" s="1603" t="s">
        <v>609</v>
      </c>
      <c r="AE1" s="1604"/>
      <c r="AF1" s="1604"/>
      <c r="AG1" s="1604"/>
      <c r="AH1" s="1604"/>
      <c r="AI1" s="1604"/>
      <c r="AJ1" s="1604"/>
      <c r="AK1" s="1604"/>
      <c r="AL1" s="1604"/>
      <c r="AM1" s="1604"/>
      <c r="AN1" s="1604"/>
      <c r="AO1" s="1604"/>
      <c r="AP1" s="1604"/>
      <c r="AQ1" s="1604"/>
      <c r="AR1" s="1604"/>
      <c r="AS1" s="1604"/>
      <c r="AT1" s="1604"/>
      <c r="AU1" s="1604"/>
    </row>
    <row r="2" spans="1:60">
      <c r="P2" s="1190" t="str">
        <f>Feb!P2</f>
        <v>CF_201309</v>
      </c>
      <c r="R2" s="1190" t="str">
        <f>Feb!R2</f>
        <v>13_EDB_Adjmt.xlsx</v>
      </c>
      <c r="S2" s="109"/>
      <c r="T2" s="1190" t="str">
        <f>P2</f>
        <v>CF_201309</v>
      </c>
    </row>
    <row r="3" spans="1:60">
      <c r="M3" s="123" t="s">
        <v>58</v>
      </c>
      <c r="Q3" s="92"/>
      <c r="R3" s="92"/>
      <c r="S3" s="92"/>
      <c r="T3" s="92"/>
    </row>
    <row r="4" spans="1:60">
      <c r="J4" s="123" t="s">
        <v>6</v>
      </c>
      <c r="M4" s="123" t="s">
        <v>6</v>
      </c>
      <c r="O4" s="123" t="s">
        <v>1</v>
      </c>
      <c r="Q4" s="353" t="s">
        <v>186</v>
      </c>
      <c r="R4" s="687">
        <f>[2]ssr!$K$180</f>
        <v>0.57650000000000001</v>
      </c>
      <c r="S4" s="370"/>
      <c r="T4" s="92"/>
      <c r="U4" s="810" t="s">
        <v>396</v>
      </c>
      <c r="AD4" s="125" t="s">
        <v>212</v>
      </c>
    </row>
    <row r="5" spans="1:60">
      <c r="J5" s="123" t="s">
        <v>61</v>
      </c>
      <c r="L5" s="123" t="s">
        <v>87</v>
      </c>
      <c r="M5" s="123" t="s">
        <v>61</v>
      </c>
      <c r="N5" s="123" t="s">
        <v>0</v>
      </c>
      <c r="O5" s="123" t="s">
        <v>6</v>
      </c>
      <c r="P5" s="810" t="s">
        <v>396</v>
      </c>
      <c r="Q5" s="351" t="s">
        <v>187</v>
      </c>
      <c r="R5" s="350" t="s">
        <v>189</v>
      </c>
      <c r="S5" s="350" t="s">
        <v>21</v>
      </c>
      <c r="T5" s="92"/>
      <c r="U5" s="309" t="s">
        <v>315</v>
      </c>
      <c r="V5" s="351" t="s">
        <v>346</v>
      </c>
      <c r="W5" s="350" t="s">
        <v>194</v>
      </c>
      <c r="X5" s="265" t="s">
        <v>213</v>
      </c>
      <c r="Y5" s="123"/>
      <c r="AE5" s="810"/>
      <c r="AG5" s="265" t="s">
        <v>294</v>
      </c>
      <c r="AH5" s="265"/>
    </row>
    <row r="6" spans="1:60" s="129" customFormat="1" ht="13.5" thickBot="1">
      <c r="A6" s="121" t="s">
        <v>9</v>
      </c>
      <c r="B6" s="121" t="s">
        <v>88</v>
      </c>
      <c r="C6" s="121" t="s">
        <v>89</v>
      </c>
      <c r="D6" s="121" t="s">
        <v>90</v>
      </c>
      <c r="E6" s="121" t="s">
        <v>91</v>
      </c>
      <c r="F6" s="121" t="s">
        <v>92</v>
      </c>
      <c r="G6" s="121" t="s">
        <v>93</v>
      </c>
      <c r="H6" s="121" t="s">
        <v>94</v>
      </c>
      <c r="I6" s="121" t="s">
        <v>95</v>
      </c>
      <c r="J6" s="121" t="s">
        <v>62</v>
      </c>
      <c r="K6" s="121" t="s">
        <v>57</v>
      </c>
      <c r="L6" s="121" t="s">
        <v>77</v>
      </c>
      <c r="M6" s="121" t="s">
        <v>59</v>
      </c>
      <c r="N6" s="324" t="s">
        <v>66</v>
      </c>
      <c r="O6" s="1211" t="s">
        <v>567</v>
      </c>
      <c r="P6" s="178" t="s">
        <v>197</v>
      </c>
      <c r="Q6" s="352" t="s">
        <v>226</v>
      </c>
      <c r="R6" s="352" t="s">
        <v>190</v>
      </c>
      <c r="S6" s="94" t="s">
        <v>188</v>
      </c>
      <c r="T6" s="479" t="s">
        <v>246</v>
      </c>
      <c r="U6" s="112" t="s">
        <v>316</v>
      </c>
      <c r="V6" s="343" t="s">
        <v>345</v>
      </c>
      <c r="W6" s="359" t="s">
        <v>169</v>
      </c>
      <c r="X6" s="128" t="s">
        <v>8</v>
      </c>
      <c r="Y6" s="128" t="s">
        <v>96</v>
      </c>
      <c r="AD6" s="121" t="s">
        <v>9</v>
      </c>
      <c r="AE6" s="128" t="s">
        <v>179</v>
      </c>
      <c r="AF6" s="121" t="s">
        <v>97</v>
      </c>
      <c r="AG6" s="128" t="s">
        <v>170</v>
      </c>
      <c r="AH6" s="324" t="s">
        <v>130</v>
      </c>
      <c r="AI6" s="300" t="s">
        <v>452</v>
      </c>
      <c r="AJ6" s="121" t="s">
        <v>98</v>
      </c>
      <c r="AK6" s="121" t="s">
        <v>99</v>
      </c>
      <c r="AL6" s="121" t="s">
        <v>100</v>
      </c>
      <c r="AM6" s="178" t="str">
        <f>Jul!AM6</f>
        <v>Fall'13</v>
      </c>
      <c r="AN6" s="178" t="str">
        <f>Jul!AN6</f>
        <v>TYSP'13</v>
      </c>
      <c r="AO6" s="178" t="str">
        <f>Jul!AO6</f>
        <v>Diff</v>
      </c>
      <c r="AP6" s="178" t="str">
        <f>Jul!AP6</f>
        <v>Yr-Yr Growth</v>
      </c>
    </row>
    <row r="7" spans="1:60">
      <c r="B7" s="177"/>
      <c r="V7" s="123"/>
      <c r="W7" s="123"/>
      <c r="X7" s="123"/>
      <c r="Y7" s="123"/>
      <c r="AI7" s="379"/>
    </row>
    <row r="8" spans="1:60">
      <c r="A8" s="123">
        <v>1975</v>
      </c>
      <c r="B8" s="139">
        <v>27645</v>
      </c>
      <c r="C8" s="123">
        <v>17</v>
      </c>
      <c r="D8" s="346" t="str">
        <f t="shared" ref="D8:D34" si="0">TEXT(WEEKDAY(B8),"ddd")</f>
        <v>Mon</v>
      </c>
      <c r="E8" s="347">
        <v>2806</v>
      </c>
      <c r="P8" s="374">
        <f>[4]Data!$I271</f>
        <v>613982</v>
      </c>
      <c r="U8" s="374">
        <f t="shared" ref="U8:U29" si="1">P8-Q8</f>
        <v>613982</v>
      </c>
      <c r="V8" s="123"/>
      <c r="X8" s="339"/>
      <c r="Y8" s="339"/>
      <c r="AI8" s="379"/>
      <c r="AQ8" s="792" t="s">
        <v>578</v>
      </c>
    </row>
    <row r="9" spans="1:60">
      <c r="A9" s="123">
        <v>1976</v>
      </c>
      <c r="B9" s="139">
        <v>28004</v>
      </c>
      <c r="C9" s="123">
        <v>18</v>
      </c>
      <c r="D9" s="346" t="str">
        <f t="shared" si="0"/>
        <v>Wed</v>
      </c>
      <c r="E9" s="347">
        <v>2980</v>
      </c>
      <c r="P9" s="374">
        <f>[4]Data!$I272</f>
        <v>637492</v>
      </c>
      <c r="U9" s="374">
        <f t="shared" si="1"/>
        <v>637492</v>
      </c>
      <c r="V9" s="123"/>
      <c r="W9" s="132">
        <f t="shared" ref="W9:W25" si="2">U9-U8</f>
        <v>23510</v>
      </c>
      <c r="X9" s="339">
        <f>[5]Sep!$J4</f>
        <v>85.9</v>
      </c>
      <c r="Y9" s="339">
        <f>[5]Sep!$M4</f>
        <v>88.2</v>
      </c>
      <c r="AI9" s="379"/>
      <c r="AP9" s="415"/>
      <c r="AQ9" s="107" t="s">
        <v>204</v>
      </c>
      <c r="AR9"/>
      <c r="AS9"/>
      <c r="AT9"/>
      <c r="AU9"/>
    </row>
    <row r="10" spans="1:60">
      <c r="A10" s="123">
        <v>1977</v>
      </c>
      <c r="B10" s="139">
        <v>28375</v>
      </c>
      <c r="C10" s="123">
        <v>18</v>
      </c>
      <c r="D10" s="346" t="str">
        <f t="shared" si="0"/>
        <v>Wed</v>
      </c>
      <c r="E10" s="347">
        <v>3291</v>
      </c>
      <c r="P10" s="374">
        <f>[4]Data!$I273</f>
        <v>662546</v>
      </c>
      <c r="U10" s="374">
        <f t="shared" si="1"/>
        <v>662546</v>
      </c>
      <c r="V10" s="123"/>
      <c r="W10" s="132">
        <f t="shared" si="2"/>
        <v>25054</v>
      </c>
      <c r="X10" s="339">
        <f>[5]Sep!$J5</f>
        <v>90.5</v>
      </c>
      <c r="Y10" s="339">
        <f>[5]Sep!$M5</f>
        <v>89.9</v>
      </c>
      <c r="AI10" s="379"/>
      <c r="AQ10" t="s">
        <v>19</v>
      </c>
      <c r="AR10"/>
      <c r="AS10"/>
      <c r="AT10"/>
      <c r="AU10"/>
    </row>
    <row r="11" spans="1:60">
      <c r="A11" s="123">
        <v>1978</v>
      </c>
      <c r="B11" s="139">
        <v>28734</v>
      </c>
      <c r="C11" s="131">
        <v>18</v>
      </c>
      <c r="D11" s="346" t="str">
        <f t="shared" si="0"/>
        <v>Fri</v>
      </c>
      <c r="E11" s="347">
        <v>3363</v>
      </c>
      <c r="F11" s="132"/>
      <c r="G11" s="132"/>
      <c r="H11" s="132"/>
      <c r="I11" s="132"/>
      <c r="J11" s="133"/>
      <c r="K11" s="132"/>
      <c r="L11" s="133"/>
      <c r="M11" s="133"/>
      <c r="N11" s="133"/>
      <c r="O11" s="133"/>
      <c r="P11" s="374">
        <f>[4]Data!$I274</f>
        <v>693636</v>
      </c>
      <c r="U11" s="374">
        <f t="shared" si="1"/>
        <v>693636</v>
      </c>
      <c r="V11" s="132"/>
      <c r="W11" s="132">
        <f t="shared" si="2"/>
        <v>31090</v>
      </c>
      <c r="X11" s="339">
        <f>[5]Sep!$J6</f>
        <v>90.6</v>
      </c>
      <c r="Y11" s="339">
        <f>[5]Sep!$M6</f>
        <v>91</v>
      </c>
      <c r="AI11" s="379"/>
    </row>
    <row r="12" spans="1:60" ht="13.5" thickBot="1">
      <c r="A12" s="123">
        <v>1979</v>
      </c>
      <c r="B12" s="139">
        <v>29105</v>
      </c>
      <c r="C12" s="131">
        <v>17</v>
      </c>
      <c r="D12" s="346" t="str">
        <f t="shared" si="0"/>
        <v>Fri</v>
      </c>
      <c r="E12" s="347">
        <v>3554</v>
      </c>
      <c r="F12" s="132"/>
      <c r="G12" s="132"/>
      <c r="H12" s="132"/>
      <c r="I12" s="132"/>
      <c r="J12" s="133"/>
      <c r="K12" s="132"/>
      <c r="L12" s="133"/>
      <c r="M12" s="133"/>
      <c r="N12" s="133"/>
      <c r="O12" s="133"/>
      <c r="P12" s="374">
        <f>[4]Data!$I275</f>
        <v>730927</v>
      </c>
      <c r="U12" s="374">
        <f t="shared" si="1"/>
        <v>730927</v>
      </c>
      <c r="V12" s="132"/>
      <c r="W12" s="132">
        <f t="shared" si="2"/>
        <v>37291</v>
      </c>
      <c r="X12" s="339">
        <f>[5]Sep!$J7</f>
        <v>89.9</v>
      </c>
      <c r="Y12" s="339">
        <f>[5]Sep!$M7</f>
        <v>89.8</v>
      </c>
      <c r="AC12" s="295"/>
      <c r="AI12" s="379"/>
      <c r="AQ12" s="245" t="s">
        <v>171</v>
      </c>
      <c r="AR12" s="246" t="s">
        <v>244</v>
      </c>
      <c r="AS12" s="246" t="s">
        <v>453</v>
      </c>
      <c r="AT12" s="247" t="s">
        <v>170</v>
      </c>
      <c r="AU12" s="288" t="s">
        <v>169</v>
      </c>
      <c r="AV12" s="288" t="s">
        <v>22</v>
      </c>
      <c r="BC12" s="121" t="s">
        <v>9</v>
      </c>
      <c r="BD12" s="488" t="s">
        <v>232</v>
      </c>
      <c r="BE12" s="482" t="s">
        <v>231</v>
      </c>
      <c r="BF12" s="482" t="s">
        <v>230</v>
      </c>
      <c r="BG12" s="479" t="s">
        <v>233</v>
      </c>
      <c r="BH12" s="483" t="s">
        <v>229</v>
      </c>
    </row>
    <row r="13" spans="1:60">
      <c r="A13" s="123">
        <v>1980</v>
      </c>
      <c r="B13" s="139">
        <v>29472</v>
      </c>
      <c r="C13" s="131">
        <v>18</v>
      </c>
      <c r="D13" s="346" t="str">
        <f t="shared" si="0"/>
        <v>Mon</v>
      </c>
      <c r="E13" s="134">
        <f>[6]Hist!G13</f>
        <v>3716</v>
      </c>
      <c r="F13" s="134">
        <f>[6]Hist!H13</f>
        <v>3074</v>
      </c>
      <c r="G13" s="164">
        <f>SUM([6]Hist!M13:O13)</f>
        <v>0</v>
      </c>
      <c r="H13" s="164">
        <f>[6]Hist!L13</f>
        <v>0</v>
      </c>
      <c r="I13" s="164">
        <f>[6]Hist!P13</f>
        <v>0</v>
      </c>
      <c r="J13" s="133">
        <f>SUM(F13:I13)</f>
        <v>3074</v>
      </c>
      <c r="K13" s="164">
        <f>[6]Hist!U13</f>
        <v>0</v>
      </c>
      <c r="L13" s="164">
        <f>[6]Hist!V13</f>
        <v>0</v>
      </c>
      <c r="M13" s="133">
        <f>SUM(J13:K13)</f>
        <v>3074</v>
      </c>
      <c r="N13" s="340">
        <v>150</v>
      </c>
      <c r="O13" s="1377">
        <f>J13-N13-L13</f>
        <v>2924</v>
      </c>
      <c r="P13" s="374">
        <f>[4]Data!$I276</f>
        <v>766978</v>
      </c>
      <c r="U13" s="374">
        <f t="shared" si="1"/>
        <v>766978</v>
      </c>
      <c r="V13" s="132"/>
      <c r="W13" s="132">
        <f t="shared" si="2"/>
        <v>36051</v>
      </c>
      <c r="X13" s="339">
        <f>[5]Sep!$J8</f>
        <v>87.6</v>
      </c>
      <c r="Y13" s="339">
        <f>[5]Sep!$M8</f>
        <v>88.9</v>
      </c>
      <c r="AD13" s="284">
        <f t="shared" ref="AD13:AD58" si="3">A13</f>
        <v>1980</v>
      </c>
      <c r="AE13" s="133">
        <f t="shared" ref="AE13:AE41" si="4">O13</f>
        <v>2924</v>
      </c>
      <c r="AF13" s="132">
        <f>P13</f>
        <v>766978</v>
      </c>
      <c r="AG13" s="140">
        <f>Y13</f>
        <v>88.9</v>
      </c>
      <c r="AH13" s="301">
        <v>0</v>
      </c>
      <c r="AI13" s="301">
        <v>0</v>
      </c>
      <c r="AJ13" s="134">
        <f>ROUND($AV$13+$AU$13*$AF13+$AT$13*$AG13+$AS$13*$AH13+$AR$13*$AI13,0)</f>
        <v>3083</v>
      </c>
      <c r="AK13" s="134">
        <f t="shared" ref="AK13:AK33" si="5">AE13-AJ13</f>
        <v>-159</v>
      </c>
      <c r="AQ13" s="280" t="s">
        <v>172</v>
      </c>
      <c r="AR13" s="249">
        <f t="array" ref="AR13:AV18">LINEST(AE25:AE45,AF25:AI45,TRUE,TRUE)</f>
        <v>-456.31394981131047</v>
      </c>
      <c r="AS13" s="498">
        <v>-310.83652716902571</v>
      </c>
      <c r="AT13" s="294">
        <v>51.638112738667395</v>
      </c>
      <c r="AU13" s="294">
        <v>5.2851062446313875E-3</v>
      </c>
      <c r="AV13" s="252">
        <v>-5560.8834919785204</v>
      </c>
      <c r="AW13" s="1056"/>
      <c r="BC13" s="123">
        <v>1980</v>
      </c>
      <c r="BD13" s="134">
        <f>ROUND($AV$13+$AU$13*$AF13+$AT$13*$AG$63+$AS$13*$AH13+$AR$13*$AI13,0)</f>
        <v>3140</v>
      </c>
      <c r="BE13" s="133">
        <f t="shared" ref="BE13:BE40" si="6">AE13</f>
        <v>2924</v>
      </c>
      <c r="BF13" s="133">
        <f>BE13-BD13</f>
        <v>-216</v>
      </c>
      <c r="BG13" s="133">
        <f t="shared" ref="BG13:BG40" si="7">AJ13</f>
        <v>3083</v>
      </c>
      <c r="BH13" s="495">
        <f>BD13-BG13</f>
        <v>57</v>
      </c>
    </row>
    <row r="14" spans="1:60">
      <c r="A14" s="123">
        <v>1981</v>
      </c>
      <c r="B14" s="139">
        <v>29831</v>
      </c>
      <c r="C14" s="131">
        <v>18</v>
      </c>
      <c r="D14" s="346" t="str">
        <f t="shared" si="0"/>
        <v>Wed</v>
      </c>
      <c r="E14" s="134">
        <f>[6]Hist!G25</f>
        <v>3854</v>
      </c>
      <c r="F14" s="134">
        <f>[6]Hist!H25</f>
        <v>3142</v>
      </c>
      <c r="G14" s="164">
        <f>SUM([6]Hist!M25:O25)</f>
        <v>0</v>
      </c>
      <c r="H14" s="164">
        <f>[6]Hist!L25</f>
        <v>0</v>
      </c>
      <c r="I14" s="164">
        <f>[6]Hist!P25</f>
        <v>0</v>
      </c>
      <c r="J14" s="133">
        <f>SUM(F14:I14)</f>
        <v>3142</v>
      </c>
      <c r="K14" s="164">
        <f>[6]Hist!U25</f>
        <v>0</v>
      </c>
      <c r="L14" s="164">
        <f>[6]Hist!V25</f>
        <v>11</v>
      </c>
      <c r="M14" s="133">
        <f t="shared" ref="M14:M39" si="8">SUM(J14:K14)</f>
        <v>3142</v>
      </c>
      <c r="N14" s="340">
        <v>150</v>
      </c>
      <c r="O14" s="1377">
        <f t="shared" ref="O14:O45" si="9">J14-N14-L14</f>
        <v>2981</v>
      </c>
      <c r="P14" s="374">
        <f>[4]Data!$I277</f>
        <v>796405</v>
      </c>
      <c r="U14" s="374">
        <f t="shared" si="1"/>
        <v>796405</v>
      </c>
      <c r="V14" s="132"/>
      <c r="W14" s="132">
        <f t="shared" si="2"/>
        <v>29427</v>
      </c>
      <c r="X14" s="339">
        <f>[5]Sep!$J9</f>
        <v>87.5</v>
      </c>
      <c r="Y14" s="339">
        <f>[5]Sep!$M9</f>
        <v>88.8</v>
      </c>
      <c r="AD14" s="284">
        <f t="shared" si="3"/>
        <v>1981</v>
      </c>
      <c r="AE14" s="133">
        <f t="shared" si="4"/>
        <v>2981</v>
      </c>
      <c r="AF14" s="132">
        <f t="shared" ref="AF14:AF73" si="10">P14</f>
        <v>796405</v>
      </c>
      <c r="AG14" s="140">
        <f t="shared" ref="AG14:AG45" si="11">Y14</f>
        <v>88.8</v>
      </c>
      <c r="AH14" s="301">
        <v>0</v>
      </c>
      <c r="AI14" s="301">
        <v>0</v>
      </c>
      <c r="AJ14" s="134">
        <f t="shared" ref="AJ14:AJ45" si="12">ROUND($AV$13+$AU$13*$AF14+$AT$13*$AG14+$AS$13*$AH14+$AR$13*$AI14,0)</f>
        <v>3234</v>
      </c>
      <c r="AK14" s="134">
        <f t="shared" si="5"/>
        <v>-253</v>
      </c>
      <c r="AO14" s="129"/>
      <c r="AP14" s="322">
        <f t="shared" ref="AP14:AP33" si="13">AE14-AE13</f>
        <v>57</v>
      </c>
      <c r="AQ14" s="281" t="s">
        <v>173</v>
      </c>
      <c r="AR14" s="487">
        <v>67.50211065719526</v>
      </c>
      <c r="AS14" s="497">
        <v>85.52849983235221</v>
      </c>
      <c r="AT14" s="486">
        <v>23.432671887282758</v>
      </c>
      <c r="AU14" s="486">
        <v>1.8141684535541127E-4</v>
      </c>
      <c r="AV14" s="486">
        <v>2187.7853606540148</v>
      </c>
      <c r="AW14" s="1057"/>
      <c r="AX14"/>
      <c r="BC14" s="123">
        <v>1981</v>
      </c>
      <c r="BD14" s="134">
        <f t="shared" ref="BD14:BD45" si="14">ROUND($AV$13+$AU$13*$AF14+$AT$13*$AG$63+$AS$13*$AH14+$AR$13*$AI14,0)</f>
        <v>3296</v>
      </c>
      <c r="BE14" s="133">
        <f t="shared" si="6"/>
        <v>2981</v>
      </c>
      <c r="BF14" s="133">
        <f t="shared" ref="BF14:BF35" si="15">BE14-BD14</f>
        <v>-315</v>
      </c>
      <c r="BG14" s="133">
        <f t="shared" si="7"/>
        <v>3234</v>
      </c>
      <c r="BH14" s="495">
        <f t="shared" ref="BH14:BH35" si="16">BD14-BG14</f>
        <v>62</v>
      </c>
    </row>
    <row r="15" spans="1:60">
      <c r="A15" s="123">
        <v>1982</v>
      </c>
      <c r="B15" s="139">
        <v>30207</v>
      </c>
      <c r="C15" s="131">
        <v>17</v>
      </c>
      <c r="D15" s="346" t="str">
        <f t="shared" si="0"/>
        <v>Mon</v>
      </c>
      <c r="E15" s="134">
        <f>[6]Hist!G37</f>
        <v>4086</v>
      </c>
      <c r="F15" s="134">
        <f>[6]Hist!H37</f>
        <v>3379</v>
      </c>
      <c r="G15" s="164">
        <f>SUM([6]Hist!M37:O37)</f>
        <v>0</v>
      </c>
      <c r="H15" s="164">
        <f>[6]Hist!L37</f>
        <v>0</v>
      </c>
      <c r="I15" s="164">
        <f>[6]Hist!P37</f>
        <v>0</v>
      </c>
      <c r="J15" s="133">
        <f t="shared" ref="J15:J32" si="17">SUM(F15:I15)</f>
        <v>3379</v>
      </c>
      <c r="K15" s="164">
        <f>[6]Hist!U37</f>
        <v>13</v>
      </c>
      <c r="L15" s="164">
        <f>[6]Hist!V37</f>
        <v>12</v>
      </c>
      <c r="M15" s="133">
        <f t="shared" si="8"/>
        <v>3392</v>
      </c>
      <c r="N15" s="164">
        <f>[6]Hist!AA37</f>
        <v>173</v>
      </c>
      <c r="O15" s="1377">
        <f t="shared" si="9"/>
        <v>3194</v>
      </c>
      <c r="P15" s="374">
        <f>[4]Data!$I278</f>
        <v>821618</v>
      </c>
      <c r="U15" s="374">
        <f t="shared" si="1"/>
        <v>821618</v>
      </c>
      <c r="V15" s="132"/>
      <c r="W15" s="132">
        <f t="shared" si="2"/>
        <v>25213</v>
      </c>
      <c r="X15" s="339">
        <f>[5]Sep!$J10</f>
        <v>90.3</v>
      </c>
      <c r="Y15" s="339">
        <f>[5]Sep!$M10</f>
        <v>90.4</v>
      </c>
      <c r="AD15" s="1502">
        <f t="shared" si="3"/>
        <v>1982</v>
      </c>
      <c r="AE15" s="409">
        <f t="shared" si="4"/>
        <v>3194</v>
      </c>
      <c r="AF15" s="132">
        <f t="shared" si="10"/>
        <v>821618</v>
      </c>
      <c r="AG15" s="140">
        <f t="shared" si="11"/>
        <v>90.4</v>
      </c>
      <c r="AH15" s="389">
        <v>0</v>
      </c>
      <c r="AI15" s="389">
        <v>0</v>
      </c>
      <c r="AJ15" s="132">
        <f t="shared" si="12"/>
        <v>3450</v>
      </c>
      <c r="AK15" s="132">
        <f t="shared" si="5"/>
        <v>-256</v>
      </c>
      <c r="AL15" s="129"/>
      <c r="AM15" s="129"/>
      <c r="AN15" s="129"/>
      <c r="AO15" s="129"/>
      <c r="AP15" s="322">
        <f t="shared" si="13"/>
        <v>213</v>
      </c>
      <c r="AQ15" s="1389" t="s">
        <v>174</v>
      </c>
      <c r="AR15" s="257">
        <v>0.98676911670936851</v>
      </c>
      <c r="AS15" s="297">
        <v>112.57376918350489</v>
      </c>
      <c r="AT15" s="259" t="e">
        <v>#N/A</v>
      </c>
      <c r="AU15" s="259" t="e">
        <v>#N/A</v>
      </c>
      <c r="AV15" s="259" t="e">
        <v>#N/A</v>
      </c>
      <c r="AW15" s="1057"/>
      <c r="AX15"/>
      <c r="BC15" s="123">
        <v>1982</v>
      </c>
      <c r="BD15" s="134">
        <f t="shared" si="14"/>
        <v>3429</v>
      </c>
      <c r="BE15" s="133">
        <f t="shared" si="6"/>
        <v>3194</v>
      </c>
      <c r="BF15" s="133">
        <f t="shared" si="15"/>
        <v>-235</v>
      </c>
      <c r="BG15" s="133">
        <f t="shared" si="7"/>
        <v>3450</v>
      </c>
      <c r="BH15" s="495">
        <f t="shared" si="16"/>
        <v>-21</v>
      </c>
    </row>
    <row r="16" spans="1:60">
      <c r="A16" s="123">
        <v>1983</v>
      </c>
      <c r="B16" s="139">
        <v>30565</v>
      </c>
      <c r="C16" s="131">
        <v>18</v>
      </c>
      <c r="D16" s="346" t="str">
        <f t="shared" si="0"/>
        <v>Tue</v>
      </c>
      <c r="E16" s="134">
        <f>[6]Hist!G49</f>
        <v>4379</v>
      </c>
      <c r="F16" s="134">
        <f>[6]Hist!H49</f>
        <v>3595</v>
      </c>
      <c r="G16" s="164">
        <f>SUM([6]Hist!M49:O49)</f>
        <v>0</v>
      </c>
      <c r="H16" s="164">
        <f>[6]Hist!L49</f>
        <v>0</v>
      </c>
      <c r="I16" s="164">
        <f>[6]Hist!P49</f>
        <v>0</v>
      </c>
      <c r="J16" s="133">
        <f t="shared" si="17"/>
        <v>3595</v>
      </c>
      <c r="K16" s="164">
        <f>[6]Hist!U49</f>
        <v>26</v>
      </c>
      <c r="L16" s="164">
        <f>[6]Hist!V49</f>
        <v>36</v>
      </c>
      <c r="M16" s="133">
        <f t="shared" si="8"/>
        <v>3621</v>
      </c>
      <c r="N16" s="340">
        <v>185</v>
      </c>
      <c r="O16" s="1377">
        <f t="shared" si="9"/>
        <v>3374</v>
      </c>
      <c r="P16" s="374">
        <f>[4]Data!$I279</f>
        <v>854691</v>
      </c>
      <c r="U16" s="374">
        <f t="shared" si="1"/>
        <v>854691</v>
      </c>
      <c r="V16" s="132"/>
      <c r="W16" s="132">
        <f t="shared" si="2"/>
        <v>33073</v>
      </c>
      <c r="X16" s="339">
        <f>[5]Sep!$J11</f>
        <v>91.5</v>
      </c>
      <c r="Y16" s="339">
        <f>[5]Sep!$M11</f>
        <v>91.6</v>
      </c>
      <c r="AD16" s="284">
        <f t="shared" si="3"/>
        <v>1983</v>
      </c>
      <c r="AE16" s="133">
        <f t="shared" si="4"/>
        <v>3374</v>
      </c>
      <c r="AF16" s="132">
        <f t="shared" si="10"/>
        <v>854691</v>
      </c>
      <c r="AG16" s="140">
        <f t="shared" si="11"/>
        <v>91.6</v>
      </c>
      <c r="AH16" s="301">
        <v>0</v>
      </c>
      <c r="AI16" s="301">
        <v>0</v>
      </c>
      <c r="AJ16" s="134">
        <f t="shared" si="12"/>
        <v>3686</v>
      </c>
      <c r="AK16" s="134">
        <f t="shared" si="5"/>
        <v>-312</v>
      </c>
      <c r="AO16" s="141"/>
      <c r="AP16" s="322">
        <f t="shared" si="13"/>
        <v>180</v>
      </c>
      <c r="AQ16" s="282" t="s">
        <v>175</v>
      </c>
      <c r="AR16" s="255">
        <v>298.32297512837408</v>
      </c>
      <c r="AS16" s="298">
        <v>16</v>
      </c>
      <c r="AT16" s="259" t="e">
        <v>#N/A</v>
      </c>
      <c r="AU16" s="259" t="e">
        <v>#N/A</v>
      </c>
      <c r="AV16" s="259" t="e">
        <v>#N/A</v>
      </c>
      <c r="AW16" s="1057"/>
      <c r="AX16"/>
      <c r="BC16" s="123">
        <v>1983</v>
      </c>
      <c r="BD16" s="134">
        <f t="shared" si="14"/>
        <v>3604</v>
      </c>
      <c r="BE16" s="133">
        <f t="shared" si="6"/>
        <v>3374</v>
      </c>
      <c r="BF16" s="133">
        <f t="shared" si="15"/>
        <v>-230</v>
      </c>
      <c r="BG16" s="133">
        <f t="shared" si="7"/>
        <v>3686</v>
      </c>
      <c r="BH16" s="495">
        <f t="shared" si="16"/>
        <v>-82</v>
      </c>
    </row>
    <row r="17" spans="1:60">
      <c r="A17" s="123">
        <v>1984</v>
      </c>
      <c r="B17" s="139">
        <v>30939</v>
      </c>
      <c r="C17" s="131">
        <v>17</v>
      </c>
      <c r="D17" s="346" t="str">
        <f t="shared" si="0"/>
        <v>Fri</v>
      </c>
      <c r="E17" s="134">
        <f>[6]Hist!G61</f>
        <v>4091</v>
      </c>
      <c r="F17" s="134">
        <f>[6]Hist!H61</f>
        <v>3650</v>
      </c>
      <c r="G17" s="164">
        <f>SUM([6]Hist!M61:O61)</f>
        <v>0</v>
      </c>
      <c r="H17" s="164">
        <f>[6]Hist!L61</f>
        <v>0</v>
      </c>
      <c r="I17" s="164">
        <f>[6]Hist!P61</f>
        <v>0</v>
      </c>
      <c r="J17" s="133">
        <f t="shared" si="17"/>
        <v>3650</v>
      </c>
      <c r="K17" s="164">
        <f>[6]Hist!U61</f>
        <v>42</v>
      </c>
      <c r="L17" s="164">
        <f>[6]Hist!V61</f>
        <v>36</v>
      </c>
      <c r="M17" s="133">
        <f t="shared" si="8"/>
        <v>3692</v>
      </c>
      <c r="N17" s="340">
        <v>120</v>
      </c>
      <c r="O17" s="1377">
        <f t="shared" si="9"/>
        <v>3494</v>
      </c>
      <c r="P17" s="374">
        <f>[4]Data!$I280</f>
        <v>896247</v>
      </c>
      <c r="U17" s="374">
        <f t="shared" si="1"/>
        <v>896247</v>
      </c>
      <c r="V17" s="132"/>
      <c r="W17" s="132">
        <f t="shared" si="2"/>
        <v>41556</v>
      </c>
      <c r="X17" s="339">
        <f>[5]Sep!$J12</f>
        <v>90.4</v>
      </c>
      <c r="Y17" s="339">
        <f>[5]Sep!$M12</f>
        <v>90.3</v>
      </c>
      <c r="AD17" s="284">
        <f t="shared" si="3"/>
        <v>1984</v>
      </c>
      <c r="AE17" s="133">
        <f t="shared" si="4"/>
        <v>3494</v>
      </c>
      <c r="AF17" s="132">
        <f t="shared" si="10"/>
        <v>896247</v>
      </c>
      <c r="AG17" s="140">
        <f t="shared" si="11"/>
        <v>90.3</v>
      </c>
      <c r="AH17" s="301">
        <v>0</v>
      </c>
      <c r="AI17" s="301">
        <v>0</v>
      </c>
      <c r="AJ17" s="134">
        <f t="shared" si="12"/>
        <v>3839</v>
      </c>
      <c r="AK17" s="134">
        <f t="shared" si="5"/>
        <v>-345</v>
      </c>
      <c r="AL17" s="123"/>
      <c r="AM17" s="123"/>
      <c r="AO17" s="135"/>
      <c r="AP17" s="322">
        <f t="shared" si="13"/>
        <v>120</v>
      </c>
      <c r="AQ17" s="282" t="s">
        <v>176</v>
      </c>
      <c r="AR17" s="261">
        <v>15122413.44770648</v>
      </c>
      <c r="AS17" s="298">
        <v>202765.65613089659</v>
      </c>
      <c r="AT17" s="259" t="e">
        <v>#N/A</v>
      </c>
      <c r="AU17" s="259" t="e">
        <v>#N/A</v>
      </c>
      <c r="AV17" s="259" t="e">
        <v>#N/A</v>
      </c>
      <c r="AW17" s="1057"/>
      <c r="AX17"/>
      <c r="BC17" s="123">
        <v>1984</v>
      </c>
      <c r="BD17" s="134">
        <f t="shared" si="14"/>
        <v>3823</v>
      </c>
      <c r="BE17" s="133">
        <f t="shared" si="6"/>
        <v>3494</v>
      </c>
      <c r="BF17" s="133">
        <f t="shared" si="15"/>
        <v>-329</v>
      </c>
      <c r="BG17" s="133">
        <f t="shared" si="7"/>
        <v>3839</v>
      </c>
      <c r="BH17" s="495">
        <f t="shared" si="16"/>
        <v>-16</v>
      </c>
    </row>
    <row r="18" spans="1:60">
      <c r="A18" s="284">
        <v>1985</v>
      </c>
      <c r="B18" s="139">
        <v>31299</v>
      </c>
      <c r="C18" s="131">
        <v>18</v>
      </c>
      <c r="D18" s="346" t="str">
        <f t="shared" si="0"/>
        <v>Mon</v>
      </c>
      <c r="E18" s="134">
        <f>[6]Hist!G73</f>
        <v>4257</v>
      </c>
      <c r="F18" s="134">
        <f>[6]Hist!H73</f>
        <v>3935</v>
      </c>
      <c r="G18" s="164">
        <f>SUM([6]Hist!M73:O73)</f>
        <v>0</v>
      </c>
      <c r="H18" s="164">
        <f>[6]Hist!L73</f>
        <v>0</v>
      </c>
      <c r="I18" s="164">
        <f>[6]Hist!P73</f>
        <v>0</v>
      </c>
      <c r="J18" s="133">
        <f t="shared" si="17"/>
        <v>3935</v>
      </c>
      <c r="K18" s="164">
        <f>[6]Hist!U73</f>
        <v>56</v>
      </c>
      <c r="L18" s="164">
        <f>[6]Hist!V73</f>
        <v>42</v>
      </c>
      <c r="M18" s="133">
        <f t="shared" si="8"/>
        <v>3991</v>
      </c>
      <c r="N18" s="164">
        <f>[6]Hist!AA73</f>
        <v>99</v>
      </c>
      <c r="O18" s="1377">
        <f t="shared" si="9"/>
        <v>3794</v>
      </c>
      <c r="P18" s="374">
        <f>[4]Data!$I281</f>
        <v>935159</v>
      </c>
      <c r="U18" s="374">
        <f t="shared" si="1"/>
        <v>935159</v>
      </c>
      <c r="V18" s="132"/>
      <c r="W18" s="132">
        <f t="shared" si="2"/>
        <v>38912</v>
      </c>
      <c r="X18" s="339">
        <f>[5]Sep!$J13</f>
        <v>88.8</v>
      </c>
      <c r="Y18" s="339">
        <f>[5]Sep!$M13</f>
        <v>89.7</v>
      </c>
      <c r="AD18" s="284">
        <f t="shared" si="3"/>
        <v>1985</v>
      </c>
      <c r="AE18" s="133">
        <f t="shared" si="4"/>
        <v>3794</v>
      </c>
      <c r="AF18" s="132">
        <f t="shared" si="10"/>
        <v>935159</v>
      </c>
      <c r="AG18" s="140">
        <f t="shared" si="11"/>
        <v>89.7</v>
      </c>
      <c r="AH18" s="301">
        <v>0</v>
      </c>
      <c r="AI18" s="301">
        <v>0</v>
      </c>
      <c r="AJ18" s="134">
        <f t="shared" si="12"/>
        <v>4013</v>
      </c>
      <c r="AK18" s="134">
        <f t="shared" si="5"/>
        <v>-219</v>
      </c>
      <c r="AL18" s="134"/>
      <c r="AM18" s="134"/>
      <c r="AO18" s="135"/>
      <c r="AP18" s="322">
        <f t="shared" si="13"/>
        <v>300</v>
      </c>
      <c r="AQ18" s="262" t="s">
        <v>177</v>
      </c>
      <c r="AR18" s="854" t="e">
        <v>#N/A</v>
      </c>
      <c r="AS18" s="855" t="e">
        <v>#N/A</v>
      </c>
      <c r="AT18" s="855" t="e">
        <v>#N/A</v>
      </c>
      <c r="AU18" s="854" t="e">
        <v>#N/A</v>
      </c>
      <c r="AV18" s="854" t="e">
        <v>#N/A</v>
      </c>
      <c r="AW18" s="1057"/>
      <c r="AX18"/>
      <c r="BC18" s="123">
        <v>1985</v>
      </c>
      <c r="BD18" s="134">
        <f t="shared" si="14"/>
        <v>4029</v>
      </c>
      <c r="BE18" s="133">
        <f t="shared" si="6"/>
        <v>3794</v>
      </c>
      <c r="BF18" s="133">
        <f t="shared" si="15"/>
        <v>-235</v>
      </c>
      <c r="BG18" s="133">
        <f t="shared" si="7"/>
        <v>4013</v>
      </c>
      <c r="BH18" s="495">
        <f t="shared" si="16"/>
        <v>16</v>
      </c>
    </row>
    <row r="19" spans="1:60">
      <c r="A19" s="123">
        <v>1986</v>
      </c>
      <c r="B19" s="139">
        <v>31685</v>
      </c>
      <c r="C19" s="131">
        <v>18</v>
      </c>
      <c r="D19" s="346" t="str">
        <f t="shared" si="0"/>
        <v>Tue</v>
      </c>
      <c r="E19" s="134">
        <f>[6]Hist!G85</f>
        <v>4428</v>
      </c>
      <c r="F19" s="134">
        <f>[6]Hist!H85</f>
        <v>4162</v>
      </c>
      <c r="G19" s="164">
        <f>SUM([6]Hist!M85:O85)</f>
        <v>0</v>
      </c>
      <c r="H19" s="164">
        <f>[6]Hist!L85</f>
        <v>0</v>
      </c>
      <c r="I19" s="164">
        <f>[6]Hist!P85</f>
        <v>0</v>
      </c>
      <c r="J19" s="133">
        <f t="shared" si="17"/>
        <v>4162</v>
      </c>
      <c r="K19" s="164">
        <f>[6]Hist!U85</f>
        <v>65</v>
      </c>
      <c r="L19" s="164">
        <f>[6]Hist!V85</f>
        <v>51</v>
      </c>
      <c r="M19" s="133">
        <f t="shared" si="8"/>
        <v>4227</v>
      </c>
      <c r="N19" s="164">
        <f>[6]Hist!AA85</f>
        <v>193</v>
      </c>
      <c r="O19" s="1377">
        <f t="shared" si="9"/>
        <v>3918</v>
      </c>
      <c r="P19" s="374">
        <f>[4]Data!$I282</f>
        <v>973961</v>
      </c>
      <c r="U19" s="374">
        <f t="shared" si="1"/>
        <v>973961</v>
      </c>
      <c r="V19" s="132"/>
      <c r="W19" s="132">
        <f t="shared" si="2"/>
        <v>38802</v>
      </c>
      <c r="X19" s="339">
        <f>[5]Sep!$J14</f>
        <v>88.5</v>
      </c>
      <c r="Y19" s="339">
        <f>[5]Sep!$M14</f>
        <v>90</v>
      </c>
      <c r="AD19" s="284">
        <f t="shared" si="3"/>
        <v>1986</v>
      </c>
      <c r="AE19" s="133">
        <f t="shared" si="4"/>
        <v>3918</v>
      </c>
      <c r="AF19" s="132">
        <f t="shared" si="10"/>
        <v>973961</v>
      </c>
      <c r="AG19" s="140">
        <f t="shared" si="11"/>
        <v>90</v>
      </c>
      <c r="AH19" s="301">
        <v>0</v>
      </c>
      <c r="AI19" s="301">
        <v>0</v>
      </c>
      <c r="AJ19" s="134">
        <f t="shared" si="12"/>
        <v>4234</v>
      </c>
      <c r="AK19" s="134">
        <f t="shared" si="5"/>
        <v>-316</v>
      </c>
      <c r="AL19" s="134"/>
      <c r="AM19" s="134"/>
      <c r="AO19" s="135"/>
      <c r="AP19" s="322">
        <f t="shared" si="13"/>
        <v>124</v>
      </c>
      <c r="AR19" s="1337">
        <f>AR13/AR14</f>
        <v>-6.7599952856091994</v>
      </c>
      <c r="AS19" s="1337">
        <f t="shared" ref="AS19:AU19" si="18">AS13/AS14</f>
        <v>-3.6343035102721157</v>
      </c>
      <c r="AT19" s="1337">
        <f t="shared" si="18"/>
        <v>2.2036801004623006</v>
      </c>
      <c r="AU19" s="1337">
        <f t="shared" si="18"/>
        <v>29.132389741853398</v>
      </c>
      <c r="AV19" s="1337">
        <f>AV13/AV14</f>
        <v>-2.5417865902147523</v>
      </c>
      <c r="AW19"/>
      <c r="AX19"/>
      <c r="BC19" s="123">
        <v>1986</v>
      </c>
      <c r="BD19" s="134">
        <f t="shared" si="14"/>
        <v>4234</v>
      </c>
      <c r="BE19" s="133">
        <f t="shared" si="6"/>
        <v>3918</v>
      </c>
      <c r="BF19" s="133">
        <f t="shared" si="15"/>
        <v>-316</v>
      </c>
      <c r="BG19" s="133">
        <f t="shared" si="7"/>
        <v>4234</v>
      </c>
      <c r="BH19" s="495">
        <f t="shared" si="16"/>
        <v>0</v>
      </c>
    </row>
    <row r="20" spans="1:60">
      <c r="A20" s="123">
        <v>1987</v>
      </c>
      <c r="B20" s="139">
        <v>32029</v>
      </c>
      <c r="C20" s="131">
        <v>18</v>
      </c>
      <c r="D20" s="346" t="str">
        <f t="shared" si="0"/>
        <v>Wed</v>
      </c>
      <c r="E20" s="134">
        <f>[6]Hist!G97</f>
        <v>5016</v>
      </c>
      <c r="F20" s="134">
        <f>[6]Hist!H97</f>
        <v>4643</v>
      </c>
      <c r="G20" s="164">
        <f>SUM([6]Hist!M97:O97)</f>
        <v>0</v>
      </c>
      <c r="H20" s="164">
        <f>[6]Hist!L97</f>
        <v>0</v>
      </c>
      <c r="I20" s="164">
        <f>[6]Hist!P97</f>
        <v>0</v>
      </c>
      <c r="J20" s="133">
        <f t="shared" si="17"/>
        <v>4643</v>
      </c>
      <c r="K20" s="164">
        <f>[6]Hist!U97</f>
        <v>71</v>
      </c>
      <c r="L20" s="164">
        <f>[6]Hist!V97</f>
        <v>58</v>
      </c>
      <c r="M20" s="133">
        <f t="shared" si="8"/>
        <v>4714</v>
      </c>
      <c r="N20" s="164">
        <f>[6]Hist!AA97</f>
        <v>265</v>
      </c>
      <c r="O20" s="1377">
        <f t="shared" si="9"/>
        <v>4320</v>
      </c>
      <c r="P20" s="374">
        <f>[4]Data!$I283</f>
        <v>1015634</v>
      </c>
      <c r="U20" s="374">
        <f t="shared" si="1"/>
        <v>1015634</v>
      </c>
      <c r="V20" s="132"/>
      <c r="W20" s="132">
        <f t="shared" si="2"/>
        <v>41673</v>
      </c>
      <c r="X20" s="339">
        <f>[5]Sep!$J15</f>
        <v>90.4</v>
      </c>
      <c r="Y20" s="339">
        <f>[5]Sep!$M15</f>
        <v>91.3</v>
      </c>
      <c r="AD20" s="284">
        <f t="shared" si="3"/>
        <v>1987</v>
      </c>
      <c r="AE20" s="133">
        <f t="shared" si="4"/>
        <v>4320</v>
      </c>
      <c r="AF20" s="132">
        <f t="shared" si="10"/>
        <v>1015634</v>
      </c>
      <c r="AG20" s="140">
        <f t="shared" si="11"/>
        <v>91.3</v>
      </c>
      <c r="AH20" s="301">
        <v>0</v>
      </c>
      <c r="AI20" s="301">
        <v>0</v>
      </c>
      <c r="AJ20" s="134">
        <f t="shared" si="12"/>
        <v>4521</v>
      </c>
      <c r="AK20" s="134">
        <f t="shared" si="5"/>
        <v>-201</v>
      </c>
      <c r="AL20" s="134"/>
      <c r="AM20" s="134"/>
      <c r="AO20" s="135"/>
      <c r="AP20" s="322">
        <f t="shared" si="13"/>
        <v>402</v>
      </c>
      <c r="AV20" s="268"/>
      <c r="AW20"/>
      <c r="AX20"/>
      <c r="BC20" s="123">
        <v>1987</v>
      </c>
      <c r="BD20" s="134">
        <f t="shared" si="14"/>
        <v>4454</v>
      </c>
      <c r="BE20" s="133">
        <f t="shared" si="6"/>
        <v>4320</v>
      </c>
      <c r="BF20" s="133">
        <f t="shared" si="15"/>
        <v>-134</v>
      </c>
      <c r="BG20" s="133">
        <f t="shared" si="7"/>
        <v>4521</v>
      </c>
      <c r="BH20" s="495">
        <f t="shared" si="16"/>
        <v>-67</v>
      </c>
    </row>
    <row r="21" spans="1:60">
      <c r="A21" s="123">
        <v>1988</v>
      </c>
      <c r="B21" s="139">
        <v>32408</v>
      </c>
      <c r="C21" s="131">
        <v>18</v>
      </c>
      <c r="D21" s="346" t="str">
        <f t="shared" si="0"/>
        <v>Thu</v>
      </c>
      <c r="E21" s="134">
        <f>[6]Hist!G109</f>
        <v>5224</v>
      </c>
      <c r="F21" s="134">
        <f>[6]Hist!H109</f>
        <v>4530</v>
      </c>
      <c r="G21" s="164">
        <f>SUM([6]Hist!M109:O109)</f>
        <v>0</v>
      </c>
      <c r="H21" s="164">
        <f>[6]Hist!L109</f>
        <v>0</v>
      </c>
      <c r="I21" s="164">
        <f>[6]Hist!P109</f>
        <v>0</v>
      </c>
      <c r="J21" s="133">
        <f t="shared" si="17"/>
        <v>4530</v>
      </c>
      <c r="K21" s="164">
        <f>[6]Hist!U109</f>
        <v>76</v>
      </c>
      <c r="L21" s="164">
        <f>[6]Hist!V109</f>
        <v>61</v>
      </c>
      <c r="M21" s="133">
        <f t="shared" si="8"/>
        <v>4606</v>
      </c>
      <c r="N21" s="164">
        <f>[6]Hist!AA109</f>
        <v>250</v>
      </c>
      <c r="O21" s="1377">
        <f t="shared" si="9"/>
        <v>4219</v>
      </c>
      <c r="P21" s="374">
        <f>[4]Data!$I284</f>
        <v>1052896</v>
      </c>
      <c r="U21" s="374">
        <f t="shared" si="1"/>
        <v>1052896</v>
      </c>
      <c r="V21" s="132"/>
      <c r="W21" s="132">
        <f t="shared" si="2"/>
        <v>37262</v>
      </c>
      <c r="X21" s="339">
        <f>[5]Sep!$J16</f>
        <v>89.6</v>
      </c>
      <c r="Y21" s="339">
        <f>[5]Sep!$M16</f>
        <v>90.5</v>
      </c>
      <c r="AD21" s="284">
        <f t="shared" si="3"/>
        <v>1988</v>
      </c>
      <c r="AE21" s="133">
        <f t="shared" si="4"/>
        <v>4219</v>
      </c>
      <c r="AF21" s="132">
        <f t="shared" si="10"/>
        <v>1052896</v>
      </c>
      <c r="AG21" s="140">
        <f t="shared" si="11"/>
        <v>90.5</v>
      </c>
      <c r="AH21" s="301">
        <v>0</v>
      </c>
      <c r="AI21" s="301">
        <v>1</v>
      </c>
      <c r="AJ21" s="134">
        <f t="shared" si="12"/>
        <v>4221</v>
      </c>
      <c r="AK21" s="134">
        <f t="shared" si="5"/>
        <v>-2</v>
      </c>
      <c r="AL21" s="134"/>
      <c r="AM21" s="134"/>
      <c r="AO21" s="135"/>
      <c r="AP21" s="322">
        <f t="shared" si="13"/>
        <v>-101</v>
      </c>
      <c r="AV21" s="269"/>
      <c r="AW21"/>
      <c r="AX21"/>
      <c r="BC21" s="123">
        <v>1988</v>
      </c>
      <c r="BD21" s="134">
        <f t="shared" si="14"/>
        <v>4195</v>
      </c>
      <c r="BE21" s="133">
        <f t="shared" si="6"/>
        <v>4219</v>
      </c>
      <c r="BF21" s="133">
        <f t="shared" si="15"/>
        <v>24</v>
      </c>
      <c r="BG21" s="133">
        <f t="shared" si="7"/>
        <v>4221</v>
      </c>
      <c r="BH21" s="495">
        <f t="shared" si="16"/>
        <v>-26</v>
      </c>
    </row>
    <row r="22" spans="1:60">
      <c r="A22" s="123">
        <v>1989</v>
      </c>
      <c r="B22" s="139">
        <v>32766</v>
      </c>
      <c r="C22" s="131">
        <v>17</v>
      </c>
      <c r="D22" s="346" t="str">
        <f t="shared" si="0"/>
        <v>Fri</v>
      </c>
      <c r="E22" s="134">
        <f>[6]Hist!G121</f>
        <v>5483</v>
      </c>
      <c r="F22" s="134">
        <f>[6]Hist!H121</f>
        <v>5034</v>
      </c>
      <c r="G22" s="164">
        <f>SUM([6]Hist!M121:O121)</f>
        <v>0</v>
      </c>
      <c r="H22" s="164">
        <f>[6]Hist!L121</f>
        <v>0</v>
      </c>
      <c r="I22" s="164">
        <f>[6]Hist!P121</f>
        <v>0</v>
      </c>
      <c r="J22" s="133">
        <f t="shared" si="17"/>
        <v>5034</v>
      </c>
      <c r="K22" s="164">
        <f>[6]Hist!U121</f>
        <v>80</v>
      </c>
      <c r="L22" s="164">
        <f>[6]Hist!V121</f>
        <v>66</v>
      </c>
      <c r="M22" s="133">
        <f t="shared" si="8"/>
        <v>5114</v>
      </c>
      <c r="N22" s="164">
        <f>[6]Hist!AA121</f>
        <v>232</v>
      </c>
      <c r="O22" s="1377">
        <f t="shared" si="9"/>
        <v>4736</v>
      </c>
      <c r="P22" s="374">
        <f>[4]Data!$I285</f>
        <v>1094574</v>
      </c>
      <c r="T22" s="387"/>
      <c r="U22" s="374">
        <f t="shared" si="1"/>
        <v>1094574</v>
      </c>
      <c r="V22" s="132"/>
      <c r="W22" s="132">
        <f t="shared" si="2"/>
        <v>41678</v>
      </c>
      <c r="X22" s="339">
        <f>[5]Sep!$J17</f>
        <v>89.5</v>
      </c>
      <c r="Y22" s="339">
        <f>[5]Sep!$M17</f>
        <v>89.5</v>
      </c>
      <c r="AA22" s="496">
        <f t="shared" ref="AA22:AA38" si="19">U22-U21</f>
        <v>41678</v>
      </c>
      <c r="AD22" s="284">
        <f t="shared" si="3"/>
        <v>1989</v>
      </c>
      <c r="AE22" s="133">
        <f t="shared" si="4"/>
        <v>4736</v>
      </c>
      <c r="AF22" s="132">
        <f t="shared" si="10"/>
        <v>1094574</v>
      </c>
      <c r="AG22" s="140">
        <f t="shared" si="11"/>
        <v>89.5</v>
      </c>
      <c r="AH22" s="301">
        <v>0</v>
      </c>
      <c r="AI22" s="301">
        <v>0</v>
      </c>
      <c r="AJ22" s="134">
        <f t="shared" si="12"/>
        <v>4846</v>
      </c>
      <c r="AK22" s="134">
        <f t="shared" si="5"/>
        <v>-110</v>
      </c>
      <c r="AL22" s="134"/>
      <c r="AM22" s="134"/>
      <c r="AO22" s="129"/>
      <c r="AP22" s="322">
        <f t="shared" si="13"/>
        <v>517</v>
      </c>
      <c r="AV22" s="269"/>
      <c r="AW22"/>
      <c r="AX22"/>
      <c r="BC22" s="123">
        <v>1989</v>
      </c>
      <c r="BD22" s="134">
        <f t="shared" si="14"/>
        <v>4871</v>
      </c>
      <c r="BE22" s="133">
        <f t="shared" si="6"/>
        <v>4736</v>
      </c>
      <c r="BF22" s="133">
        <f t="shared" si="15"/>
        <v>-135</v>
      </c>
      <c r="BG22" s="133">
        <f t="shared" si="7"/>
        <v>4846</v>
      </c>
      <c r="BH22" s="495">
        <f t="shared" si="16"/>
        <v>25</v>
      </c>
    </row>
    <row r="23" spans="1:60">
      <c r="A23" s="123">
        <v>1990</v>
      </c>
      <c r="B23" s="139">
        <v>33129</v>
      </c>
      <c r="C23" s="131">
        <v>18</v>
      </c>
      <c r="D23" s="346" t="str">
        <f t="shared" si="0"/>
        <v>Thu</v>
      </c>
      <c r="E23" s="133">
        <f>[7]MoCoinMW!F13</f>
        <v>5614</v>
      </c>
      <c r="F23" s="133">
        <f>[7]MoCoinMW!G13</f>
        <v>5064.5418090919666</v>
      </c>
      <c r="G23" s="164">
        <f>SUM([6]Hist!M133:O133)</f>
        <v>60</v>
      </c>
      <c r="H23" s="164">
        <f>[6]Hist!L133</f>
        <v>0</v>
      </c>
      <c r="I23" s="164">
        <f>[6]Hist!P133</f>
        <v>0</v>
      </c>
      <c r="J23" s="133">
        <f t="shared" si="17"/>
        <v>5124.5418090919666</v>
      </c>
      <c r="K23" s="164">
        <f>[6]Hist!U133</f>
        <v>85</v>
      </c>
      <c r="L23" s="164">
        <f>[6]Hist!V133</f>
        <v>66</v>
      </c>
      <c r="M23" s="133">
        <f t="shared" si="8"/>
        <v>5209.5418090919666</v>
      </c>
      <c r="N23" s="164">
        <f>[6]Hist!AA133</f>
        <v>196</v>
      </c>
      <c r="O23" s="1377">
        <f t="shared" si="9"/>
        <v>4862.5418090919666</v>
      </c>
      <c r="P23" s="374">
        <f>[4]Data!$I286</f>
        <v>1125540</v>
      </c>
      <c r="T23" s="387"/>
      <c r="U23" s="374">
        <f t="shared" si="1"/>
        <v>1125540</v>
      </c>
      <c r="V23" s="132"/>
      <c r="W23" s="132">
        <f t="shared" si="2"/>
        <v>30966</v>
      </c>
      <c r="X23" s="339">
        <f>[5]Sep!$J18</f>
        <v>91.7</v>
      </c>
      <c r="Y23" s="339">
        <f>[5]Sep!$M18</f>
        <v>92.4</v>
      </c>
      <c r="AA23" s="496">
        <f t="shared" si="19"/>
        <v>30966</v>
      </c>
      <c r="AD23" s="284">
        <f t="shared" si="3"/>
        <v>1990</v>
      </c>
      <c r="AE23" s="133">
        <f t="shared" si="4"/>
        <v>4862.5418090919666</v>
      </c>
      <c r="AF23" s="132">
        <f t="shared" si="10"/>
        <v>1125540</v>
      </c>
      <c r="AG23" s="140">
        <f t="shared" si="11"/>
        <v>92.4</v>
      </c>
      <c r="AH23" s="301">
        <v>0</v>
      </c>
      <c r="AI23" s="301">
        <v>0</v>
      </c>
      <c r="AJ23" s="134">
        <f t="shared" si="12"/>
        <v>5159</v>
      </c>
      <c r="AK23" s="134">
        <f t="shared" si="5"/>
        <v>-296.45819090803343</v>
      </c>
      <c r="AL23" s="134"/>
      <c r="AM23" s="134"/>
      <c r="AO23" s="129"/>
      <c r="AP23" s="322">
        <f t="shared" si="13"/>
        <v>126.54180909196657</v>
      </c>
      <c r="AU23" s="269"/>
      <c r="AV23" s="269"/>
      <c r="AW23"/>
      <c r="AX23"/>
      <c r="BC23" s="123">
        <v>1990</v>
      </c>
      <c r="BD23" s="134">
        <f t="shared" si="14"/>
        <v>5035</v>
      </c>
      <c r="BE23" s="133">
        <f t="shared" si="6"/>
        <v>4862.5418090919666</v>
      </c>
      <c r="BF23" s="133">
        <f t="shared" si="15"/>
        <v>-172.45819090803343</v>
      </c>
      <c r="BG23" s="133">
        <f t="shared" si="7"/>
        <v>5159</v>
      </c>
      <c r="BH23" s="495">
        <f t="shared" si="16"/>
        <v>-124</v>
      </c>
    </row>
    <row r="24" spans="1:60">
      <c r="A24" s="123">
        <v>1991</v>
      </c>
      <c r="B24" s="139">
        <v>33500</v>
      </c>
      <c r="C24" s="131">
        <v>17</v>
      </c>
      <c r="D24" s="346" t="str">
        <f t="shared" si="0"/>
        <v>Thu</v>
      </c>
      <c r="E24" s="133">
        <f>[7]MoCoinMW!F25</f>
        <v>5815</v>
      </c>
      <c r="F24" s="133">
        <f>[7]MoCoinMW!G25</f>
        <v>5178.221102197419</v>
      </c>
      <c r="G24" s="164">
        <f>SUM([6]Hist!M145:O145)</f>
        <v>44</v>
      </c>
      <c r="H24" s="164">
        <f>[6]Hist!L145</f>
        <v>0</v>
      </c>
      <c r="I24" s="164">
        <f>[6]Hist!P145</f>
        <v>0</v>
      </c>
      <c r="J24" s="133">
        <f t="shared" si="17"/>
        <v>5222.221102197419</v>
      </c>
      <c r="K24" s="164">
        <f>[6]Hist!U145</f>
        <v>89</v>
      </c>
      <c r="L24" s="164">
        <f>[6]Hist!V145</f>
        <v>65.5</v>
      </c>
      <c r="M24" s="133">
        <f t="shared" si="8"/>
        <v>5311.221102197419</v>
      </c>
      <c r="N24" s="164">
        <f>[6]Hist!AA145</f>
        <v>241</v>
      </c>
      <c r="O24" s="1377">
        <f t="shared" si="9"/>
        <v>4915.721102197419</v>
      </c>
      <c r="P24" s="374">
        <f>[4]Data!$I287</f>
        <v>1146813</v>
      </c>
      <c r="T24" s="387"/>
      <c r="U24" s="374">
        <f t="shared" si="1"/>
        <v>1146813</v>
      </c>
      <c r="V24" s="132"/>
      <c r="W24" s="132">
        <f t="shared" si="2"/>
        <v>21273</v>
      </c>
      <c r="X24" s="339">
        <f>[5]Sep!$J19</f>
        <v>92</v>
      </c>
      <c r="Y24" s="339">
        <f>[5]Sep!$M19</f>
        <v>91.2</v>
      </c>
      <c r="AA24" s="496">
        <f t="shared" si="19"/>
        <v>21273</v>
      </c>
      <c r="AD24" s="419">
        <f t="shared" si="3"/>
        <v>1991</v>
      </c>
      <c r="AE24" s="408">
        <f t="shared" si="4"/>
        <v>4915.721102197419</v>
      </c>
      <c r="AF24" s="1385">
        <f t="shared" si="10"/>
        <v>1146813</v>
      </c>
      <c r="AG24" s="1386">
        <f t="shared" si="11"/>
        <v>91.2</v>
      </c>
      <c r="AH24" s="421">
        <v>0</v>
      </c>
      <c r="AI24" s="421">
        <v>0</v>
      </c>
      <c r="AJ24" s="1385">
        <f t="shared" si="12"/>
        <v>5210</v>
      </c>
      <c r="AK24" s="1385">
        <f t="shared" si="5"/>
        <v>-294.27889780258101</v>
      </c>
      <c r="AL24" s="1385"/>
      <c r="AM24" s="1385"/>
      <c r="AN24" s="632"/>
      <c r="AO24" s="1387"/>
      <c r="AP24" s="597">
        <f t="shared" si="13"/>
        <v>53.179293105452416</v>
      </c>
      <c r="AU24" s="289"/>
      <c r="AV24" s="270"/>
      <c r="AW24" s="28"/>
      <c r="AX24" s="28"/>
      <c r="BC24" s="123">
        <v>1991</v>
      </c>
      <c r="BD24" s="134">
        <f t="shared" si="14"/>
        <v>5148</v>
      </c>
      <c r="BE24" s="133">
        <f t="shared" si="6"/>
        <v>4915.721102197419</v>
      </c>
      <c r="BF24" s="133">
        <f t="shared" si="15"/>
        <v>-232.27889780258101</v>
      </c>
      <c r="BG24" s="133">
        <f t="shared" si="7"/>
        <v>5210</v>
      </c>
      <c r="BH24" s="495">
        <f t="shared" si="16"/>
        <v>-62</v>
      </c>
    </row>
    <row r="25" spans="1:60">
      <c r="A25" s="123">
        <v>1992</v>
      </c>
      <c r="B25" s="139">
        <v>33869</v>
      </c>
      <c r="C25" s="131">
        <v>17</v>
      </c>
      <c r="D25" s="346" t="str">
        <f t="shared" si="0"/>
        <v>Tue</v>
      </c>
      <c r="E25" s="133">
        <f>[7]MoCoinMW!F37</f>
        <v>5927</v>
      </c>
      <c r="F25" s="133">
        <f>[7]MoCoinMW!G37</f>
        <v>5262.4077875496141</v>
      </c>
      <c r="G25" s="164">
        <f>SUM([6]Hist!M157:O157)</f>
        <v>0</v>
      </c>
      <c r="H25" s="164">
        <f>[6]Hist!L157</f>
        <v>0</v>
      </c>
      <c r="I25" s="164">
        <f>[6]Hist!P157</f>
        <v>0</v>
      </c>
      <c r="J25" s="133">
        <f t="shared" si="17"/>
        <v>5262.4077875496141</v>
      </c>
      <c r="K25" s="164">
        <f>[6]Hist!U157</f>
        <v>99</v>
      </c>
      <c r="L25" s="164">
        <f>[6]Hist!V157</f>
        <v>65.5</v>
      </c>
      <c r="M25" s="133">
        <f t="shared" si="8"/>
        <v>5361.4077875496141</v>
      </c>
      <c r="N25" s="164">
        <f>[6]Hist!AA157</f>
        <v>212</v>
      </c>
      <c r="O25" s="1377">
        <f t="shared" si="9"/>
        <v>4984.9077875496141</v>
      </c>
      <c r="P25" s="374">
        <f>[4]Data!$I288</f>
        <v>1171039</v>
      </c>
      <c r="T25" s="387"/>
      <c r="U25" s="374">
        <f t="shared" si="1"/>
        <v>1171039</v>
      </c>
      <c r="V25" s="132"/>
      <c r="W25" s="132">
        <f t="shared" si="2"/>
        <v>24226</v>
      </c>
      <c r="X25" s="339">
        <f>[5]Sep!$J20</f>
        <v>89.9</v>
      </c>
      <c r="Y25" s="339">
        <f>[5]Sep!$M20</f>
        <v>90.2</v>
      </c>
      <c r="AA25" s="496">
        <f t="shared" si="19"/>
        <v>24226</v>
      </c>
      <c r="AD25" s="844">
        <f t="shared" si="3"/>
        <v>1992</v>
      </c>
      <c r="AE25" s="133">
        <f t="shared" si="4"/>
        <v>4984.9077875496141</v>
      </c>
      <c r="AF25" s="132">
        <f t="shared" si="10"/>
        <v>1171039</v>
      </c>
      <c r="AG25" s="140">
        <f t="shared" si="11"/>
        <v>90.2</v>
      </c>
      <c r="AH25" s="301">
        <v>0</v>
      </c>
      <c r="AI25" s="301">
        <v>1</v>
      </c>
      <c r="AJ25" s="134">
        <f t="shared" si="12"/>
        <v>4830</v>
      </c>
      <c r="AK25" s="134">
        <f t="shared" si="5"/>
        <v>154.90778754961411</v>
      </c>
      <c r="AL25" s="134"/>
      <c r="AM25" s="134"/>
      <c r="AO25" s="135"/>
      <c r="AP25" s="322">
        <f t="shared" si="13"/>
        <v>69.186685352195127</v>
      </c>
      <c r="AQ25" s="1"/>
      <c r="AR25" s="1"/>
      <c r="AS25" s="1"/>
      <c r="AT25" s="1"/>
      <c r="AU25" s="1"/>
      <c r="AV25" s="28"/>
      <c r="AW25" s="28"/>
      <c r="AX25" s="28"/>
      <c r="BC25" s="123">
        <v>1992</v>
      </c>
      <c r="BD25" s="134">
        <f t="shared" si="14"/>
        <v>4819</v>
      </c>
      <c r="BE25" s="133">
        <f t="shared" si="6"/>
        <v>4984.9077875496141</v>
      </c>
      <c r="BF25" s="133">
        <f t="shared" si="15"/>
        <v>165.90778754961411</v>
      </c>
      <c r="BG25" s="133">
        <f t="shared" si="7"/>
        <v>4830</v>
      </c>
      <c r="BH25" s="495">
        <f t="shared" si="16"/>
        <v>-11</v>
      </c>
    </row>
    <row r="26" spans="1:60">
      <c r="A26" s="123">
        <v>1993</v>
      </c>
      <c r="B26" s="139">
        <v>34234</v>
      </c>
      <c r="C26" s="131">
        <v>18</v>
      </c>
      <c r="D26" s="346" t="str">
        <f t="shared" si="0"/>
        <v>Wed</v>
      </c>
      <c r="E26" s="133">
        <f>[7]MoCoinMW!F49</f>
        <v>6173</v>
      </c>
      <c r="F26" s="133">
        <f>[7]MoCoinMW!G49</f>
        <v>5435.2729770312526</v>
      </c>
      <c r="G26" s="164">
        <f>SUM([6]Hist!M169:O169)</f>
        <v>0</v>
      </c>
      <c r="H26" s="164">
        <f>[6]Hist!L169</f>
        <v>0</v>
      </c>
      <c r="I26" s="164">
        <f>[6]Hist!P169</f>
        <v>0</v>
      </c>
      <c r="J26" s="133">
        <f t="shared" si="17"/>
        <v>5435.2729770312526</v>
      </c>
      <c r="K26" s="164">
        <f>[6]Hist!U169</f>
        <v>119</v>
      </c>
      <c r="L26" s="164">
        <f>[6]Hist!V169</f>
        <v>65.5</v>
      </c>
      <c r="M26" s="133">
        <f t="shared" si="8"/>
        <v>5554.2729770312526</v>
      </c>
      <c r="N26" s="164">
        <f>[6]Hist!AA169</f>
        <v>209</v>
      </c>
      <c r="O26" s="1377">
        <f t="shared" si="9"/>
        <v>5160.7729770312526</v>
      </c>
      <c r="P26" s="374">
        <f>[4]Data!$I289</f>
        <v>1207021</v>
      </c>
      <c r="T26" s="387"/>
      <c r="U26" s="374">
        <f t="shared" si="1"/>
        <v>1207021</v>
      </c>
      <c r="W26" s="132">
        <f t="shared" ref="W26:W58" si="20">U26-U25</f>
        <v>35982</v>
      </c>
      <c r="X26" s="339">
        <f>[5]Sep!$J21</f>
        <v>90.4</v>
      </c>
      <c r="Y26" s="339">
        <f>[5]Sep!$M21</f>
        <v>91.1</v>
      </c>
      <c r="AA26" s="496">
        <f t="shared" si="19"/>
        <v>35982</v>
      </c>
      <c r="AD26" s="844">
        <f t="shared" si="3"/>
        <v>1993</v>
      </c>
      <c r="AE26" s="133">
        <f t="shared" si="4"/>
        <v>5160.7729770312526</v>
      </c>
      <c r="AF26" s="132">
        <f t="shared" si="10"/>
        <v>1207021</v>
      </c>
      <c r="AG26" s="140">
        <f t="shared" si="11"/>
        <v>91.1</v>
      </c>
      <c r="AH26" s="301">
        <v>1</v>
      </c>
      <c r="AI26" s="301">
        <v>0</v>
      </c>
      <c r="AJ26" s="134">
        <f t="shared" si="12"/>
        <v>5212</v>
      </c>
      <c r="AK26" s="134">
        <f t="shared" si="5"/>
        <v>-51.227022968747406</v>
      </c>
      <c r="AL26" s="134"/>
      <c r="AM26" s="134"/>
      <c r="AO26" s="135"/>
      <c r="AP26" s="322">
        <f t="shared" si="13"/>
        <v>175.86518948163848</v>
      </c>
      <c r="AQ26" s="271"/>
      <c r="AR26" s="271"/>
      <c r="AS26" s="266"/>
      <c r="AT26" s="266"/>
      <c r="AU26" s="266"/>
      <c r="AV26" s="28"/>
      <c r="AW26" s="28"/>
      <c r="AX26" s="28"/>
      <c r="BC26" s="123">
        <v>1993</v>
      </c>
      <c r="BD26" s="134">
        <f t="shared" si="14"/>
        <v>5155</v>
      </c>
      <c r="BE26" s="133">
        <f t="shared" si="6"/>
        <v>5160.7729770312526</v>
      </c>
      <c r="BF26" s="133">
        <f t="shared" si="15"/>
        <v>5.7729770312525943</v>
      </c>
      <c r="BG26" s="133">
        <f t="shared" si="7"/>
        <v>5212</v>
      </c>
      <c r="BH26" s="495">
        <f t="shared" si="16"/>
        <v>-57</v>
      </c>
    </row>
    <row r="27" spans="1:60">
      <c r="A27" s="123">
        <v>1994</v>
      </c>
      <c r="B27" s="139">
        <v>34579</v>
      </c>
      <c r="C27" s="131">
        <v>17</v>
      </c>
      <c r="D27" s="346" t="str">
        <f t="shared" si="0"/>
        <v>Fri</v>
      </c>
      <c r="E27" s="133">
        <f>[7]MoCoinMW!F61</f>
        <v>6323</v>
      </c>
      <c r="F27" s="133">
        <f>[7]MoCoinMW!G61</f>
        <v>5601.6055916469631</v>
      </c>
      <c r="G27" s="164">
        <f>SUM([6]Hist!M181:O181)</f>
        <v>0</v>
      </c>
      <c r="H27" s="164">
        <f>[6]Hist!L181</f>
        <v>0</v>
      </c>
      <c r="I27" s="164">
        <f>[6]Hist!P181</f>
        <v>0</v>
      </c>
      <c r="J27" s="133">
        <f t="shared" si="17"/>
        <v>5601.6055916469631</v>
      </c>
      <c r="K27" s="164">
        <f>[6]Hist!U181</f>
        <v>139</v>
      </c>
      <c r="L27" s="164">
        <f>[6]Hist!V181</f>
        <v>65.5</v>
      </c>
      <c r="M27" s="133">
        <f t="shared" si="8"/>
        <v>5740.6055916469631</v>
      </c>
      <c r="N27" s="164">
        <f>[6]Hist!AA181</f>
        <v>255</v>
      </c>
      <c r="O27" s="1377">
        <f t="shared" si="9"/>
        <v>5281.1055916469631</v>
      </c>
      <c r="P27" s="374">
        <f>[4]Data!$I290</f>
        <v>1230545</v>
      </c>
      <c r="T27" s="387"/>
      <c r="U27" s="374">
        <f t="shared" si="1"/>
        <v>1230545</v>
      </c>
      <c r="W27" s="132">
        <f t="shared" si="20"/>
        <v>23524</v>
      </c>
      <c r="X27" s="339">
        <f>[5]Sep!$J22</f>
        <v>91.3</v>
      </c>
      <c r="Y27" s="339">
        <f>[5]Sep!$M22</f>
        <v>90.5</v>
      </c>
      <c r="AA27" s="496">
        <f t="shared" si="19"/>
        <v>23524</v>
      </c>
      <c r="AD27" s="844">
        <f t="shared" si="3"/>
        <v>1994</v>
      </c>
      <c r="AE27" s="133">
        <f t="shared" si="4"/>
        <v>5281.1055916469631</v>
      </c>
      <c r="AF27" s="132">
        <f t="shared" si="10"/>
        <v>1230545</v>
      </c>
      <c r="AG27" s="140">
        <f t="shared" si="11"/>
        <v>90.5</v>
      </c>
      <c r="AH27" s="301">
        <v>1</v>
      </c>
      <c r="AI27" s="301">
        <v>0</v>
      </c>
      <c r="AJ27" s="134">
        <f t="shared" si="12"/>
        <v>5305</v>
      </c>
      <c r="AK27" s="134">
        <f t="shared" si="5"/>
        <v>-23.894408353036852</v>
      </c>
      <c r="AL27" s="134"/>
      <c r="AM27" s="134"/>
      <c r="AO27" s="135"/>
      <c r="AP27" s="322">
        <f t="shared" si="13"/>
        <v>120.33261461571055</v>
      </c>
      <c r="AQ27" s="272"/>
      <c r="AR27" s="273"/>
      <c r="AS27" s="274"/>
      <c r="AT27" s="273"/>
      <c r="AU27" s="267"/>
      <c r="AV27" s="28"/>
      <c r="AW27" s="28"/>
      <c r="AX27" s="28"/>
      <c r="BC27" s="123">
        <v>1994</v>
      </c>
      <c r="BD27" s="134">
        <f t="shared" si="14"/>
        <v>5279</v>
      </c>
      <c r="BE27" s="133">
        <f t="shared" si="6"/>
        <v>5281.1055916469631</v>
      </c>
      <c r="BF27" s="133">
        <f t="shared" si="15"/>
        <v>2.1055916469631484</v>
      </c>
      <c r="BG27" s="133">
        <f t="shared" si="7"/>
        <v>5305</v>
      </c>
      <c r="BH27" s="495">
        <f t="shared" si="16"/>
        <v>-26</v>
      </c>
    </row>
    <row r="28" spans="1:60">
      <c r="A28" s="123">
        <v>1995</v>
      </c>
      <c r="B28" s="139">
        <v>34956</v>
      </c>
      <c r="C28" s="131">
        <v>17</v>
      </c>
      <c r="D28" s="346" t="str">
        <f t="shared" si="0"/>
        <v>Thu</v>
      </c>
      <c r="E28" s="133">
        <f>[7]MoCoinMW!F73</f>
        <v>6654</v>
      </c>
      <c r="F28" s="133">
        <f>[7]MoCoinMW!G73</f>
        <v>5952.6149307593696</v>
      </c>
      <c r="G28" s="164">
        <f>SUM([6]Hist!M193:O193)</f>
        <v>0</v>
      </c>
      <c r="H28" s="164">
        <f>[6]Hist!L193</f>
        <v>0</v>
      </c>
      <c r="I28" s="164">
        <f>[6]Hist!P193</f>
        <v>0</v>
      </c>
      <c r="J28" s="133">
        <f t="shared" si="17"/>
        <v>5952.6149307593696</v>
      </c>
      <c r="K28" s="164">
        <f>[6]Hist!U193</f>
        <v>167</v>
      </c>
      <c r="L28" s="164">
        <f>[6]Hist!V193</f>
        <v>65.5</v>
      </c>
      <c r="M28" s="133">
        <f t="shared" si="8"/>
        <v>6119.6149307593696</v>
      </c>
      <c r="N28" s="164">
        <f>[6]Hist!AA193</f>
        <v>252</v>
      </c>
      <c r="O28" s="1377">
        <f t="shared" si="9"/>
        <v>5635.1149307593696</v>
      </c>
      <c r="P28" s="814">
        <f>'[12]1996'!$K$112-[4]Data!$G$291</f>
        <v>1257452</v>
      </c>
      <c r="T28" s="387"/>
      <c r="U28" s="374">
        <f t="shared" si="1"/>
        <v>1257452</v>
      </c>
      <c r="W28" s="132">
        <f t="shared" si="20"/>
        <v>26907</v>
      </c>
      <c r="X28" s="339">
        <f>[5]Sep!$J23</f>
        <v>90</v>
      </c>
      <c r="Y28" s="339">
        <f>[5]Sep!$M23</f>
        <v>90.5</v>
      </c>
      <c r="AA28" s="496">
        <f t="shared" si="19"/>
        <v>26907</v>
      </c>
      <c r="AD28" s="844">
        <f t="shared" si="3"/>
        <v>1995</v>
      </c>
      <c r="AE28" s="133">
        <f t="shared" si="4"/>
        <v>5635.1149307593696</v>
      </c>
      <c r="AF28" s="132">
        <f t="shared" si="10"/>
        <v>1257452</v>
      </c>
      <c r="AG28" s="140">
        <f t="shared" si="11"/>
        <v>90.5</v>
      </c>
      <c r="AH28" s="301">
        <v>0</v>
      </c>
      <c r="AI28" s="301">
        <v>0</v>
      </c>
      <c r="AJ28" s="134">
        <f t="shared" si="12"/>
        <v>5758</v>
      </c>
      <c r="AK28" s="134">
        <f t="shared" si="5"/>
        <v>-122.8850692406304</v>
      </c>
      <c r="AL28" s="134"/>
      <c r="AM28" s="134"/>
      <c r="AO28" s="129"/>
      <c r="AP28" s="322">
        <f t="shared" si="13"/>
        <v>354.00933911240645</v>
      </c>
      <c r="AQ28" s="275"/>
      <c r="AR28" s="268"/>
      <c r="AS28" s="276"/>
      <c r="AT28" s="268"/>
      <c r="AU28" s="268"/>
      <c r="AV28" s="28"/>
      <c r="AW28" s="28"/>
      <c r="AX28" s="28"/>
      <c r="BC28" s="123">
        <v>1995</v>
      </c>
      <c r="BD28" s="134">
        <f t="shared" si="14"/>
        <v>5732</v>
      </c>
      <c r="BE28" s="133">
        <f t="shared" si="6"/>
        <v>5635.1149307593696</v>
      </c>
      <c r="BF28" s="133">
        <f t="shared" si="15"/>
        <v>-96.885069240630401</v>
      </c>
      <c r="BG28" s="133">
        <f t="shared" si="7"/>
        <v>5758</v>
      </c>
      <c r="BH28" s="495">
        <f t="shared" si="16"/>
        <v>-26</v>
      </c>
    </row>
    <row r="29" spans="1:60">
      <c r="A29" s="123">
        <v>1996</v>
      </c>
      <c r="B29" s="139">
        <v>35311</v>
      </c>
      <c r="C29" s="131">
        <v>17</v>
      </c>
      <c r="D29" s="346" t="str">
        <f t="shared" si="0"/>
        <v>Tue</v>
      </c>
      <c r="E29" s="133">
        <f>[7]MoCoinMW!F85</f>
        <v>7052</v>
      </c>
      <c r="F29" s="133">
        <f>[7]MoCoinMW!G85</f>
        <v>6342.2974526371727</v>
      </c>
      <c r="G29" s="164">
        <f>SUM([6]Hist!M205:O205)</f>
        <v>0</v>
      </c>
      <c r="H29" s="164">
        <f>[6]Hist!L205</f>
        <v>0</v>
      </c>
      <c r="I29" s="164">
        <f>[6]Hist!P205</f>
        <v>0</v>
      </c>
      <c r="J29" s="133">
        <f t="shared" si="17"/>
        <v>6342.2974526371727</v>
      </c>
      <c r="K29" s="164">
        <f>[6]Hist!U205</f>
        <v>193</v>
      </c>
      <c r="L29" s="164">
        <f>[6]Hist!V205</f>
        <v>71.5</v>
      </c>
      <c r="M29" s="133">
        <f t="shared" si="8"/>
        <v>6535.2974526371727</v>
      </c>
      <c r="N29" s="164">
        <f>[6]Hist!AA205</f>
        <v>341</v>
      </c>
      <c r="O29" s="1377">
        <f t="shared" si="9"/>
        <v>5929.7974526371727</v>
      </c>
      <c r="P29" s="814">
        <f>[8]FCST!$BK3</f>
        <v>1278141</v>
      </c>
      <c r="R29" s="677" t="s">
        <v>336</v>
      </c>
      <c r="T29" s="387"/>
      <c r="U29" s="374">
        <f t="shared" si="1"/>
        <v>1278141</v>
      </c>
      <c r="W29" s="132">
        <f t="shared" si="20"/>
        <v>20689</v>
      </c>
      <c r="X29" s="339">
        <f>[5]Sep!$J24</f>
        <v>91.7</v>
      </c>
      <c r="Y29" s="339">
        <f>[5]Sep!$M24</f>
        <v>90.7</v>
      </c>
      <c r="AA29" s="496">
        <f t="shared" si="19"/>
        <v>20689</v>
      </c>
      <c r="AD29" s="844">
        <f t="shared" si="3"/>
        <v>1996</v>
      </c>
      <c r="AE29" s="133">
        <f t="shared" si="4"/>
        <v>5929.7974526371727</v>
      </c>
      <c r="AF29" s="132">
        <f t="shared" si="10"/>
        <v>1278141</v>
      </c>
      <c r="AG29" s="140">
        <f t="shared" si="11"/>
        <v>90.7</v>
      </c>
      <c r="AH29" s="301">
        <v>0</v>
      </c>
      <c r="AI29" s="301">
        <v>0</v>
      </c>
      <c r="AJ29" s="134">
        <f t="shared" si="12"/>
        <v>5878</v>
      </c>
      <c r="AK29" s="134">
        <f t="shared" si="5"/>
        <v>51.797452637172682</v>
      </c>
      <c r="AL29" s="134"/>
      <c r="AM29" s="134"/>
      <c r="AO29" s="142"/>
      <c r="AP29" s="322">
        <f t="shared" si="13"/>
        <v>294.68252187780308</v>
      </c>
      <c r="AQ29" s="277"/>
      <c r="AR29" s="278"/>
      <c r="AS29" s="269"/>
      <c r="AT29" s="269"/>
      <c r="AU29" s="269"/>
      <c r="AV29" s="45"/>
      <c r="AW29" s="45"/>
      <c r="AX29" s="45"/>
      <c r="BC29" s="123">
        <v>1996</v>
      </c>
      <c r="BD29" s="134">
        <f t="shared" si="14"/>
        <v>5842</v>
      </c>
      <c r="BE29" s="133">
        <f t="shared" si="6"/>
        <v>5929.7974526371727</v>
      </c>
      <c r="BF29" s="133">
        <f t="shared" si="15"/>
        <v>87.797452637172682</v>
      </c>
      <c r="BG29" s="133">
        <f t="shared" si="7"/>
        <v>5878</v>
      </c>
      <c r="BH29" s="495">
        <f t="shared" si="16"/>
        <v>-36</v>
      </c>
    </row>
    <row r="30" spans="1:60">
      <c r="A30" s="123">
        <v>1997</v>
      </c>
      <c r="B30" s="139">
        <v>35689</v>
      </c>
      <c r="C30" s="131">
        <v>17</v>
      </c>
      <c r="D30" s="346" t="str">
        <f t="shared" si="0"/>
        <v>Tue</v>
      </c>
      <c r="E30" s="133">
        <f>[7]MoCoinMW!F97</f>
        <v>6932</v>
      </c>
      <c r="F30" s="133">
        <f>[7]MoCoinMW!G97</f>
        <v>6195.2094466672916</v>
      </c>
      <c r="G30" s="164">
        <f>SUM([6]Hist!M217:O217)</f>
        <v>0</v>
      </c>
      <c r="H30" s="164">
        <f>[6]Hist!L217</f>
        <v>0</v>
      </c>
      <c r="I30" s="164">
        <f>[6]Hist!P217</f>
        <v>0</v>
      </c>
      <c r="J30" s="133">
        <f t="shared" si="17"/>
        <v>6195.2094466672916</v>
      </c>
      <c r="K30" s="164">
        <f>[6]Hist!U217</f>
        <v>210.5</v>
      </c>
      <c r="L30" s="164">
        <f>[6]Hist!V217</f>
        <v>71.5</v>
      </c>
      <c r="M30" s="133">
        <f t="shared" si="8"/>
        <v>6405.7094466672916</v>
      </c>
      <c r="N30" s="164">
        <f>[6]Hist!AA217</f>
        <v>336.4</v>
      </c>
      <c r="O30" s="1377">
        <f t="shared" si="9"/>
        <v>5787.3094466672919</v>
      </c>
      <c r="P30" s="132">
        <f>[8]FCST!$BK4</f>
        <v>1300493</v>
      </c>
      <c r="R30" s="123">
        <f>[9]Sheet1!$R$15</f>
        <v>6508</v>
      </c>
      <c r="T30" s="387"/>
      <c r="U30" s="374">
        <f>P30-Q30+R30</f>
        <v>1307001</v>
      </c>
      <c r="W30" s="132">
        <f t="shared" si="20"/>
        <v>28860</v>
      </c>
      <c r="X30" s="339">
        <f>[5]Sep!$J25</f>
        <v>89.3</v>
      </c>
      <c r="Y30" s="339">
        <f>[5]Sep!$M25</f>
        <v>89.1</v>
      </c>
      <c r="AA30" s="496">
        <f t="shared" si="19"/>
        <v>28860</v>
      </c>
      <c r="AD30" s="844">
        <f t="shared" si="3"/>
        <v>1997</v>
      </c>
      <c r="AE30" s="133">
        <f t="shared" si="4"/>
        <v>5787.3094466672919</v>
      </c>
      <c r="AF30" s="132">
        <f t="shared" si="10"/>
        <v>1300493</v>
      </c>
      <c r="AG30" s="140">
        <f t="shared" si="11"/>
        <v>89.1</v>
      </c>
      <c r="AH30" s="301">
        <v>0</v>
      </c>
      <c r="AI30" s="301">
        <v>0</v>
      </c>
      <c r="AJ30" s="134">
        <f t="shared" si="12"/>
        <v>5913</v>
      </c>
      <c r="AK30" s="134">
        <f t="shared" si="5"/>
        <v>-125.69055333270808</v>
      </c>
      <c r="AL30" s="134"/>
      <c r="AM30" s="134"/>
      <c r="AO30" s="135"/>
      <c r="AP30" s="322">
        <f t="shared" si="13"/>
        <v>-142.48800596988076</v>
      </c>
      <c r="AQ30" s="268"/>
      <c r="AR30" s="279"/>
      <c r="AS30" s="269"/>
      <c r="AT30" s="269"/>
      <c r="AU30" s="269"/>
      <c r="AV30" s="1"/>
      <c r="AW30" s="1"/>
      <c r="AX30" s="1"/>
      <c r="BC30" s="123">
        <v>1997</v>
      </c>
      <c r="BD30" s="134">
        <f t="shared" si="14"/>
        <v>5960</v>
      </c>
      <c r="BE30" s="133">
        <f t="shared" si="6"/>
        <v>5787.3094466672919</v>
      </c>
      <c r="BF30" s="133">
        <f t="shared" si="15"/>
        <v>-172.69055333270808</v>
      </c>
      <c r="BG30" s="133">
        <f t="shared" si="7"/>
        <v>5913</v>
      </c>
      <c r="BH30" s="495">
        <f t="shared" si="16"/>
        <v>47</v>
      </c>
    </row>
    <row r="31" spans="1:60">
      <c r="A31" s="123">
        <v>1998</v>
      </c>
      <c r="B31" s="139">
        <v>36039</v>
      </c>
      <c r="C31" s="131">
        <v>16</v>
      </c>
      <c r="D31" s="346" t="str">
        <f t="shared" si="0"/>
        <v>Tue</v>
      </c>
      <c r="E31" s="133">
        <f>[7]MoCoinMW!F109</f>
        <v>7310</v>
      </c>
      <c r="F31" s="133">
        <f>[7]MoCoinMW!G109</f>
        <v>6520.4429308049821</v>
      </c>
      <c r="G31" s="164">
        <f>SUM([6]Hist!M229:O229)</f>
        <v>0</v>
      </c>
      <c r="H31" s="164">
        <f>[6]Hist!L229</f>
        <v>0</v>
      </c>
      <c r="I31" s="164">
        <f>[6]Hist!P229</f>
        <v>0</v>
      </c>
      <c r="J31" s="133">
        <f t="shared" si="17"/>
        <v>6520.4429308049821</v>
      </c>
      <c r="K31" s="164">
        <f>[6]Hist!U229</f>
        <v>242</v>
      </c>
      <c r="L31" s="164">
        <f>[6]Hist!V229</f>
        <v>75</v>
      </c>
      <c r="M31" s="133">
        <f t="shared" si="8"/>
        <v>6762.4429308049821</v>
      </c>
      <c r="N31" s="164">
        <f>'Interruptible Forecast'!AP9</f>
        <v>348</v>
      </c>
      <c r="O31" s="1377">
        <f t="shared" si="9"/>
        <v>6097.4429308049821</v>
      </c>
      <c r="P31" s="132">
        <f>[8]FCST!$BK5</f>
        <v>1331858</v>
      </c>
      <c r="Q31" s="463">
        <f>[8]FCST!$DM5</f>
        <v>12589</v>
      </c>
      <c r="R31" s="123">
        <f>[9]Sheet1!$R$27</f>
        <v>6634</v>
      </c>
      <c r="T31" s="387"/>
      <c r="U31" s="374">
        <f>P31-Q31+R$31</f>
        <v>1325903</v>
      </c>
      <c r="W31" s="132">
        <f t="shared" si="20"/>
        <v>18902</v>
      </c>
      <c r="X31" s="339">
        <f>[5]Sep!$J26</f>
        <v>91.4</v>
      </c>
      <c r="Y31" s="339">
        <f>[5]Sep!$M26</f>
        <v>90.7</v>
      </c>
      <c r="AA31" s="496">
        <f t="shared" si="19"/>
        <v>18902</v>
      </c>
      <c r="AC31" s="103"/>
      <c r="AD31" s="844">
        <f t="shared" si="3"/>
        <v>1998</v>
      </c>
      <c r="AE31" s="133">
        <f t="shared" si="4"/>
        <v>6097.4429308049821</v>
      </c>
      <c r="AF31" s="132">
        <f t="shared" si="10"/>
        <v>1331858</v>
      </c>
      <c r="AG31" s="140">
        <f t="shared" si="11"/>
        <v>90.7</v>
      </c>
      <c r="AH31" s="301">
        <v>0</v>
      </c>
      <c r="AI31" s="301">
        <v>0</v>
      </c>
      <c r="AJ31" s="134">
        <f t="shared" si="12"/>
        <v>6162</v>
      </c>
      <c r="AK31" s="134">
        <f t="shared" si="5"/>
        <v>-64.557069195017903</v>
      </c>
      <c r="AL31" s="134"/>
      <c r="AM31" s="134"/>
      <c r="AO31" s="135"/>
      <c r="AP31" s="322">
        <f t="shared" si="13"/>
        <v>310.13348413769017</v>
      </c>
      <c r="AQ31" s="279"/>
      <c r="AR31" s="279"/>
      <c r="AS31" s="269"/>
      <c r="AT31" s="269"/>
      <c r="AU31" s="269"/>
      <c r="AV31" s="1"/>
      <c r="AW31" s="1"/>
      <c r="AX31" s="1"/>
      <c r="BC31" s="123">
        <v>1998</v>
      </c>
      <c r="BD31" s="134">
        <f t="shared" si="14"/>
        <v>6126</v>
      </c>
      <c r="BE31" s="133">
        <f t="shared" si="6"/>
        <v>6097.4429308049821</v>
      </c>
      <c r="BF31" s="133">
        <f t="shared" si="15"/>
        <v>-28.557069195017903</v>
      </c>
      <c r="BG31" s="133">
        <f t="shared" si="7"/>
        <v>6162</v>
      </c>
      <c r="BH31" s="495">
        <f t="shared" si="16"/>
        <v>-36</v>
      </c>
    </row>
    <row r="32" spans="1:60">
      <c r="A32" s="123">
        <v>1999</v>
      </c>
      <c r="B32" s="139">
        <v>36407</v>
      </c>
      <c r="C32" s="123">
        <v>18</v>
      </c>
      <c r="D32" s="915" t="str">
        <f t="shared" si="0"/>
        <v>Sat</v>
      </c>
      <c r="E32" s="133">
        <f>[7]MoCoinMW!F121</f>
        <v>7602</v>
      </c>
      <c r="F32" s="133">
        <f>[7]MoCoinMW!G121</f>
        <v>6557.7300344014657</v>
      </c>
      <c r="G32" s="164">
        <f>SUM([6]Hist!M241:O241)</f>
        <v>0</v>
      </c>
      <c r="H32" s="164">
        <f>[6]Hist!L241</f>
        <v>0</v>
      </c>
      <c r="I32" s="164">
        <f>[6]Hist!P241</f>
        <v>0</v>
      </c>
      <c r="J32" s="374">
        <f t="shared" si="17"/>
        <v>6557.7300344014657</v>
      </c>
      <c r="K32" s="164">
        <f>[6]Hist!U241</f>
        <v>259</v>
      </c>
      <c r="L32" s="164">
        <f>[6]Hist!V241</f>
        <v>75</v>
      </c>
      <c r="M32" s="133">
        <f t="shared" si="8"/>
        <v>6816.7300344014657</v>
      </c>
      <c r="N32" s="164">
        <f>'Interruptible Forecast'!AP10</f>
        <v>282</v>
      </c>
      <c r="O32" s="1377">
        <f t="shared" si="9"/>
        <v>6200.7300344014657</v>
      </c>
      <c r="P32" s="132">
        <f>[8]FCST!$BK6</f>
        <v>1366286</v>
      </c>
      <c r="Q32" s="463">
        <f>[8]FCST!$DM6</f>
        <v>21905</v>
      </c>
      <c r="T32" s="387"/>
      <c r="U32" s="374">
        <f t="shared" ref="U32:U58" si="21">P32-Q32+R$31</f>
        <v>1351015</v>
      </c>
      <c r="W32" s="132">
        <f t="shared" si="20"/>
        <v>25112</v>
      </c>
      <c r="X32" s="339">
        <f>[5]Sep!$J27</f>
        <v>92.5</v>
      </c>
      <c r="Y32" s="339">
        <f>[5]Sep!$M27</f>
        <v>92.5</v>
      </c>
      <c r="AA32" s="496">
        <f t="shared" si="19"/>
        <v>25112</v>
      </c>
      <c r="AC32" s="103"/>
      <c r="AD32" s="844">
        <f t="shared" si="3"/>
        <v>1999</v>
      </c>
      <c r="AE32" s="133">
        <f t="shared" si="4"/>
        <v>6200.7300344014657</v>
      </c>
      <c r="AF32" s="132">
        <f t="shared" si="10"/>
        <v>1366286</v>
      </c>
      <c r="AG32" s="140">
        <f t="shared" si="11"/>
        <v>92.5</v>
      </c>
      <c r="AH32" s="301">
        <v>1</v>
      </c>
      <c r="AI32" s="301">
        <v>0</v>
      </c>
      <c r="AJ32" s="134">
        <f t="shared" si="12"/>
        <v>6126</v>
      </c>
      <c r="AK32" s="134">
        <f t="shared" si="5"/>
        <v>74.730034401465673</v>
      </c>
      <c r="AL32" s="134"/>
      <c r="AM32" s="134"/>
      <c r="AN32" s="134"/>
      <c r="AO32" s="135"/>
      <c r="AP32" s="322">
        <f t="shared" si="13"/>
        <v>103.28710359648358</v>
      </c>
      <c r="AQ32" s="270"/>
      <c r="AR32" s="270"/>
      <c r="AS32" s="270"/>
      <c r="AT32" s="270"/>
      <c r="AU32" s="270"/>
      <c r="AV32" s="1"/>
      <c r="AW32" s="1"/>
      <c r="AX32" s="1"/>
      <c r="BC32" s="123">
        <v>1999</v>
      </c>
      <c r="BD32" s="134">
        <f t="shared" si="14"/>
        <v>5997</v>
      </c>
      <c r="BE32" s="133">
        <f t="shared" si="6"/>
        <v>6200.7300344014657</v>
      </c>
      <c r="BF32" s="133">
        <f t="shared" si="15"/>
        <v>203.73003440146567</v>
      </c>
      <c r="BG32" s="133">
        <f t="shared" si="7"/>
        <v>6126</v>
      </c>
      <c r="BH32" s="495">
        <f t="shared" si="16"/>
        <v>-129</v>
      </c>
    </row>
    <row r="33" spans="1:60">
      <c r="A33" s="123">
        <v>2000</v>
      </c>
      <c r="B33" s="139">
        <v>36783</v>
      </c>
      <c r="C33" s="123">
        <v>18</v>
      </c>
      <c r="D33" s="346" t="str">
        <f t="shared" si="0"/>
        <v>Thu</v>
      </c>
      <c r="E33" s="133">
        <f>[7]MoCoinMW!F133</f>
        <v>7998</v>
      </c>
      <c r="F33" s="133">
        <f>[7]MoCoinMW!G133</f>
        <v>6821</v>
      </c>
      <c r="G33" s="164">
        <f>SUM([6]Hist!M253:O253)</f>
        <v>0</v>
      </c>
      <c r="H33" s="164">
        <f>[6]Hist!L253</f>
        <v>0</v>
      </c>
      <c r="I33" s="164">
        <f>[6]Hist!P253</f>
        <v>0</v>
      </c>
      <c r="J33" s="133">
        <f t="shared" ref="J33:J38" si="22">SUM(F33:I33)</f>
        <v>6821</v>
      </c>
      <c r="K33" s="164">
        <f>[6]Hist!U253</f>
        <v>274</v>
      </c>
      <c r="L33" s="164">
        <f>[6]Hist!V253</f>
        <v>75</v>
      </c>
      <c r="M33" s="133">
        <f t="shared" si="8"/>
        <v>7095</v>
      </c>
      <c r="N33" s="164">
        <f>'Interruptible Forecast'!AP11</f>
        <v>314</v>
      </c>
      <c r="O33" s="1377">
        <f t="shared" si="9"/>
        <v>6432</v>
      </c>
      <c r="P33" s="132">
        <f>[8]FCST!$BK7</f>
        <v>1406417</v>
      </c>
      <c r="Q33" s="463">
        <f>[8]FCST!$DM7</f>
        <v>26291</v>
      </c>
      <c r="T33" s="387"/>
      <c r="U33" s="374">
        <f t="shared" si="21"/>
        <v>1386760</v>
      </c>
      <c r="W33" s="132">
        <f t="shared" si="20"/>
        <v>35745</v>
      </c>
      <c r="X33" s="339">
        <f>[5]Sep!$J28</f>
        <v>86.4</v>
      </c>
      <c r="Y33" s="339">
        <f>[5]Sep!$M28</f>
        <v>88.7</v>
      </c>
      <c r="Z33" s="144"/>
      <c r="AA33" s="496">
        <f t="shared" si="19"/>
        <v>35745</v>
      </c>
      <c r="AC33" s="103"/>
      <c r="AD33" s="844">
        <f t="shared" si="3"/>
        <v>2000</v>
      </c>
      <c r="AE33" s="133">
        <f t="shared" si="4"/>
        <v>6432</v>
      </c>
      <c r="AF33" s="132">
        <f t="shared" si="10"/>
        <v>1406417</v>
      </c>
      <c r="AG33" s="140">
        <f t="shared" si="11"/>
        <v>88.7</v>
      </c>
      <c r="AH33" s="301">
        <v>0</v>
      </c>
      <c r="AI33" s="301">
        <v>0</v>
      </c>
      <c r="AJ33" s="134">
        <f t="shared" si="12"/>
        <v>6452</v>
      </c>
      <c r="AK33" s="134">
        <f t="shared" si="5"/>
        <v>-20</v>
      </c>
      <c r="AL33" s="134"/>
      <c r="AM33" s="134"/>
      <c r="AN33" s="134"/>
      <c r="AO33" s="138"/>
      <c r="AP33" s="322">
        <f t="shared" si="13"/>
        <v>231.26996559853433</v>
      </c>
      <c r="AQ33" s="1"/>
      <c r="AR33" s="1"/>
      <c r="AS33" s="1"/>
      <c r="AT33" s="1"/>
      <c r="AU33" s="1"/>
      <c r="AV33" s="1"/>
      <c r="AW33" s="1"/>
      <c r="AX33" s="1"/>
      <c r="BC33" s="123">
        <v>2000</v>
      </c>
      <c r="BD33" s="134">
        <f t="shared" si="14"/>
        <v>6520</v>
      </c>
      <c r="BE33" s="133">
        <f t="shared" si="6"/>
        <v>6432</v>
      </c>
      <c r="BF33" s="133">
        <f t="shared" si="15"/>
        <v>-88</v>
      </c>
      <c r="BG33" s="133">
        <f t="shared" si="7"/>
        <v>6452</v>
      </c>
      <c r="BH33" s="495">
        <f t="shared" si="16"/>
        <v>68</v>
      </c>
    </row>
    <row r="34" spans="1:60">
      <c r="A34" s="123">
        <v>2001</v>
      </c>
      <c r="B34" s="413" t="s">
        <v>211</v>
      </c>
      <c r="C34" s="123">
        <v>17</v>
      </c>
      <c r="D34" s="346" t="str">
        <f t="shared" si="0"/>
        <v>Tue</v>
      </c>
      <c r="E34" s="133">
        <f>[7]MoCoinMW!F145</f>
        <v>7930</v>
      </c>
      <c r="F34" s="133">
        <f>[7]MoCoinMW!G145</f>
        <v>7081.6</v>
      </c>
      <c r="G34" s="164">
        <f>SUM([6]Hist!M265:O265)</f>
        <v>0</v>
      </c>
      <c r="H34" s="164">
        <f>[6]Hist!L265</f>
        <v>0</v>
      </c>
      <c r="I34" s="164">
        <f>[6]Hist!P265</f>
        <v>0</v>
      </c>
      <c r="J34" s="133">
        <f t="shared" si="22"/>
        <v>7081.6</v>
      </c>
      <c r="K34" s="164">
        <f>[6]Hist!U265</f>
        <v>288</v>
      </c>
      <c r="L34" s="164">
        <f>[6]Hist!V265</f>
        <v>75</v>
      </c>
      <c r="M34" s="133">
        <f t="shared" si="8"/>
        <v>7369.6</v>
      </c>
      <c r="N34" s="164">
        <f>'Interruptible Forecast'!AP12</f>
        <v>305</v>
      </c>
      <c r="O34" s="1377">
        <f t="shared" si="9"/>
        <v>6701.6</v>
      </c>
      <c r="P34" s="132">
        <f>[8]FCST!$BK8</f>
        <v>1440799</v>
      </c>
      <c r="Q34" s="463">
        <f>[8]FCST!$DM8</f>
        <v>28287</v>
      </c>
      <c r="T34" s="387"/>
      <c r="U34" s="374">
        <f t="shared" si="21"/>
        <v>1419146</v>
      </c>
      <c r="W34" s="132">
        <f t="shared" si="20"/>
        <v>32386</v>
      </c>
      <c r="X34" s="339">
        <f>[5]Sep!$J29</f>
        <v>89.4</v>
      </c>
      <c r="Y34" s="339">
        <f>[5]Sep!$M29</f>
        <v>88.8</v>
      </c>
      <c r="AA34" s="496">
        <f t="shared" si="19"/>
        <v>32386</v>
      </c>
      <c r="AD34" s="844">
        <f t="shared" si="3"/>
        <v>2001</v>
      </c>
      <c r="AE34" s="133">
        <f t="shared" si="4"/>
        <v>6701.6</v>
      </c>
      <c r="AF34" s="132">
        <f t="shared" si="10"/>
        <v>1440799</v>
      </c>
      <c r="AG34" s="140">
        <f t="shared" si="11"/>
        <v>88.8</v>
      </c>
      <c r="AH34" s="301">
        <v>0</v>
      </c>
      <c r="AI34" s="301">
        <v>0</v>
      </c>
      <c r="AJ34" s="134">
        <f t="shared" si="12"/>
        <v>6639</v>
      </c>
      <c r="AK34" s="134">
        <f t="shared" ref="AK34:AK39" si="23">AE34-AJ34</f>
        <v>62.600000000000364</v>
      </c>
      <c r="AL34" s="134"/>
      <c r="AM34" s="134"/>
      <c r="AN34" s="134"/>
      <c r="AO34" s="138"/>
      <c r="AP34" s="322">
        <f t="shared" ref="AP34:AP45" si="24">AE34-AE33</f>
        <v>269.60000000000036</v>
      </c>
      <c r="AQ34" s="1"/>
      <c r="AR34" s="1"/>
      <c r="AS34" s="1"/>
      <c r="AT34" s="1"/>
      <c r="AU34" s="1"/>
      <c r="AV34" s="1"/>
      <c r="AW34" s="1"/>
      <c r="AX34" s="1"/>
      <c r="BC34" s="123">
        <v>2001</v>
      </c>
      <c r="BD34" s="134">
        <f t="shared" si="14"/>
        <v>6701</v>
      </c>
      <c r="BE34" s="133">
        <f t="shared" si="6"/>
        <v>6701.6</v>
      </c>
      <c r="BF34" s="133">
        <f t="shared" si="15"/>
        <v>0.6000000000003638</v>
      </c>
      <c r="BG34" s="133">
        <f t="shared" si="7"/>
        <v>6639</v>
      </c>
      <c r="BH34" s="495">
        <f t="shared" si="16"/>
        <v>62</v>
      </c>
    </row>
    <row r="35" spans="1:60">
      <c r="A35" s="123">
        <v>2002</v>
      </c>
      <c r="B35" s="413" t="s">
        <v>247</v>
      </c>
      <c r="C35" s="123">
        <v>17</v>
      </c>
      <c r="D35" s="346" t="str">
        <f t="shared" ref="D35:D40" si="25">TEXT(WEEKDAY(B35),"ddd")</f>
        <v>Wed</v>
      </c>
      <c r="E35" s="133">
        <f>[7]MoCoinMW!F157</f>
        <v>8362</v>
      </c>
      <c r="F35" s="133">
        <f>[7]MoCoinMW!G157</f>
        <v>7393.3</v>
      </c>
      <c r="G35" s="164">
        <f>SUM([6]Hist!M277:O277)</f>
        <v>0</v>
      </c>
      <c r="H35" s="164">
        <f>[6]Hist!L277</f>
        <v>0</v>
      </c>
      <c r="I35" s="164">
        <f>[6]Hist!P277</f>
        <v>0</v>
      </c>
      <c r="J35" s="133">
        <f t="shared" si="22"/>
        <v>7393.3</v>
      </c>
      <c r="K35" s="164">
        <f>[6]Hist!U277</f>
        <v>304</v>
      </c>
      <c r="L35" s="164">
        <f>[6]Hist!V277</f>
        <v>75</v>
      </c>
      <c r="M35" s="133">
        <f t="shared" si="8"/>
        <v>7697.3</v>
      </c>
      <c r="N35" s="164">
        <f>'Interruptible Forecast'!AP13</f>
        <v>253</v>
      </c>
      <c r="O35" s="1377">
        <f t="shared" si="9"/>
        <v>7065.3</v>
      </c>
      <c r="P35" s="132">
        <f>[8]FCST!$BK9</f>
        <v>1475338</v>
      </c>
      <c r="Q35" s="463">
        <f>[8]FCST!$DM9</f>
        <v>31770</v>
      </c>
      <c r="R35" s="385"/>
      <c r="S35" s="386"/>
      <c r="T35" s="387"/>
      <c r="U35" s="374">
        <f t="shared" si="21"/>
        <v>1450202</v>
      </c>
      <c r="W35" s="132">
        <f t="shared" si="20"/>
        <v>31056</v>
      </c>
      <c r="X35" s="339">
        <f>[5]Sep!$J30</f>
        <v>88</v>
      </c>
      <c r="Y35" s="339">
        <f>[5]Sep!$M30</f>
        <v>89.2</v>
      </c>
      <c r="AA35" s="496">
        <f t="shared" si="19"/>
        <v>31056</v>
      </c>
      <c r="AD35" s="844">
        <f t="shared" si="3"/>
        <v>2002</v>
      </c>
      <c r="AE35" s="133">
        <f t="shared" si="4"/>
        <v>7065.3</v>
      </c>
      <c r="AF35" s="132">
        <f t="shared" si="10"/>
        <v>1475338</v>
      </c>
      <c r="AG35" s="140">
        <f t="shared" si="11"/>
        <v>89.2</v>
      </c>
      <c r="AH35" s="301">
        <v>0</v>
      </c>
      <c r="AI35" s="301">
        <v>0</v>
      </c>
      <c r="AJ35" s="134">
        <f t="shared" si="12"/>
        <v>6843</v>
      </c>
      <c r="AK35" s="134">
        <f t="shared" si="23"/>
        <v>222.30000000000018</v>
      </c>
      <c r="AL35" s="134"/>
      <c r="AM35" s="134"/>
      <c r="AN35" s="134"/>
      <c r="AO35" s="138"/>
      <c r="AP35" s="322">
        <f t="shared" si="24"/>
        <v>363.69999999999982</v>
      </c>
      <c r="AQ35"/>
      <c r="AR35"/>
      <c r="AS35"/>
      <c r="AT35"/>
      <c r="AU35"/>
      <c r="AV35"/>
      <c r="AW35"/>
      <c r="AX35"/>
      <c r="BC35" s="123">
        <v>2002</v>
      </c>
      <c r="BD35" s="134">
        <f t="shared" si="14"/>
        <v>6884</v>
      </c>
      <c r="BE35" s="133">
        <f t="shared" si="6"/>
        <v>7065.3</v>
      </c>
      <c r="BF35" s="133">
        <f t="shared" si="15"/>
        <v>181.30000000000018</v>
      </c>
      <c r="BG35" s="133">
        <f t="shared" si="7"/>
        <v>6843</v>
      </c>
      <c r="BH35" s="495">
        <f t="shared" si="16"/>
        <v>41</v>
      </c>
    </row>
    <row r="36" spans="1:60">
      <c r="A36" s="123">
        <v>2003</v>
      </c>
      <c r="B36" s="413" t="s">
        <v>295</v>
      </c>
      <c r="C36" s="123">
        <v>17</v>
      </c>
      <c r="D36" s="346" t="str">
        <f t="shared" si="25"/>
        <v>Wed</v>
      </c>
      <c r="E36" s="133">
        <f>[7]MoCoinMW!F$169</f>
        <v>7982</v>
      </c>
      <c r="F36" s="133">
        <f>[7]MoCoinMW!G$169</f>
        <v>7278.9</v>
      </c>
      <c r="G36" s="164">
        <f>SUM([6]Hist!M$289:O$289)</f>
        <v>0</v>
      </c>
      <c r="H36" s="164">
        <f>[6]Hist!L$289</f>
        <v>0</v>
      </c>
      <c r="I36" s="164">
        <f>[6]Hist!P$289</f>
        <v>0</v>
      </c>
      <c r="J36" s="133">
        <f t="shared" si="22"/>
        <v>7278.9</v>
      </c>
      <c r="K36" s="164">
        <f>[6]Hist!U$289</f>
        <v>321</v>
      </c>
      <c r="L36" s="164">
        <f>[6]Hist!V$289</f>
        <v>75</v>
      </c>
      <c r="M36" s="133">
        <f t="shared" si="8"/>
        <v>7599.9</v>
      </c>
      <c r="N36" s="164">
        <f>'Interruptible Forecast'!AP14</f>
        <v>266</v>
      </c>
      <c r="O36" s="1377">
        <f t="shared" si="9"/>
        <v>6937.9</v>
      </c>
      <c r="P36" s="132">
        <f>[8]FCST!$BK10</f>
        <v>1512323</v>
      </c>
      <c r="Q36" s="463">
        <f>[8]FCST!$DM10</f>
        <v>34380</v>
      </c>
      <c r="R36" s="558"/>
      <c r="S36" s="371">
        <f>[8]FCST!$CU10</f>
        <v>51977</v>
      </c>
      <c r="T36" s="387"/>
      <c r="U36" s="374">
        <f t="shared" si="21"/>
        <v>1484577</v>
      </c>
      <c r="W36" s="132">
        <f t="shared" si="20"/>
        <v>34375</v>
      </c>
      <c r="X36" s="339">
        <f>[5]Sep!$J31</f>
        <v>89.4</v>
      </c>
      <c r="Y36" s="339">
        <f>[5]Sep!$M31</f>
        <v>89</v>
      </c>
      <c r="AA36" s="496">
        <f t="shared" si="19"/>
        <v>34375</v>
      </c>
      <c r="AD36" s="844">
        <f t="shared" si="3"/>
        <v>2003</v>
      </c>
      <c r="AE36" s="133">
        <f t="shared" si="4"/>
        <v>6937.9</v>
      </c>
      <c r="AF36" s="132">
        <f t="shared" si="10"/>
        <v>1512323</v>
      </c>
      <c r="AG36" s="140">
        <f t="shared" si="11"/>
        <v>89</v>
      </c>
      <c r="AH36" s="301">
        <v>0</v>
      </c>
      <c r="AI36" s="301">
        <v>0</v>
      </c>
      <c r="AJ36" s="134">
        <f t="shared" si="12"/>
        <v>7028</v>
      </c>
      <c r="AK36" s="134">
        <f t="shared" si="23"/>
        <v>-90.100000000000364</v>
      </c>
      <c r="AL36" s="569"/>
      <c r="AM36" s="500"/>
      <c r="AN36" s="569"/>
      <c r="AO36" s="630"/>
      <c r="AP36" s="322">
        <f t="shared" si="24"/>
        <v>-127.40000000000055</v>
      </c>
      <c r="AQ36"/>
      <c r="AR36"/>
      <c r="AS36"/>
      <c r="AT36"/>
      <c r="AU36"/>
      <c r="AV36"/>
      <c r="AW36"/>
      <c r="AX36"/>
      <c r="BC36" s="123">
        <v>2003</v>
      </c>
      <c r="BD36" s="134">
        <f t="shared" si="14"/>
        <v>7079</v>
      </c>
      <c r="BE36" s="133">
        <f t="shared" si="6"/>
        <v>6937.9</v>
      </c>
      <c r="BF36" s="133">
        <f t="shared" ref="BF36:BF41" si="26">BE36-BD36</f>
        <v>-141.10000000000036</v>
      </c>
      <c r="BG36" s="133">
        <f t="shared" si="7"/>
        <v>7028</v>
      </c>
      <c r="BH36" s="495">
        <f t="shared" ref="BH36:BH41" si="27">BD36-BG36</f>
        <v>51</v>
      </c>
    </row>
    <row r="37" spans="1:60">
      <c r="A37" s="123">
        <v>2004</v>
      </c>
      <c r="B37" s="413" t="s">
        <v>319</v>
      </c>
      <c r="C37" s="123">
        <v>17</v>
      </c>
      <c r="D37" s="346" t="str">
        <f t="shared" si="25"/>
        <v>Thu</v>
      </c>
      <c r="E37" s="133">
        <f>[7]MoCoinMW!F$181</f>
        <v>8628.2999999999993</v>
      </c>
      <c r="F37" s="133">
        <f>[7]MoCoinMW!G$181</f>
        <v>7669.4999999999991</v>
      </c>
      <c r="G37" s="164">
        <f>SUM([6]Hist!M$301:O$301)</f>
        <v>0</v>
      </c>
      <c r="H37" s="164">
        <f>[6]Hist!L$301</f>
        <v>0</v>
      </c>
      <c r="I37" s="164">
        <f>[6]Hist!P$301</f>
        <v>0</v>
      </c>
      <c r="J37" s="133">
        <f t="shared" si="22"/>
        <v>7669.4999999999991</v>
      </c>
      <c r="K37" s="164">
        <f>[6]Hist!U$301</f>
        <v>338</v>
      </c>
      <c r="L37" s="164">
        <f>[6]Hist!V$301</f>
        <v>110</v>
      </c>
      <c r="M37" s="133">
        <f t="shared" si="8"/>
        <v>8007.4999999999991</v>
      </c>
      <c r="N37" s="164">
        <f>'Interruptible Forecast'!AP15</f>
        <v>306</v>
      </c>
      <c r="O37" s="1377">
        <f t="shared" si="9"/>
        <v>7253.4999999999991</v>
      </c>
      <c r="P37" s="132">
        <f>[8]FCST!$BK11</f>
        <v>1552333</v>
      </c>
      <c r="Q37" s="463">
        <f>[8]FCST!$DM11</f>
        <v>34376</v>
      </c>
      <c r="R37" s="558"/>
      <c r="S37" s="371">
        <f>[8]FCST!$CU11</f>
        <v>54825</v>
      </c>
      <c r="T37" s="387"/>
      <c r="U37" s="374">
        <f t="shared" si="21"/>
        <v>1524591</v>
      </c>
      <c r="W37" s="132">
        <f t="shared" si="20"/>
        <v>40014</v>
      </c>
      <c r="X37" s="339">
        <f>[5]Sep!$J32</f>
        <v>91</v>
      </c>
      <c r="Y37" s="339">
        <f>[5]Sep!$M32</f>
        <v>90</v>
      </c>
      <c r="AA37" s="496">
        <f t="shared" si="19"/>
        <v>40014</v>
      </c>
      <c r="AD37" s="844">
        <f t="shared" si="3"/>
        <v>2004</v>
      </c>
      <c r="AE37" s="133">
        <f t="shared" si="4"/>
        <v>7253.4999999999991</v>
      </c>
      <c r="AF37" s="132">
        <f t="shared" si="10"/>
        <v>1552333</v>
      </c>
      <c r="AG37" s="140">
        <f t="shared" si="11"/>
        <v>90</v>
      </c>
      <c r="AH37" s="301">
        <v>0</v>
      </c>
      <c r="AI37" s="301">
        <v>0</v>
      </c>
      <c r="AJ37" s="134">
        <f t="shared" si="12"/>
        <v>7291</v>
      </c>
      <c r="AK37" s="134">
        <f t="shared" si="23"/>
        <v>-37.500000000000909</v>
      </c>
      <c r="AL37" s="569"/>
      <c r="AM37" s="500"/>
      <c r="AN37" s="569"/>
      <c r="AO37" s="630"/>
      <c r="AP37" s="322">
        <f t="shared" si="24"/>
        <v>315.59999999999945</v>
      </c>
      <c r="AQ37"/>
      <c r="AR37"/>
      <c r="AS37"/>
      <c r="AT37"/>
      <c r="AU37"/>
      <c r="AV37"/>
      <c r="AW37"/>
      <c r="AX37"/>
      <c r="BC37" s="123">
        <v>2004</v>
      </c>
      <c r="BD37" s="134">
        <f t="shared" si="14"/>
        <v>7291</v>
      </c>
      <c r="BE37" s="133">
        <f t="shared" si="6"/>
        <v>7253.4999999999991</v>
      </c>
      <c r="BF37" s="133">
        <f t="shared" si="26"/>
        <v>-37.500000000000909</v>
      </c>
      <c r="BG37" s="133">
        <f t="shared" si="7"/>
        <v>7291</v>
      </c>
      <c r="BH37" s="495">
        <f t="shared" si="27"/>
        <v>0</v>
      </c>
    </row>
    <row r="38" spans="1:60">
      <c r="A38" s="123">
        <v>2005</v>
      </c>
      <c r="B38" s="413" t="s">
        <v>335</v>
      </c>
      <c r="C38" s="123">
        <v>17</v>
      </c>
      <c r="D38" s="346" t="str">
        <f t="shared" si="25"/>
        <v>Mon</v>
      </c>
      <c r="E38" s="133">
        <f>[7]MoCoinMW!F$193</f>
        <v>9090.2999999999993</v>
      </c>
      <c r="F38" s="133">
        <f>[7]MoCoinMW!G$193</f>
        <v>7950.5999999999995</v>
      </c>
      <c r="G38" s="164">
        <f>SUM([6]Hist!M$313:O$313)</f>
        <v>0</v>
      </c>
      <c r="H38" s="164">
        <f>[6]Hist!L$313</f>
        <v>0</v>
      </c>
      <c r="I38" s="164">
        <f>[6]Hist!P$313</f>
        <v>0</v>
      </c>
      <c r="J38" s="133">
        <f t="shared" si="22"/>
        <v>7950.5999999999995</v>
      </c>
      <c r="K38" s="164">
        <f>[6]Hist!U$313</f>
        <v>359</v>
      </c>
      <c r="L38" s="164">
        <f>[6]Hist!V$313</f>
        <v>110</v>
      </c>
      <c r="M38" s="133">
        <f t="shared" si="8"/>
        <v>8309.5999999999985</v>
      </c>
      <c r="N38" s="164">
        <f>'Interruptible Forecast'!AP16</f>
        <v>365</v>
      </c>
      <c r="O38" s="1377">
        <f t="shared" si="9"/>
        <v>7475.5999999999995</v>
      </c>
      <c r="P38" s="132">
        <f>[8]FCST!$BK12</f>
        <v>1577511</v>
      </c>
      <c r="Q38" s="463">
        <f>[8]FCST!$DM12</f>
        <v>33158</v>
      </c>
      <c r="R38" s="558"/>
      <c r="S38" s="371">
        <f>[8]FCST!$CU12</f>
        <v>58128</v>
      </c>
      <c r="T38" s="387"/>
      <c r="U38" s="374">
        <f t="shared" si="21"/>
        <v>1550987</v>
      </c>
      <c r="V38" s="374">
        <f>[10]WP2004!$D$57</f>
        <v>14621</v>
      </c>
      <c r="W38" s="132">
        <f t="shared" si="20"/>
        <v>26396</v>
      </c>
      <c r="X38" s="339">
        <f>[5]Sep!$J33</f>
        <v>91.8</v>
      </c>
      <c r="Y38" s="339">
        <f>[5]Sep!$M33</f>
        <v>91.5</v>
      </c>
      <c r="AA38" s="496">
        <f t="shared" si="19"/>
        <v>26396</v>
      </c>
      <c r="AC38" s="138"/>
      <c r="AD38" s="844">
        <f t="shared" si="3"/>
        <v>2005</v>
      </c>
      <c r="AE38" s="133">
        <f t="shared" si="4"/>
        <v>7475.5999999999995</v>
      </c>
      <c r="AF38" s="132">
        <f t="shared" si="10"/>
        <v>1577511</v>
      </c>
      <c r="AG38" s="140">
        <f t="shared" si="11"/>
        <v>91.5</v>
      </c>
      <c r="AH38" s="301">
        <v>0</v>
      </c>
      <c r="AI38" s="301">
        <v>0</v>
      </c>
      <c r="AJ38" s="134">
        <f t="shared" si="12"/>
        <v>7501</v>
      </c>
      <c r="AK38" s="134">
        <f t="shared" si="23"/>
        <v>-25.400000000000546</v>
      </c>
      <c r="AL38" s="569"/>
      <c r="AM38" s="301"/>
      <c r="AN38" s="134"/>
      <c r="AO38" s="138"/>
      <c r="AP38" s="322">
        <f t="shared" si="24"/>
        <v>222.10000000000036</v>
      </c>
      <c r="BC38" s="123">
        <v>2005</v>
      </c>
      <c r="BD38" s="134">
        <f t="shared" si="14"/>
        <v>7424</v>
      </c>
      <c r="BE38" s="133">
        <f t="shared" si="6"/>
        <v>7475.5999999999995</v>
      </c>
      <c r="BF38" s="133">
        <f t="shared" si="26"/>
        <v>51.599999999999454</v>
      </c>
      <c r="BG38" s="133">
        <f t="shared" si="7"/>
        <v>7501</v>
      </c>
      <c r="BH38" s="495">
        <f t="shared" si="27"/>
        <v>-77</v>
      </c>
    </row>
    <row r="39" spans="1:60">
      <c r="A39" s="123">
        <v>2006</v>
      </c>
      <c r="B39" s="413" t="s">
        <v>361</v>
      </c>
      <c r="C39" s="123">
        <v>17</v>
      </c>
      <c r="D39" s="346" t="str">
        <f t="shared" si="25"/>
        <v>Mon</v>
      </c>
      <c r="E39" s="133">
        <f>[7]MoCoinMW!F$205</f>
        <v>8793</v>
      </c>
      <c r="F39" s="133">
        <f>[7]MoCoinMW!G$205</f>
        <v>7839.2</v>
      </c>
      <c r="G39" s="164">
        <f>SUM([6]Hist!M$325:O$325)</f>
        <v>0</v>
      </c>
      <c r="H39" s="164">
        <f>[6]Hist!L$325</f>
        <v>0</v>
      </c>
      <c r="I39" s="164">
        <f>[6]Hist!P$325</f>
        <v>0</v>
      </c>
      <c r="J39" s="133">
        <f t="shared" ref="J39:J44" si="28">SUM(F39:I39)</f>
        <v>7839.2</v>
      </c>
      <c r="K39" s="164">
        <f>[6]Hist!U$325</f>
        <v>381</v>
      </c>
      <c r="L39" s="164">
        <f>[6]Hist!V$325</f>
        <v>66</v>
      </c>
      <c r="M39" s="133">
        <f t="shared" si="8"/>
        <v>8220.2000000000007</v>
      </c>
      <c r="N39" s="164">
        <f>'Interruptible Forecast'!AP17</f>
        <v>296</v>
      </c>
      <c r="O39" s="1377">
        <f t="shared" si="9"/>
        <v>7477.2</v>
      </c>
      <c r="P39" s="132">
        <f>[8]FCST!$BK13</f>
        <v>1616047</v>
      </c>
      <c r="Q39" s="463">
        <f>[8]FCST!$DM13</f>
        <v>34755</v>
      </c>
      <c r="R39" s="558"/>
      <c r="S39" s="371">
        <f>[8]FCST!$CU13</f>
        <v>58153</v>
      </c>
      <c r="T39" s="387"/>
      <c r="U39" s="374">
        <f t="shared" si="21"/>
        <v>1587926</v>
      </c>
      <c r="V39" s="374">
        <f>ROUND(V38*1.01,0)</f>
        <v>14767</v>
      </c>
      <c r="W39" s="132">
        <f t="shared" si="20"/>
        <v>36939</v>
      </c>
      <c r="X39" s="339">
        <f>[5]Sep!$J34</f>
        <v>89.3</v>
      </c>
      <c r="Y39" s="339">
        <f>[5]Sep!$M34</f>
        <v>87.9</v>
      </c>
      <c r="AA39" s="496">
        <f t="shared" ref="AA39:AA44" si="29">U39-U38</f>
        <v>36939</v>
      </c>
      <c r="AC39" s="138"/>
      <c r="AD39" s="844">
        <f t="shared" si="3"/>
        <v>2006</v>
      </c>
      <c r="AE39" s="133">
        <f t="shared" si="4"/>
        <v>7477.2</v>
      </c>
      <c r="AF39" s="132">
        <f t="shared" si="10"/>
        <v>1616047</v>
      </c>
      <c r="AG39" s="140">
        <f t="shared" si="11"/>
        <v>87.9</v>
      </c>
      <c r="AH39" s="301">
        <v>0</v>
      </c>
      <c r="AI39" s="301">
        <v>0</v>
      </c>
      <c r="AJ39" s="134">
        <f t="shared" si="12"/>
        <v>7519</v>
      </c>
      <c r="AK39" s="134">
        <f t="shared" si="23"/>
        <v>-41.800000000000182</v>
      </c>
      <c r="AL39" s="569"/>
      <c r="AM39" s="301"/>
      <c r="AN39" s="134"/>
      <c r="AO39" s="138"/>
      <c r="AP39" s="322">
        <f t="shared" si="24"/>
        <v>1.6000000000003638</v>
      </c>
      <c r="BC39" s="123">
        <v>2006</v>
      </c>
      <c r="BD39" s="134">
        <f t="shared" si="14"/>
        <v>7628</v>
      </c>
      <c r="BE39" s="133">
        <f t="shared" si="6"/>
        <v>7477.2</v>
      </c>
      <c r="BF39" s="133">
        <f t="shared" si="26"/>
        <v>-150.80000000000018</v>
      </c>
      <c r="BG39" s="133">
        <f t="shared" si="7"/>
        <v>7519</v>
      </c>
      <c r="BH39" s="495">
        <f t="shared" si="27"/>
        <v>109</v>
      </c>
    </row>
    <row r="40" spans="1:60">
      <c r="A40" s="123">
        <v>2007</v>
      </c>
      <c r="B40" s="856" t="s">
        <v>405</v>
      </c>
      <c r="C40" s="123">
        <v>17</v>
      </c>
      <c r="D40" s="346" t="str">
        <f t="shared" si="25"/>
        <v>Thu</v>
      </c>
      <c r="E40" s="133">
        <f>[7]MoCoinMW!F$217</f>
        <v>9443</v>
      </c>
      <c r="F40" s="133">
        <f>[7]MoCoinMW!G$217</f>
        <v>8224</v>
      </c>
      <c r="G40" s="164">
        <f>SUM([6]Hist!M$337:O$337)</f>
        <v>0</v>
      </c>
      <c r="H40" s="164">
        <f>[6]Hist!L$337</f>
        <v>0</v>
      </c>
      <c r="I40" s="164">
        <f>[6]Hist!P$337</f>
        <v>0</v>
      </c>
      <c r="J40" s="133">
        <f t="shared" si="28"/>
        <v>8224</v>
      </c>
      <c r="K40" s="164">
        <f>[6]Hist!U$337</f>
        <v>404</v>
      </c>
      <c r="L40" s="164">
        <f>[6]Hist!V$337</f>
        <v>110</v>
      </c>
      <c r="M40" s="133">
        <f t="shared" ref="M40:M45" si="30">SUM(J40:K40)</f>
        <v>8628</v>
      </c>
      <c r="N40" s="164">
        <f>'Interruptible Forecast'!AP18</f>
        <v>305</v>
      </c>
      <c r="O40" s="1377">
        <f t="shared" si="9"/>
        <v>7809</v>
      </c>
      <c r="P40" s="132">
        <f>[8]FCST!$BK14</f>
        <v>1636465</v>
      </c>
      <c r="Q40" s="463">
        <f>[8]FCST!$DM14</f>
        <v>32473</v>
      </c>
      <c r="R40" s="558"/>
      <c r="S40" s="371">
        <f>[8]FCST!$CU14</f>
        <v>55323</v>
      </c>
      <c r="T40" s="387"/>
      <c r="U40" s="853">
        <f t="shared" si="21"/>
        <v>1610626</v>
      </c>
      <c r="V40" s="374">
        <f>ROUND(V39*1.01,0)</f>
        <v>14915</v>
      </c>
      <c r="W40" s="132">
        <f t="shared" si="20"/>
        <v>22700</v>
      </c>
      <c r="X40" s="339">
        <f>[5]Sep!$J35</f>
        <v>89.7</v>
      </c>
      <c r="Y40" s="339">
        <f>[5]Sep!$M35</f>
        <v>88.8</v>
      </c>
      <c r="AA40" s="496">
        <f t="shared" si="29"/>
        <v>22700</v>
      </c>
      <c r="AC40" s="138"/>
      <c r="AD40" s="844">
        <f t="shared" si="3"/>
        <v>2007</v>
      </c>
      <c r="AE40" s="133">
        <f t="shared" si="4"/>
        <v>7809</v>
      </c>
      <c r="AF40" s="132">
        <f t="shared" si="10"/>
        <v>1636465</v>
      </c>
      <c r="AG40" s="140">
        <f t="shared" si="11"/>
        <v>88.8</v>
      </c>
      <c r="AH40" s="301">
        <v>0</v>
      </c>
      <c r="AI40" s="301">
        <v>0</v>
      </c>
      <c r="AJ40" s="134">
        <f t="shared" si="12"/>
        <v>7673</v>
      </c>
      <c r="AK40" s="134">
        <f t="shared" ref="AK40:AK45" si="31">AE40-AJ40</f>
        <v>136</v>
      </c>
      <c r="AL40" s="569"/>
      <c r="AM40" s="301"/>
      <c r="AN40" s="134"/>
      <c r="AO40" s="138"/>
      <c r="AP40" s="322">
        <f t="shared" si="24"/>
        <v>331.80000000000018</v>
      </c>
      <c r="BC40" s="123">
        <v>2007</v>
      </c>
      <c r="BD40" s="134">
        <f t="shared" si="14"/>
        <v>7735</v>
      </c>
      <c r="BE40" s="133">
        <f t="shared" si="6"/>
        <v>7809</v>
      </c>
      <c r="BF40" s="133">
        <f t="shared" si="26"/>
        <v>74</v>
      </c>
      <c r="BG40" s="133">
        <f t="shared" si="7"/>
        <v>7673</v>
      </c>
      <c r="BH40" s="495">
        <f t="shared" si="27"/>
        <v>62</v>
      </c>
    </row>
    <row r="41" spans="1:60">
      <c r="A41" s="123">
        <v>2008</v>
      </c>
      <c r="B41" s="856" t="s">
        <v>423</v>
      </c>
      <c r="C41" s="123">
        <v>17</v>
      </c>
      <c r="D41" s="346" t="str">
        <f>TEXT(WEEKDAY(B41),"ddd")</f>
        <v>Mon</v>
      </c>
      <c r="E41" s="133">
        <f>[7]MoCoinMW!F$229</f>
        <v>9501</v>
      </c>
      <c r="F41" s="133">
        <f>[7]MoCoinMW!G$229</f>
        <v>7998</v>
      </c>
      <c r="G41" s="164">
        <f>SUM([6]Hist!M$349:O$349)</f>
        <v>0</v>
      </c>
      <c r="H41" s="164">
        <f>[6]Hist!L$349</f>
        <v>0</v>
      </c>
      <c r="I41" s="164">
        <f>[6]Hist!P$349</f>
        <v>0</v>
      </c>
      <c r="J41" s="133">
        <f t="shared" si="28"/>
        <v>7998</v>
      </c>
      <c r="K41" s="164">
        <f>[6]Hist!U$349</f>
        <v>435</v>
      </c>
      <c r="L41" s="164">
        <f>[6]Hist!V$349</f>
        <v>110</v>
      </c>
      <c r="M41" s="133">
        <f t="shared" si="30"/>
        <v>8433</v>
      </c>
      <c r="N41" s="164">
        <f>'Interruptible Forecast'!AP19</f>
        <v>342</v>
      </c>
      <c r="O41" s="1377">
        <f t="shared" si="9"/>
        <v>7546</v>
      </c>
      <c r="P41" s="132">
        <f>[8]FCST!$BK15</f>
        <v>1633223</v>
      </c>
      <c r="Q41" s="463">
        <f>[8]FCST!$DM15</f>
        <v>35064</v>
      </c>
      <c r="R41" s="558"/>
      <c r="S41" s="371">
        <f>[8]FCST!$CU15-3000</f>
        <v>60053</v>
      </c>
      <c r="T41" s="387"/>
      <c r="U41" s="853">
        <f t="shared" si="21"/>
        <v>1604793</v>
      </c>
      <c r="V41" s="374">
        <f>ROUND(V40*1.005,0)</f>
        <v>14990</v>
      </c>
      <c r="W41" s="132">
        <f t="shared" si="20"/>
        <v>-5833</v>
      </c>
      <c r="X41" s="339">
        <f>[5]Sep!$J36</f>
        <v>90.9</v>
      </c>
      <c r="Y41" s="339">
        <f>[5]Sep!$M36</f>
        <v>90.2</v>
      </c>
      <c r="AA41" s="496">
        <f t="shared" si="29"/>
        <v>-5833</v>
      </c>
      <c r="AC41" s="138"/>
      <c r="AD41" s="844">
        <f t="shared" si="3"/>
        <v>2008</v>
      </c>
      <c r="AE41" s="133">
        <f t="shared" si="4"/>
        <v>7546</v>
      </c>
      <c r="AF41" s="132">
        <f t="shared" si="10"/>
        <v>1633223</v>
      </c>
      <c r="AG41" s="140">
        <f t="shared" si="11"/>
        <v>90.2</v>
      </c>
      <c r="AH41" s="301">
        <v>0</v>
      </c>
      <c r="AI41" s="301">
        <v>0.5</v>
      </c>
      <c r="AJ41" s="134">
        <f t="shared" si="12"/>
        <v>7500</v>
      </c>
      <c r="AK41" s="134">
        <f t="shared" si="31"/>
        <v>46</v>
      </c>
      <c r="AL41" s="569"/>
      <c r="AM41" s="873"/>
      <c r="AN41" s="134"/>
      <c r="AO41" s="138"/>
      <c r="AP41" s="322">
        <f t="shared" si="24"/>
        <v>-263</v>
      </c>
      <c r="BC41" s="123">
        <v>2008</v>
      </c>
      <c r="BD41" s="134">
        <f t="shared" si="14"/>
        <v>7490</v>
      </c>
      <c r="BE41" s="133">
        <f>AE41</f>
        <v>7546</v>
      </c>
      <c r="BF41" s="133">
        <f t="shared" si="26"/>
        <v>56</v>
      </c>
      <c r="BG41" s="133">
        <f>AJ41</f>
        <v>7500</v>
      </c>
      <c r="BH41" s="495">
        <f t="shared" si="27"/>
        <v>-10</v>
      </c>
    </row>
    <row r="42" spans="1:60">
      <c r="A42" s="123">
        <v>2009</v>
      </c>
      <c r="B42" s="856" t="s">
        <v>436</v>
      </c>
      <c r="C42" s="123">
        <v>15</v>
      </c>
      <c r="D42" s="346" t="str">
        <f>TEXT(WEEKDAY(B42),"ddd")</f>
        <v>Tue</v>
      </c>
      <c r="E42" s="133">
        <f>[7]MoCoinMW!F$241</f>
        <v>8392</v>
      </c>
      <c r="F42" s="133">
        <f>[7]MoCoinMW!G$241</f>
        <v>7414</v>
      </c>
      <c r="G42" s="164">
        <f>SUM([6]Hist!M$361:O$361)</f>
        <v>0</v>
      </c>
      <c r="H42" s="164">
        <f>[6]Hist!L$361</f>
        <v>0</v>
      </c>
      <c r="I42" s="164">
        <f>[6]Hist!P$361</f>
        <v>0</v>
      </c>
      <c r="J42" s="133">
        <f t="shared" si="28"/>
        <v>7414</v>
      </c>
      <c r="K42" s="164">
        <f>[6]Hist!U$361</f>
        <v>470</v>
      </c>
      <c r="L42" s="164">
        <f>[6]Hist!V$361</f>
        <v>110</v>
      </c>
      <c r="M42" s="133">
        <f t="shared" si="30"/>
        <v>7884</v>
      </c>
      <c r="N42" s="164">
        <f>'Interruptible Forecast'!AP20</f>
        <v>247</v>
      </c>
      <c r="O42" s="1377">
        <f t="shared" si="9"/>
        <v>7057</v>
      </c>
      <c r="P42" s="132">
        <f>[8]FCST!$BK16</f>
        <v>1624849</v>
      </c>
      <c r="Q42" s="463">
        <f>[8]FCST!$DM16</f>
        <v>35931</v>
      </c>
      <c r="R42" s="558"/>
      <c r="S42" s="371">
        <f>[8]FCST!$CU16</f>
        <v>58949</v>
      </c>
      <c r="T42" s="387"/>
      <c r="U42" s="347">
        <f t="shared" si="21"/>
        <v>1595552</v>
      </c>
      <c r="V42" s="374">
        <f t="shared" ref="V42:V63" si="32">ROUND(V41*1.005,0)</f>
        <v>15065</v>
      </c>
      <c r="W42" s="132">
        <f t="shared" si="20"/>
        <v>-9241</v>
      </c>
      <c r="X42" s="339">
        <f>[5]Sep!$J37</f>
        <v>87.7</v>
      </c>
      <c r="Y42" s="339">
        <f>[5]Sep!$M37</f>
        <v>86.4</v>
      </c>
      <c r="AA42" s="496">
        <f t="shared" si="29"/>
        <v>-9241</v>
      </c>
      <c r="AC42" s="138"/>
      <c r="AD42" s="844">
        <f>A42</f>
        <v>2009</v>
      </c>
      <c r="AE42" s="133">
        <f>O42</f>
        <v>7057</v>
      </c>
      <c r="AF42" s="132">
        <f t="shared" si="10"/>
        <v>1624849</v>
      </c>
      <c r="AG42" s="140">
        <f t="shared" si="11"/>
        <v>86.4</v>
      </c>
      <c r="AH42" s="301">
        <v>0</v>
      </c>
      <c r="AI42" s="1328">
        <v>1</v>
      </c>
      <c r="AJ42" s="134">
        <f t="shared" si="12"/>
        <v>7032</v>
      </c>
      <c r="AK42" s="134">
        <f t="shared" si="31"/>
        <v>25</v>
      </c>
      <c r="AL42" s="569"/>
      <c r="AM42" s="873"/>
      <c r="AN42" s="134"/>
      <c r="AO42" s="138"/>
      <c r="AP42" s="322">
        <f t="shared" si="24"/>
        <v>-489</v>
      </c>
      <c r="BC42" s="123">
        <v>2009</v>
      </c>
      <c r="BD42" s="134">
        <f t="shared" si="14"/>
        <v>7218</v>
      </c>
      <c r="BE42" s="133">
        <f>AE42</f>
        <v>7057</v>
      </c>
      <c r="BF42" s="133">
        <f>BE42-BD42</f>
        <v>-161</v>
      </c>
      <c r="BG42" s="133">
        <f>AJ42</f>
        <v>7032</v>
      </c>
      <c r="BH42" s="495">
        <f>BD42-BG42</f>
        <v>186</v>
      </c>
    </row>
    <row r="43" spans="1:60">
      <c r="A43" s="123">
        <v>2010</v>
      </c>
      <c r="B43" s="856" t="s">
        <v>450</v>
      </c>
      <c r="C43" s="976">
        <v>16</v>
      </c>
      <c r="D43" s="346" t="str">
        <f>TEXT(WEEKDAY(B43),"ddd")</f>
        <v>Mon</v>
      </c>
      <c r="E43" s="133">
        <f>[7]MoCoinMW!F$253</f>
        <v>8844</v>
      </c>
      <c r="F43" s="133">
        <f>[7]MoCoinMW!G$253</f>
        <v>7878</v>
      </c>
      <c r="G43" s="164">
        <f>SUM([6]Hist!M$373:O$373)</f>
        <v>0</v>
      </c>
      <c r="H43" s="164">
        <f>[6]Hist!L$373</f>
        <v>0</v>
      </c>
      <c r="I43" s="164">
        <f>[6]Hist!P$373</f>
        <v>0</v>
      </c>
      <c r="J43" s="133">
        <f t="shared" si="28"/>
        <v>7878</v>
      </c>
      <c r="K43" s="164">
        <f>[6]Hist!U$373</f>
        <v>513</v>
      </c>
      <c r="L43" s="164">
        <f>[6]Hist!V$373</f>
        <v>110</v>
      </c>
      <c r="M43" s="133">
        <f t="shared" si="30"/>
        <v>8391</v>
      </c>
      <c r="N43" s="164">
        <f>'Interruptible Forecast'!AP21</f>
        <v>222</v>
      </c>
      <c r="O43" s="1377">
        <f t="shared" si="9"/>
        <v>7546</v>
      </c>
      <c r="P43" s="132">
        <f>[8]FCST!$BK17</f>
        <v>1632210</v>
      </c>
      <c r="Q43" s="463">
        <f>[8]FCST!$DM17</f>
        <v>35062</v>
      </c>
      <c r="R43" s="558"/>
      <c r="S43" s="371">
        <f>[8]FCST!$CU17</f>
        <v>62477</v>
      </c>
      <c r="T43" s="387"/>
      <c r="U43" s="347">
        <f t="shared" si="21"/>
        <v>1603782</v>
      </c>
      <c r="V43" s="374">
        <f t="shared" si="32"/>
        <v>15140</v>
      </c>
      <c r="W43" s="132">
        <f t="shared" si="20"/>
        <v>8230</v>
      </c>
      <c r="X43" s="339">
        <f>[5]Sep!$J38</f>
        <v>91.5</v>
      </c>
      <c r="Y43" s="339">
        <f>[5]Sep!$M38</f>
        <v>89.9</v>
      </c>
      <c r="AA43" s="496">
        <f t="shared" si="29"/>
        <v>8230</v>
      </c>
      <c r="AC43" s="138"/>
      <c r="AD43" s="844">
        <f>A43</f>
        <v>2010</v>
      </c>
      <c r="AE43" s="133">
        <f>O43</f>
        <v>7546</v>
      </c>
      <c r="AF43" s="132">
        <f t="shared" si="10"/>
        <v>1632210</v>
      </c>
      <c r="AG43" s="140">
        <f t="shared" si="11"/>
        <v>89.9</v>
      </c>
      <c r="AH43" s="301">
        <v>0</v>
      </c>
      <c r="AI43" s="1328">
        <v>0.5</v>
      </c>
      <c r="AJ43" s="134">
        <f>ROUND($AV$13+$AU$13*$AF43+$AT$13*$AG43+$AS$13*$AH43+$AR$13*$AI43,0)</f>
        <v>7480</v>
      </c>
      <c r="AK43" s="134">
        <f t="shared" si="31"/>
        <v>66</v>
      </c>
      <c r="AL43" s="569"/>
      <c r="AM43" s="873"/>
      <c r="AN43" s="134"/>
      <c r="AO43" s="138"/>
      <c r="AP43" s="322">
        <f t="shared" si="24"/>
        <v>489</v>
      </c>
      <c r="BC43" s="123">
        <v>2010</v>
      </c>
      <c r="BD43" s="134">
        <f t="shared" si="14"/>
        <v>7485</v>
      </c>
      <c r="BE43" s="133">
        <f>AE43</f>
        <v>7546</v>
      </c>
      <c r="BF43" s="133">
        <f>BE43-BD43</f>
        <v>61</v>
      </c>
      <c r="BG43" s="133">
        <f>AJ43</f>
        <v>7480</v>
      </c>
      <c r="BH43" s="495">
        <f>BD43-BG43</f>
        <v>5</v>
      </c>
    </row>
    <row r="44" spans="1:60">
      <c r="A44" s="123">
        <v>2011</v>
      </c>
      <c r="B44" s="856" t="s">
        <v>538</v>
      </c>
      <c r="C44" s="123">
        <v>17</v>
      </c>
      <c r="D44" s="346" t="str">
        <f>TEXT(WEEKDAY(B44),"ddd")</f>
        <v>Mon</v>
      </c>
      <c r="E44" s="133">
        <f>[7]MoCoinMW!F$265</f>
        <v>8207</v>
      </c>
      <c r="F44" s="133">
        <f>[7]MoCoinMW!G$265</f>
        <v>7452</v>
      </c>
      <c r="G44" s="164">
        <f>SUM([6]Hist!M$385:O$385)</f>
        <v>0</v>
      </c>
      <c r="H44" s="164">
        <f>[6]Hist!L$385</f>
        <v>0</v>
      </c>
      <c r="I44" s="164">
        <f>[6]Hist!P$385</f>
        <v>0</v>
      </c>
      <c r="J44" s="133">
        <f t="shared" si="28"/>
        <v>7452</v>
      </c>
      <c r="K44" s="164">
        <f>[6]Hist!U$385</f>
        <v>564</v>
      </c>
      <c r="L44" s="164">
        <f>[6]Hist!V$385</f>
        <v>110</v>
      </c>
      <c r="M44" s="133">
        <f t="shared" si="30"/>
        <v>8016</v>
      </c>
      <c r="N44" s="164">
        <f>'Interruptible Forecast'!AP22</f>
        <v>259</v>
      </c>
      <c r="O44" s="1377">
        <f t="shared" si="9"/>
        <v>7083</v>
      </c>
      <c r="P44" s="132">
        <f>[8]FCST!$BK18</f>
        <v>1640776</v>
      </c>
      <c r="Q44" s="463">
        <f>[8]FCST!$DM18</f>
        <v>34484</v>
      </c>
      <c r="R44" s="558"/>
      <c r="S44" s="371">
        <f>[8]FCST!$CU18</f>
        <v>62252</v>
      </c>
      <c r="T44" s="387"/>
      <c r="U44" s="347">
        <f t="shared" si="21"/>
        <v>1612926</v>
      </c>
      <c r="V44" s="374">
        <f t="shared" si="32"/>
        <v>15216</v>
      </c>
      <c r="W44" s="132">
        <f t="shared" si="20"/>
        <v>9144</v>
      </c>
      <c r="X44" s="339">
        <f>[5]Sep!$J39</f>
        <v>91.1</v>
      </c>
      <c r="Y44" s="339">
        <f>[5]Sep!$M39</f>
        <v>89.6</v>
      </c>
      <c r="AA44" s="496">
        <f t="shared" si="29"/>
        <v>9144</v>
      </c>
      <c r="AC44" s="138"/>
      <c r="AD44" s="844">
        <f>A44</f>
        <v>2011</v>
      </c>
      <c r="AE44" s="133">
        <f>O44</f>
        <v>7083</v>
      </c>
      <c r="AF44" s="132">
        <f t="shared" si="10"/>
        <v>1640776</v>
      </c>
      <c r="AG44" s="140">
        <f t="shared" si="11"/>
        <v>89.6</v>
      </c>
      <c r="AH44" s="301">
        <v>0</v>
      </c>
      <c r="AI44" s="1328">
        <v>1</v>
      </c>
      <c r="AJ44" s="134">
        <f t="shared" si="12"/>
        <v>7281</v>
      </c>
      <c r="AK44" s="134">
        <f t="shared" si="31"/>
        <v>-198</v>
      </c>
      <c r="AL44" s="569"/>
      <c r="AM44" s="873"/>
      <c r="AN44" s="134"/>
      <c r="AO44" s="138"/>
      <c r="AP44" s="322">
        <f t="shared" si="24"/>
        <v>-463</v>
      </c>
      <c r="BC44" s="123">
        <v>2011</v>
      </c>
      <c r="BD44" s="134">
        <f t="shared" si="14"/>
        <v>7302</v>
      </c>
      <c r="BE44" s="133">
        <f>AE44</f>
        <v>7083</v>
      </c>
      <c r="BF44" s="133">
        <f>BE44-BD44</f>
        <v>-219</v>
      </c>
      <c r="BG44" s="133">
        <f>AJ44</f>
        <v>7281</v>
      </c>
      <c r="BH44" s="495">
        <f>BD44-BG44</f>
        <v>21</v>
      </c>
    </row>
    <row r="45" spans="1:60">
      <c r="A45" s="123">
        <v>2012</v>
      </c>
      <c r="B45" s="856" t="s">
        <v>576</v>
      </c>
      <c r="C45" s="123">
        <v>17</v>
      </c>
      <c r="D45" s="346" t="str">
        <f>TEXT(WEEKDAY(B45),"ddd")</f>
        <v>Tue</v>
      </c>
      <c r="E45" s="133">
        <f>[7]MoCoinMW!F$277</f>
        <v>8108</v>
      </c>
      <c r="F45" s="133">
        <f>[7]MoCoinMW!G$277</f>
        <v>7598</v>
      </c>
      <c r="G45" s="164">
        <f>SUM([6]Hist!M$397:O$397)</f>
        <v>0</v>
      </c>
      <c r="H45" s="164">
        <f>[6]Hist!L$397</f>
        <v>0</v>
      </c>
      <c r="I45" s="164">
        <f>[6]Hist!P$397</f>
        <v>0</v>
      </c>
      <c r="J45" s="133">
        <f t="shared" ref="J45" si="33">SUM(F45:I45)</f>
        <v>7598</v>
      </c>
      <c r="K45" s="164">
        <f>[6]Hist!U$397</f>
        <v>608</v>
      </c>
      <c r="L45" s="164">
        <f>[6]Hist!V$397</f>
        <v>124</v>
      </c>
      <c r="M45" s="133">
        <f t="shared" si="30"/>
        <v>8206</v>
      </c>
      <c r="N45" s="164">
        <f>'Interruptible Forecast'!AP23</f>
        <v>220</v>
      </c>
      <c r="O45" s="1377">
        <f t="shared" si="9"/>
        <v>7254</v>
      </c>
      <c r="P45" s="132">
        <f>[8]FCST!$BK19</f>
        <v>1655538</v>
      </c>
      <c r="Q45" s="463">
        <f>[8]FCST!$DM19</f>
        <v>35692</v>
      </c>
      <c r="R45" s="558"/>
      <c r="S45" s="371">
        <f>[8]FCST!$CU19</f>
        <v>59440</v>
      </c>
      <c r="T45" s="387"/>
      <c r="U45" s="347">
        <f t="shared" si="21"/>
        <v>1626480</v>
      </c>
      <c r="V45" s="374">
        <f t="shared" si="32"/>
        <v>15292</v>
      </c>
      <c r="W45" s="132">
        <f t="shared" si="20"/>
        <v>13554</v>
      </c>
      <c r="X45" s="339">
        <f>[5]Sep!$J40</f>
        <v>88.6</v>
      </c>
      <c r="Y45" s="339">
        <f>[5]Sep!$M40</f>
        <v>88.3</v>
      </c>
      <c r="AA45" s="496">
        <f t="shared" ref="AA45" si="34">U45-U44</f>
        <v>13554</v>
      </c>
      <c r="AC45" s="138">
        <f>AM45-Summer!AR45</f>
        <v>0</v>
      </c>
      <c r="AD45" s="844">
        <f>A45</f>
        <v>2012</v>
      </c>
      <c r="AE45" s="133">
        <f>O45</f>
        <v>7254</v>
      </c>
      <c r="AF45" s="132">
        <f t="shared" si="10"/>
        <v>1655538</v>
      </c>
      <c r="AG45" s="140">
        <f t="shared" si="11"/>
        <v>88.3</v>
      </c>
      <c r="AH45" s="301">
        <v>0</v>
      </c>
      <c r="AI45" s="1328">
        <v>1</v>
      </c>
      <c r="AJ45" s="134">
        <f t="shared" si="12"/>
        <v>7292</v>
      </c>
      <c r="AK45" s="134">
        <f t="shared" si="31"/>
        <v>-38</v>
      </c>
      <c r="AL45" s="569"/>
      <c r="AM45" s="873"/>
      <c r="AN45" s="134"/>
      <c r="AO45" s="138"/>
      <c r="AP45" s="322">
        <f t="shared" si="24"/>
        <v>171</v>
      </c>
      <c r="BC45" s="123">
        <v>2012</v>
      </c>
      <c r="BD45" s="134">
        <f t="shared" si="14"/>
        <v>7380</v>
      </c>
      <c r="BE45" s="133">
        <f>AE45</f>
        <v>7254</v>
      </c>
      <c r="BF45" s="133">
        <f>BE45-BD45</f>
        <v>-126</v>
      </c>
      <c r="BG45" s="133">
        <f>AJ45</f>
        <v>7292</v>
      </c>
      <c r="BH45" s="495">
        <f>BD45-BG45</f>
        <v>88</v>
      </c>
    </row>
    <row r="46" spans="1:60">
      <c r="A46" s="123">
        <v>2013</v>
      </c>
      <c r="P46" s="132">
        <f>[8]FCST!$BK20</f>
        <v>1674348.78924866</v>
      </c>
      <c r="Q46" s="371">
        <f t="shared" ref="Q46:Q53" si="35">R46*S46</f>
        <v>35890.295259077808</v>
      </c>
      <c r="R46" s="558">
        <f t="shared" ref="R46:R73" si="36">$R$4</f>
        <v>0.57650000000000001</v>
      </c>
      <c r="S46" s="371">
        <f>[8]FCST!$CU20</f>
        <v>62255.49914844372</v>
      </c>
      <c r="T46" s="387">
        <f>[8]FCST!$CC20</f>
        <v>1482273.78924866</v>
      </c>
      <c r="U46" s="679">
        <f t="shared" si="21"/>
        <v>1645092.4939895822</v>
      </c>
      <c r="V46" s="374">
        <f t="shared" si="32"/>
        <v>15368</v>
      </c>
      <c r="W46" s="132">
        <f t="shared" si="20"/>
        <v>18612.493989582174</v>
      </c>
      <c r="X46" s="123"/>
      <c r="Y46" s="123"/>
      <c r="AC46" s="138">
        <f>AM46-Summer!AR46</f>
        <v>-665</v>
      </c>
      <c r="AD46" s="123">
        <f t="shared" si="3"/>
        <v>2013</v>
      </c>
      <c r="AF46" s="132">
        <f t="shared" si="10"/>
        <v>1674348.78924866</v>
      </c>
      <c r="AG46" s="375">
        <f t="shared" ref="AG46:AG63" si="37">$Y$74</f>
        <v>90</v>
      </c>
      <c r="AH46" s="301">
        <v>0</v>
      </c>
      <c r="AI46" s="1328">
        <f>AI45-0.2</f>
        <v>0.8</v>
      </c>
      <c r="AJ46" s="134"/>
      <c r="AK46" s="134"/>
      <c r="AL46" s="469">
        <v>25</v>
      </c>
      <c r="AM46" s="682">
        <f t="shared" ref="AM46:AM63" si="38">ROUND($AV$13+$AU$13*$AF46+$AT$13*$AG46+$AS$13*$AH46+$AR$13*$AI46,0)-AL46</f>
        <v>7546</v>
      </c>
      <c r="AN46" s="134">
        <f>[11]Sep!$AM46</f>
        <v>8409</v>
      </c>
      <c r="AO46" s="138">
        <f t="shared" ref="AO46:AO53" si="39">AM46-AN46</f>
        <v>-863</v>
      </c>
      <c r="AP46" s="381">
        <f>AM46-AE45</f>
        <v>292</v>
      </c>
    </row>
    <row r="47" spans="1:60">
      <c r="A47" s="123">
        <v>2014</v>
      </c>
      <c r="P47" s="132">
        <f>[8]FCST!$BK21</f>
        <v>1695854.2684289</v>
      </c>
      <c r="Q47" s="371">
        <f t="shared" si="35"/>
        <v>36358.852624468964</v>
      </c>
      <c r="R47" s="558">
        <f t="shared" si="36"/>
        <v>0.57650000000000001</v>
      </c>
      <c r="S47" s="371">
        <f>[8]FCST!$CU21</f>
        <v>63068.261274013807</v>
      </c>
      <c r="T47" s="387">
        <f>[8]FCST!$CC21</f>
        <v>1501625.2684289</v>
      </c>
      <c r="U47" s="679">
        <f t="shared" si="21"/>
        <v>1666129.4158044311</v>
      </c>
      <c r="V47" s="374">
        <f t="shared" si="32"/>
        <v>15445</v>
      </c>
      <c r="W47" s="132">
        <f t="shared" si="20"/>
        <v>21036.921814848902</v>
      </c>
      <c r="X47" s="123"/>
      <c r="Y47" s="123"/>
      <c r="AC47" s="138">
        <f>AM47-Summer!AR47</f>
        <v>-725</v>
      </c>
      <c r="AD47" s="123">
        <f t="shared" si="3"/>
        <v>2014</v>
      </c>
      <c r="AF47" s="132">
        <f t="shared" si="10"/>
        <v>1695854.2684289</v>
      </c>
      <c r="AG47" s="375">
        <f t="shared" si="37"/>
        <v>90</v>
      </c>
      <c r="AH47" s="301">
        <v>0</v>
      </c>
      <c r="AI47" s="1328">
        <f t="shared" ref="AI47:AI49" si="40">AI46-0.2</f>
        <v>0.60000000000000009</v>
      </c>
      <c r="AJ47" s="134"/>
      <c r="AK47" s="134"/>
      <c r="AL47" s="469">
        <v>25</v>
      </c>
      <c r="AM47" s="682">
        <f t="shared" si="38"/>
        <v>7751</v>
      </c>
      <c r="AN47" s="134">
        <f>[11]Sep!$AM47</f>
        <v>8566</v>
      </c>
      <c r="AO47" s="138">
        <f t="shared" si="39"/>
        <v>-815</v>
      </c>
      <c r="AP47" s="381">
        <f t="shared" ref="AP47:AP58" si="41">AM47-AM46</f>
        <v>205</v>
      </c>
    </row>
    <row r="48" spans="1:60">
      <c r="A48" s="123">
        <v>2015</v>
      </c>
      <c r="P48" s="132">
        <f>[8]FCST!$BK22</f>
        <v>1722982.6750279199</v>
      </c>
      <c r="Q48" s="371">
        <f t="shared" si="35"/>
        <v>36947.867907451029</v>
      </c>
      <c r="R48" s="558">
        <f t="shared" si="36"/>
        <v>0.57650000000000001</v>
      </c>
      <c r="S48" s="371">
        <f>[8]FCST!$CU22</f>
        <v>64089.97035117264</v>
      </c>
      <c r="T48" s="387">
        <f>[8]FCST!$CC22</f>
        <v>1525951.6750279199</v>
      </c>
      <c r="U48" s="679">
        <f t="shared" si="21"/>
        <v>1692668.8071204689</v>
      </c>
      <c r="V48" s="374">
        <f t="shared" si="32"/>
        <v>15522</v>
      </c>
      <c r="W48" s="132">
        <f t="shared" si="20"/>
        <v>26539.391316037858</v>
      </c>
      <c r="X48" s="123"/>
      <c r="Y48" s="123"/>
      <c r="AC48" s="138">
        <f>AM48-Summer!AR48</f>
        <v>-759</v>
      </c>
      <c r="AD48" s="123">
        <f t="shared" si="3"/>
        <v>2015</v>
      </c>
      <c r="AF48" s="132">
        <f t="shared" si="10"/>
        <v>1722982.6750279199</v>
      </c>
      <c r="AG48" s="375">
        <f t="shared" si="37"/>
        <v>90</v>
      </c>
      <c r="AH48" s="301">
        <v>0</v>
      </c>
      <c r="AI48" s="1328">
        <f t="shared" si="40"/>
        <v>0.40000000000000008</v>
      </c>
      <c r="AJ48" s="134"/>
      <c r="AK48" s="134"/>
      <c r="AL48" s="469">
        <v>25</v>
      </c>
      <c r="AM48" s="682">
        <f>ROUND($AV$13+$AU$13*$AF48+$AT$13*$AG48+$AS$13*$AH48+$AR$13*$AI48,0)-AL48</f>
        <v>7985</v>
      </c>
      <c r="AN48" s="134">
        <f>[11]Sep!$AM48</f>
        <v>8739</v>
      </c>
      <c r="AO48" s="138">
        <f t="shared" si="39"/>
        <v>-754</v>
      </c>
      <c r="AP48" s="381">
        <f t="shared" si="41"/>
        <v>234</v>
      </c>
    </row>
    <row r="49" spans="1:42">
      <c r="A49" s="123">
        <v>2016</v>
      </c>
      <c r="P49" s="132">
        <f>[8]FCST!$BK23</f>
        <v>1749259.67035931</v>
      </c>
      <c r="Q49" s="371">
        <f t="shared" si="35"/>
        <v>37519.270381409973</v>
      </c>
      <c r="R49" s="558">
        <f t="shared" si="36"/>
        <v>0.57650000000000001</v>
      </c>
      <c r="S49" s="371">
        <f>[8]FCST!$CU23</f>
        <v>65081.128155091021</v>
      </c>
      <c r="T49" s="387">
        <f>[8]FCST!$CC23</f>
        <v>1549550.67035931</v>
      </c>
      <c r="U49" s="679">
        <f t="shared" si="21"/>
        <v>1718374.3999779001</v>
      </c>
      <c r="V49" s="374">
        <f t="shared" si="32"/>
        <v>15600</v>
      </c>
      <c r="W49" s="132">
        <f t="shared" si="20"/>
        <v>25705.592857431155</v>
      </c>
      <c r="X49" s="123"/>
      <c r="Y49" s="123"/>
      <c r="AC49" s="138">
        <f>AM49-Summer!AR49</f>
        <v>-821</v>
      </c>
      <c r="AD49" s="123">
        <f t="shared" si="3"/>
        <v>2016</v>
      </c>
      <c r="AF49" s="132">
        <f t="shared" si="10"/>
        <v>1749259.67035931</v>
      </c>
      <c r="AG49" s="375">
        <f t="shared" si="37"/>
        <v>90</v>
      </c>
      <c r="AH49" s="301">
        <v>0</v>
      </c>
      <c r="AI49" s="1328">
        <f t="shared" si="40"/>
        <v>0.20000000000000007</v>
      </c>
      <c r="AJ49" s="134"/>
      <c r="AK49" s="134"/>
      <c r="AL49" s="469">
        <v>25</v>
      </c>
      <c r="AM49" s="682">
        <f t="shared" si="38"/>
        <v>8215</v>
      </c>
      <c r="AN49" s="134">
        <f>[11]Sep!$AM49</f>
        <v>8906</v>
      </c>
      <c r="AO49" s="138">
        <f t="shared" si="39"/>
        <v>-691</v>
      </c>
      <c r="AP49" s="381">
        <f t="shared" si="41"/>
        <v>230</v>
      </c>
    </row>
    <row r="50" spans="1:42">
      <c r="A50" s="123">
        <v>2017</v>
      </c>
      <c r="P50" s="132">
        <f>[8]FCST!$BK24</f>
        <v>1775791.0332132699</v>
      </c>
      <c r="Q50" s="371">
        <f t="shared" si="35"/>
        <v>38096.371809192911</v>
      </c>
      <c r="R50" s="558">
        <f t="shared" si="36"/>
        <v>0.57650000000000001</v>
      </c>
      <c r="S50" s="371">
        <f>[8]FCST!$CU24</f>
        <v>66082.171394957346</v>
      </c>
      <c r="T50" s="387">
        <f>[8]FCST!$CC24</f>
        <v>1573385.0332132699</v>
      </c>
      <c r="U50" s="679">
        <f t="shared" si="21"/>
        <v>1744328.661404077</v>
      </c>
      <c r="V50" s="374">
        <f t="shared" si="32"/>
        <v>15678</v>
      </c>
      <c r="W50" s="132">
        <f t="shared" si="20"/>
        <v>25954.261426176876</v>
      </c>
      <c r="X50" s="123"/>
      <c r="Y50" s="123"/>
      <c r="AC50" s="138">
        <f>AM50-Summer!AR50</f>
        <v>-883</v>
      </c>
      <c r="AD50" s="123">
        <f t="shared" si="3"/>
        <v>2017</v>
      </c>
      <c r="AF50" s="132">
        <f t="shared" si="10"/>
        <v>1775791.0332132699</v>
      </c>
      <c r="AG50" s="375">
        <f t="shared" si="37"/>
        <v>90</v>
      </c>
      <c r="AH50" s="301">
        <v>0</v>
      </c>
      <c r="AI50" s="1328">
        <f>AI49-0.2</f>
        <v>0</v>
      </c>
      <c r="AJ50" s="134"/>
      <c r="AK50" s="134"/>
      <c r="AL50" s="469">
        <v>25</v>
      </c>
      <c r="AM50" s="682">
        <f t="shared" si="38"/>
        <v>8447</v>
      </c>
      <c r="AN50" s="134">
        <f>[11]Sep!$AM50</f>
        <v>9081</v>
      </c>
      <c r="AO50" s="138">
        <f t="shared" si="39"/>
        <v>-634</v>
      </c>
      <c r="AP50" s="381">
        <f t="shared" si="41"/>
        <v>232</v>
      </c>
    </row>
    <row r="51" spans="1:42">
      <c r="A51" s="123">
        <v>2018</v>
      </c>
      <c r="P51" s="132">
        <f>[8]FCST!$BK25</f>
        <v>1800931.1973623901</v>
      </c>
      <c r="Q51" s="371">
        <f t="shared" si="35"/>
        <v>38643.783287735554</v>
      </c>
      <c r="R51" s="558">
        <f t="shared" si="36"/>
        <v>0.57650000000000001</v>
      </c>
      <c r="S51" s="371">
        <f>[8]FCST!$CU25</f>
        <v>67031.714289220385</v>
      </c>
      <c r="T51" s="387">
        <f>[8]FCST!$CC25</f>
        <v>1595993.1973623901</v>
      </c>
      <c r="U51" s="679">
        <f t="shared" si="21"/>
        <v>1768921.4140746545</v>
      </c>
      <c r="V51" s="374">
        <f t="shared" si="32"/>
        <v>15756</v>
      </c>
      <c r="W51" s="132">
        <f t="shared" si="20"/>
        <v>24592.752670577494</v>
      </c>
      <c r="X51" s="123"/>
      <c r="Y51" s="123"/>
      <c r="AC51" s="138">
        <f>AM51-Summer!AR51</f>
        <v>-914</v>
      </c>
      <c r="AD51" s="123">
        <f t="shared" si="3"/>
        <v>2018</v>
      </c>
      <c r="AF51" s="132">
        <f t="shared" si="10"/>
        <v>1800931.1973623901</v>
      </c>
      <c r="AG51" s="375">
        <f t="shared" si="37"/>
        <v>90</v>
      </c>
      <c r="AH51" s="301">
        <v>0</v>
      </c>
      <c r="AI51" s="301">
        <v>0</v>
      </c>
      <c r="AJ51" s="134"/>
      <c r="AK51" s="134"/>
      <c r="AL51" s="469">
        <v>25</v>
      </c>
      <c r="AM51" s="682">
        <f t="shared" si="38"/>
        <v>8580</v>
      </c>
      <c r="AN51" s="134">
        <f>[11]Sep!$AM51</f>
        <v>9258</v>
      </c>
      <c r="AO51" s="138">
        <f t="shared" si="39"/>
        <v>-678</v>
      </c>
      <c r="AP51" s="381">
        <f t="shared" si="41"/>
        <v>133</v>
      </c>
    </row>
    <row r="52" spans="1:42">
      <c r="A52" s="123">
        <v>2019</v>
      </c>
      <c r="P52" s="132">
        <f>[8]FCST!$BK26</f>
        <v>1824649.2935627699</v>
      </c>
      <c r="Q52" s="371">
        <f t="shared" si="35"/>
        <v>39160.975297035351</v>
      </c>
      <c r="R52" s="558">
        <f t="shared" si="36"/>
        <v>0.57650000000000001</v>
      </c>
      <c r="S52" s="371">
        <f>[8]FCST!$CU26</f>
        <v>67928.838329636346</v>
      </c>
      <c r="T52" s="387">
        <f>[8]FCST!$CC26</f>
        <v>1617353.2935627699</v>
      </c>
      <c r="U52" s="679">
        <f t="shared" si="21"/>
        <v>1792122.3182657345</v>
      </c>
      <c r="V52" s="374">
        <f t="shared" si="32"/>
        <v>15835</v>
      </c>
      <c r="W52" s="132">
        <f t="shared" si="20"/>
        <v>23200.904191080015</v>
      </c>
      <c r="X52" s="123"/>
      <c r="Y52" s="123"/>
      <c r="AC52" s="138">
        <f>AM52-Summer!AR52</f>
        <v>-943</v>
      </c>
      <c r="AD52" s="123">
        <f t="shared" si="3"/>
        <v>2019</v>
      </c>
      <c r="AF52" s="132">
        <f t="shared" si="10"/>
        <v>1824649.2935627699</v>
      </c>
      <c r="AG52" s="375">
        <f t="shared" si="37"/>
        <v>90</v>
      </c>
      <c r="AH52" s="301">
        <v>0</v>
      </c>
      <c r="AI52" s="301">
        <v>0</v>
      </c>
      <c r="AJ52" s="134"/>
      <c r="AK52" s="134"/>
      <c r="AL52" s="469">
        <v>25</v>
      </c>
      <c r="AM52" s="682">
        <f t="shared" si="38"/>
        <v>8705</v>
      </c>
      <c r="AN52" s="134">
        <f>[11]Sep!$AM52</f>
        <v>9436</v>
      </c>
      <c r="AO52" s="138">
        <f t="shared" si="39"/>
        <v>-731</v>
      </c>
      <c r="AP52" s="381">
        <f t="shared" si="41"/>
        <v>125</v>
      </c>
    </row>
    <row r="53" spans="1:42">
      <c r="A53" s="123">
        <v>2020</v>
      </c>
      <c r="P53" s="132">
        <f>[8]FCST!$BK27</f>
        <v>1848036.8050079099</v>
      </c>
      <c r="Q53" s="371">
        <f t="shared" si="35"/>
        <v>39671.252442656529</v>
      </c>
      <c r="R53" s="558">
        <f t="shared" si="36"/>
        <v>0.57650000000000001</v>
      </c>
      <c r="S53" s="371">
        <f>[8]FCST!$CU27</f>
        <v>68813.967810332222</v>
      </c>
      <c r="T53" s="387">
        <f>[8]FCST!$CC27</f>
        <v>1638427.8050079099</v>
      </c>
      <c r="U53" s="679">
        <f t="shared" si="21"/>
        <v>1814999.5525652533</v>
      </c>
      <c r="V53" s="374">
        <f t="shared" si="32"/>
        <v>15914</v>
      </c>
      <c r="W53" s="132">
        <f t="shared" si="20"/>
        <v>22877.234299518866</v>
      </c>
      <c r="X53" s="123"/>
      <c r="Y53" s="123"/>
      <c r="AC53" s="138">
        <f>AM53-Summer!AR53</f>
        <v>-971</v>
      </c>
      <c r="AD53" s="123">
        <f t="shared" si="3"/>
        <v>2020</v>
      </c>
      <c r="AF53" s="132">
        <f t="shared" si="10"/>
        <v>1848036.8050079099</v>
      </c>
      <c r="AG53" s="375">
        <f t="shared" si="37"/>
        <v>90</v>
      </c>
      <c r="AH53" s="301">
        <v>0</v>
      </c>
      <c r="AI53" s="301">
        <v>0</v>
      </c>
      <c r="AJ53" s="134"/>
      <c r="AK53" s="134"/>
      <c r="AL53" s="469">
        <v>25</v>
      </c>
      <c r="AM53" s="682">
        <f t="shared" si="38"/>
        <v>8829</v>
      </c>
      <c r="AN53" s="134">
        <f>[11]Sep!$AM53</f>
        <v>9613</v>
      </c>
      <c r="AO53" s="138">
        <f t="shared" si="39"/>
        <v>-784</v>
      </c>
      <c r="AP53" s="381">
        <f t="shared" si="41"/>
        <v>124</v>
      </c>
    </row>
    <row r="54" spans="1:42">
      <c r="A54" s="123">
        <v>2021</v>
      </c>
      <c r="P54" s="132">
        <f>[8]FCST!$BK28</f>
        <v>1870540.25366922</v>
      </c>
      <c r="Q54" s="371">
        <f t="shared" ref="Q54:Q63" si="42">R54*S54</f>
        <v>40162.787206092828</v>
      </c>
      <c r="R54" s="558">
        <f t="shared" si="36"/>
        <v>0.57650000000000001</v>
      </c>
      <c r="S54" s="371">
        <f>[8]FCST!$CU28</f>
        <v>69666.586654107246</v>
      </c>
      <c r="T54" s="387">
        <f>[8]FCST!$CC28</f>
        <v>1658728.25366922</v>
      </c>
      <c r="U54" s="679">
        <f t="shared" si="21"/>
        <v>1837011.4664631272</v>
      </c>
      <c r="V54" s="374">
        <f t="shared" si="32"/>
        <v>15994</v>
      </c>
      <c r="W54" s="132">
        <f t="shared" si="20"/>
        <v>22011.913897873834</v>
      </c>
      <c r="X54" s="123"/>
      <c r="Y54" s="123"/>
      <c r="AC54" s="138">
        <f>AM54-Summer!AR54</f>
        <v>-998</v>
      </c>
      <c r="AD54" s="123">
        <f t="shared" si="3"/>
        <v>2021</v>
      </c>
      <c r="AF54" s="132">
        <f t="shared" si="10"/>
        <v>1870540.25366922</v>
      </c>
      <c r="AG54" s="375">
        <f t="shared" si="37"/>
        <v>90</v>
      </c>
      <c r="AH54" s="301">
        <v>0</v>
      </c>
      <c r="AI54" s="301">
        <v>0</v>
      </c>
      <c r="AL54" s="469">
        <v>25</v>
      </c>
      <c r="AM54" s="682">
        <f t="shared" si="38"/>
        <v>8948</v>
      </c>
      <c r="AN54" s="134">
        <f>[11]Sep!$AM54</f>
        <v>9788</v>
      </c>
      <c r="AO54" s="138">
        <f t="shared" ref="AO54:AO63" si="43">AM54-AN54</f>
        <v>-840</v>
      </c>
      <c r="AP54" s="381">
        <f t="shared" si="41"/>
        <v>119</v>
      </c>
    </row>
    <row r="55" spans="1:42">
      <c r="A55" s="123">
        <v>2022</v>
      </c>
      <c r="P55" s="132">
        <f>[8]FCST!$BK29</f>
        <v>1892442.6979306701</v>
      </c>
      <c r="Q55" s="371">
        <f t="shared" si="42"/>
        <v>40641.416333995323</v>
      </c>
      <c r="R55" s="558">
        <f t="shared" si="36"/>
        <v>0.57650000000000001</v>
      </c>
      <c r="S55" s="371">
        <f>[8]FCST!$CU29</f>
        <v>70496.819313088155</v>
      </c>
      <c r="T55" s="387">
        <f>[8]FCST!$CC29</f>
        <v>1678495.6979306701</v>
      </c>
      <c r="U55" s="679">
        <f t="shared" si="21"/>
        <v>1858435.2815966748</v>
      </c>
      <c r="V55" s="374">
        <f t="shared" si="32"/>
        <v>16074</v>
      </c>
      <c r="W55" s="132">
        <f t="shared" si="20"/>
        <v>21423.815133547643</v>
      </c>
      <c r="X55" s="123"/>
      <c r="Y55" s="123"/>
      <c r="AC55" s="138">
        <f>AM55-Summer!AR55</f>
        <v>-1026</v>
      </c>
      <c r="AD55" s="123">
        <f t="shared" si="3"/>
        <v>2022</v>
      </c>
      <c r="AF55" s="132">
        <f t="shared" si="10"/>
        <v>1892442.6979306701</v>
      </c>
      <c r="AG55" s="375">
        <f t="shared" si="37"/>
        <v>90</v>
      </c>
      <c r="AH55" s="301">
        <v>0</v>
      </c>
      <c r="AI55" s="301">
        <v>0</v>
      </c>
      <c r="AL55" s="469">
        <v>25</v>
      </c>
      <c r="AM55" s="682">
        <f t="shared" si="38"/>
        <v>9063</v>
      </c>
      <c r="AN55" s="134">
        <f>[11]Sep!$AM55</f>
        <v>9959</v>
      </c>
      <c r="AO55" s="138">
        <f t="shared" si="43"/>
        <v>-896</v>
      </c>
      <c r="AP55" s="381">
        <f t="shared" si="41"/>
        <v>115</v>
      </c>
    </row>
    <row r="56" spans="1:42">
      <c r="A56" s="123">
        <v>2023</v>
      </c>
      <c r="P56" s="132">
        <f>[8]FCST!$BK30</f>
        <v>1912931.4911678201</v>
      </c>
      <c r="Q56" s="371">
        <f t="shared" si="42"/>
        <v>41089.88451364643</v>
      </c>
      <c r="R56" s="558">
        <f t="shared" si="36"/>
        <v>0.57650000000000001</v>
      </c>
      <c r="S56" s="371">
        <f>[8]FCST!$CU30</f>
        <v>71274.734629048442</v>
      </c>
      <c r="T56" s="387">
        <f>[8]FCST!$CC30</f>
        <v>1697017.4911678201</v>
      </c>
      <c r="U56" s="679">
        <f t="shared" si="21"/>
        <v>1878475.6066541737</v>
      </c>
      <c r="V56" s="374">
        <f t="shared" si="32"/>
        <v>16154</v>
      </c>
      <c r="W56" s="132">
        <f t="shared" si="20"/>
        <v>20040.325057498878</v>
      </c>
      <c r="AC56" s="138">
        <f>AM56-Summer!AR56</f>
        <v>-1050</v>
      </c>
      <c r="AD56" s="123">
        <f t="shared" si="3"/>
        <v>2023</v>
      </c>
      <c r="AF56" s="132">
        <f t="shared" si="10"/>
        <v>1912931.4911678201</v>
      </c>
      <c r="AG56" s="375">
        <f t="shared" si="37"/>
        <v>90</v>
      </c>
      <c r="AH56" s="301">
        <v>0</v>
      </c>
      <c r="AI56" s="301">
        <v>0</v>
      </c>
      <c r="AL56" s="469">
        <v>25</v>
      </c>
      <c r="AM56" s="682">
        <f t="shared" si="38"/>
        <v>9172</v>
      </c>
      <c r="AN56" s="134">
        <f>[11]Sep!$AM56</f>
        <v>10128</v>
      </c>
      <c r="AO56" s="138">
        <f t="shared" si="43"/>
        <v>-956</v>
      </c>
      <c r="AP56" s="381">
        <f t="shared" si="41"/>
        <v>109</v>
      </c>
    </row>
    <row r="57" spans="1:42">
      <c r="A57" s="123">
        <v>2024</v>
      </c>
      <c r="P57" s="132">
        <f>[8]FCST!$BK31</f>
        <v>1932938.2936618901</v>
      </c>
      <c r="Q57" s="371">
        <f t="shared" si="42"/>
        <v>41528.086605435346</v>
      </c>
      <c r="R57" s="558">
        <f t="shared" si="36"/>
        <v>0.57650000000000001</v>
      </c>
      <c r="S57" s="371">
        <f>[8]FCST!$CU31</f>
        <v>72034.842333799388</v>
      </c>
      <c r="T57" s="387">
        <f>[8]FCST!$CC31</f>
        <v>1715115.2936618901</v>
      </c>
      <c r="U57" s="679">
        <f t="shared" si="21"/>
        <v>1898044.2070564548</v>
      </c>
      <c r="V57" s="374">
        <f t="shared" si="32"/>
        <v>16235</v>
      </c>
      <c r="W57" s="132">
        <f t="shared" si="20"/>
        <v>19568.600402281154</v>
      </c>
      <c r="AC57" s="138">
        <f>AM57-Summer!AR57</f>
        <v>-1076</v>
      </c>
      <c r="AD57" s="123">
        <f t="shared" si="3"/>
        <v>2024</v>
      </c>
      <c r="AF57" s="132">
        <f t="shared" si="10"/>
        <v>1932938.2936618901</v>
      </c>
      <c r="AG57" s="375">
        <f t="shared" si="37"/>
        <v>90</v>
      </c>
      <c r="AH57" s="301">
        <v>0</v>
      </c>
      <c r="AI57" s="301">
        <v>0</v>
      </c>
      <c r="AL57" s="469">
        <v>25</v>
      </c>
      <c r="AM57" s="682">
        <f t="shared" si="38"/>
        <v>9277</v>
      </c>
      <c r="AN57" s="134">
        <f>[11]Sep!$AM57</f>
        <v>10296</v>
      </c>
      <c r="AO57" s="138">
        <f t="shared" si="43"/>
        <v>-1019</v>
      </c>
      <c r="AP57" s="381">
        <f t="shared" si="41"/>
        <v>105</v>
      </c>
    </row>
    <row r="58" spans="1:42">
      <c r="A58" s="123">
        <v>2025</v>
      </c>
      <c r="P58" s="132">
        <f>[8]FCST!$BK32</f>
        <v>1951959.6213263001</v>
      </c>
      <c r="Q58" s="371">
        <f t="shared" si="42"/>
        <v>41945.163464173711</v>
      </c>
      <c r="R58" s="558">
        <f t="shared" si="36"/>
        <v>0.57650000000000001</v>
      </c>
      <c r="S58" s="371">
        <f>[8]FCST!$CU32</f>
        <v>72758.306095704611</v>
      </c>
      <c r="T58" s="387">
        <f>[8]FCST!$CC32</f>
        <v>1732340.6213263001</v>
      </c>
      <c r="U58" s="679">
        <f t="shared" si="21"/>
        <v>1916648.4578621264</v>
      </c>
      <c r="V58" s="374">
        <f t="shared" si="32"/>
        <v>16316</v>
      </c>
      <c r="W58" s="132">
        <f t="shared" si="20"/>
        <v>18604.25080567156</v>
      </c>
      <c r="AC58" s="138">
        <f>AM58-Summer!AR58</f>
        <v>-1099</v>
      </c>
      <c r="AD58" s="123">
        <f t="shared" si="3"/>
        <v>2025</v>
      </c>
      <c r="AF58" s="132">
        <f t="shared" si="10"/>
        <v>1951959.6213263001</v>
      </c>
      <c r="AG58" s="375">
        <f t="shared" si="37"/>
        <v>90</v>
      </c>
      <c r="AH58" s="301">
        <v>0</v>
      </c>
      <c r="AI58" s="301">
        <v>0</v>
      </c>
      <c r="AL58" s="469">
        <v>25</v>
      </c>
      <c r="AM58" s="682">
        <f t="shared" si="38"/>
        <v>9378</v>
      </c>
      <c r="AN58" s="134">
        <f>[11]Sep!$AM58</f>
        <v>10461</v>
      </c>
      <c r="AO58" s="138">
        <f t="shared" si="43"/>
        <v>-1083</v>
      </c>
      <c r="AP58" s="381">
        <f t="shared" si="41"/>
        <v>101</v>
      </c>
    </row>
    <row r="59" spans="1:42">
      <c r="A59" s="123">
        <v>2026</v>
      </c>
      <c r="P59" s="132">
        <f>[8]FCST!$BK33</f>
        <v>1970093.40263741</v>
      </c>
      <c r="Q59" s="371">
        <f t="shared" si="42"/>
        <v>42343.365167059615</v>
      </c>
      <c r="R59" s="558">
        <f t="shared" si="36"/>
        <v>0.57650000000000001</v>
      </c>
      <c r="S59" s="371">
        <f>[8]FCST!$CU33</f>
        <v>73449.028910771231</v>
      </c>
      <c r="T59" s="387">
        <f>[8]FCST!$CC33</f>
        <v>1748786.40263741</v>
      </c>
      <c r="U59" s="679">
        <f>P59-Q59+R$31</f>
        <v>1934384.0374703503</v>
      </c>
      <c r="V59" s="374">
        <f t="shared" si="32"/>
        <v>16398</v>
      </c>
      <c r="W59" s="132">
        <f>U59-U58</f>
        <v>17735.579608223867</v>
      </c>
      <c r="X59" s="144"/>
      <c r="Y59" s="144"/>
      <c r="Z59" s="302"/>
      <c r="AC59" s="138">
        <f>AM59-Summer!AR59</f>
        <v>-1120</v>
      </c>
      <c r="AD59" s="123">
        <f>A59</f>
        <v>2026</v>
      </c>
      <c r="AF59" s="132">
        <f t="shared" si="10"/>
        <v>1970093.40263741</v>
      </c>
      <c r="AG59" s="375">
        <f t="shared" si="37"/>
        <v>90</v>
      </c>
      <c r="AH59" s="301">
        <v>0</v>
      </c>
      <c r="AI59" s="301">
        <v>0</v>
      </c>
      <c r="AL59" s="469">
        <v>25</v>
      </c>
      <c r="AM59" s="682">
        <f t="shared" si="38"/>
        <v>9474</v>
      </c>
      <c r="AN59" s="134">
        <f>[11]Sep!$AM59</f>
        <v>10626</v>
      </c>
      <c r="AO59" s="138">
        <f t="shared" si="43"/>
        <v>-1152</v>
      </c>
      <c r="AP59" s="381">
        <f>AM59-AM58</f>
        <v>96</v>
      </c>
    </row>
    <row r="60" spans="1:42">
      <c r="A60" s="123">
        <v>2027</v>
      </c>
      <c r="P60" s="132">
        <f>[8]FCST!$BK34</f>
        <v>1987860.20916982</v>
      </c>
      <c r="Q60" s="371">
        <f t="shared" si="42"/>
        <v>42733.86774662885</v>
      </c>
      <c r="R60" s="558">
        <f t="shared" si="36"/>
        <v>0.57650000000000001</v>
      </c>
      <c r="S60" s="371">
        <f>[8]FCST!$CU34</f>
        <v>74126.396785132441</v>
      </c>
      <c r="T60" s="387">
        <f>[8]FCST!$CC34</f>
        <v>1764914.20916982</v>
      </c>
      <c r="U60" s="679">
        <f>P60-Q60+R$31</f>
        <v>1951760.3414231911</v>
      </c>
      <c r="V60" s="374">
        <f t="shared" si="32"/>
        <v>16480</v>
      </c>
      <c r="W60" s="132">
        <f>U60-U59</f>
        <v>17376.303952840855</v>
      </c>
      <c r="X60" s="144"/>
      <c r="Y60" s="144"/>
      <c r="Z60" s="302"/>
      <c r="AC60" s="138">
        <f>AM60-Summer!AR60</f>
        <v>-1142</v>
      </c>
      <c r="AD60" s="123">
        <f>A60</f>
        <v>2027</v>
      </c>
      <c r="AF60" s="132">
        <f t="shared" si="10"/>
        <v>1987860.20916982</v>
      </c>
      <c r="AG60" s="375">
        <f t="shared" si="37"/>
        <v>90</v>
      </c>
      <c r="AH60" s="301">
        <v>0</v>
      </c>
      <c r="AI60" s="301">
        <v>0</v>
      </c>
      <c r="AL60" s="469">
        <v>25</v>
      </c>
      <c r="AM60" s="682">
        <f t="shared" si="38"/>
        <v>9568</v>
      </c>
      <c r="AN60" s="134">
        <f>[11]Sep!$AM60</f>
        <v>10790</v>
      </c>
      <c r="AO60" s="138">
        <f t="shared" si="43"/>
        <v>-1222</v>
      </c>
      <c r="AP60" s="381">
        <f>AM60-AM59</f>
        <v>94</v>
      </c>
    </row>
    <row r="61" spans="1:42">
      <c r="A61" s="123">
        <v>2028</v>
      </c>
      <c r="P61" s="132">
        <f>[8]FCST!$BK35</f>
        <v>2005253.4370198899</v>
      </c>
      <c r="Q61" s="371">
        <f t="shared" si="42"/>
        <v>43116.487089562601</v>
      </c>
      <c r="R61" s="558">
        <f t="shared" si="36"/>
        <v>0.57650000000000001</v>
      </c>
      <c r="S61" s="371">
        <f>[8]FCST!$CU35</f>
        <v>74790.090354835382</v>
      </c>
      <c r="T61" s="387">
        <f>[8]FCST!$CC35</f>
        <v>1780716.4370198899</v>
      </c>
      <c r="U61" s="679">
        <f>P61-Q61+R$31</f>
        <v>1968770.9499303272</v>
      </c>
      <c r="V61" s="374">
        <f t="shared" si="32"/>
        <v>16562</v>
      </c>
      <c r="W61" s="132">
        <f>U61-U60</f>
        <v>17010.608507136116</v>
      </c>
      <c r="X61" s="144"/>
      <c r="Y61" s="144"/>
      <c r="Z61" s="302"/>
      <c r="AC61" s="138">
        <f>AM61-Summer!AR61</f>
        <v>-1163</v>
      </c>
      <c r="AD61" s="123">
        <f>A61</f>
        <v>2028</v>
      </c>
      <c r="AF61" s="132">
        <f t="shared" si="10"/>
        <v>2005253.4370198899</v>
      </c>
      <c r="AG61" s="375">
        <f t="shared" si="37"/>
        <v>90</v>
      </c>
      <c r="AH61" s="301">
        <v>0</v>
      </c>
      <c r="AI61" s="301">
        <v>0</v>
      </c>
      <c r="AL61" s="469">
        <v>25</v>
      </c>
      <c r="AM61" s="682">
        <f t="shared" si="38"/>
        <v>9660</v>
      </c>
      <c r="AN61" s="134">
        <f>[11]Sep!$AM61</f>
        <v>10952</v>
      </c>
      <c r="AO61" s="138">
        <f t="shared" si="43"/>
        <v>-1292</v>
      </c>
      <c r="AP61" s="381">
        <f>AM61-AM60</f>
        <v>92</v>
      </c>
    </row>
    <row r="62" spans="1:42">
      <c r="A62" s="123">
        <v>2029</v>
      </c>
      <c r="P62" s="132">
        <f>[8]FCST!$BK36</f>
        <v>2022158.24236176</v>
      </c>
      <c r="Q62" s="371">
        <f t="shared" si="42"/>
        <v>43488.611973305298</v>
      </c>
      <c r="R62" s="558">
        <f t="shared" si="36"/>
        <v>0.57650000000000001</v>
      </c>
      <c r="S62" s="371">
        <f>[8]FCST!$CU36</f>
        <v>75435.58017919393</v>
      </c>
      <c r="T62" s="387">
        <f>[8]FCST!$CC36</f>
        <v>1796085.24236176</v>
      </c>
      <c r="U62" s="679">
        <f>P62-Q62+R$31</f>
        <v>1985303.6303884548</v>
      </c>
      <c r="V62" s="374">
        <f t="shared" si="32"/>
        <v>16645</v>
      </c>
      <c r="W62" s="132">
        <f>U62-U61</f>
        <v>16532.680458127521</v>
      </c>
      <c r="X62" s="144"/>
      <c r="Y62" s="144"/>
      <c r="Z62" s="302"/>
      <c r="AC62" s="138">
        <f>AM62-Summer!AR62</f>
        <v>-1184</v>
      </c>
      <c r="AD62" s="123">
        <f>A62</f>
        <v>2029</v>
      </c>
      <c r="AF62" s="132">
        <f t="shared" si="10"/>
        <v>2022158.24236176</v>
      </c>
      <c r="AG62" s="375">
        <f t="shared" si="37"/>
        <v>90</v>
      </c>
      <c r="AH62" s="301">
        <v>0</v>
      </c>
      <c r="AI62" s="301">
        <v>0</v>
      </c>
      <c r="AL62" s="469">
        <v>25</v>
      </c>
      <c r="AM62" s="682">
        <f t="shared" si="38"/>
        <v>9749</v>
      </c>
      <c r="AN62" s="134">
        <f>[11]Sep!$AM62</f>
        <v>11113</v>
      </c>
      <c r="AO62" s="138">
        <f t="shared" si="43"/>
        <v>-1364</v>
      </c>
      <c r="AP62" s="381">
        <f>AM62-AM61</f>
        <v>89</v>
      </c>
    </row>
    <row r="63" spans="1:42">
      <c r="A63" s="123">
        <v>2030</v>
      </c>
      <c r="P63" s="132">
        <f>[8]FCST!$BK37</f>
        <v>2038107.93897654</v>
      </c>
      <c r="Q63" s="371">
        <f t="shared" si="42"/>
        <v>43840.371091438967</v>
      </c>
      <c r="R63" s="558">
        <f t="shared" si="36"/>
        <v>0.57650000000000001</v>
      </c>
      <c r="S63" s="371">
        <f>[8]FCST!$CU37</f>
        <v>76045.74343701468</v>
      </c>
      <c r="T63" s="387">
        <f>[8]FCST!$CC37</f>
        <v>1810612.93897654</v>
      </c>
      <c r="U63" s="679">
        <f>P63-Q63+R$31</f>
        <v>2000901.5678851011</v>
      </c>
      <c r="V63" s="374">
        <f t="shared" si="32"/>
        <v>16728</v>
      </c>
      <c r="W63" s="132">
        <f>U63-U62</f>
        <v>15597.937496646307</v>
      </c>
      <c r="AC63" s="138">
        <f>AM63-Summer!AR63</f>
        <v>-1204</v>
      </c>
      <c r="AD63" s="123">
        <f>A63</f>
        <v>2030</v>
      </c>
      <c r="AF63" s="132">
        <f t="shared" si="10"/>
        <v>2038107.93897654</v>
      </c>
      <c r="AG63" s="375">
        <f t="shared" si="37"/>
        <v>90</v>
      </c>
      <c r="AH63" s="301">
        <v>0</v>
      </c>
      <c r="AI63" s="301">
        <v>0</v>
      </c>
      <c r="AL63" s="469">
        <v>25</v>
      </c>
      <c r="AM63" s="682">
        <f t="shared" si="38"/>
        <v>9833</v>
      </c>
      <c r="AN63" s="134">
        <f>[11]Sep!$AM63</f>
        <v>11272</v>
      </c>
      <c r="AO63" s="138">
        <f t="shared" si="43"/>
        <v>-1439</v>
      </c>
      <c r="AP63" s="381">
        <f>AM63-AM62</f>
        <v>84</v>
      </c>
    </row>
    <row r="64" spans="1:42">
      <c r="A64" s="123">
        <v>2031</v>
      </c>
      <c r="P64" s="132">
        <f>[8]FCST!$BK38</f>
        <v>2053649.4219509901</v>
      </c>
      <c r="Q64" s="371">
        <f t="shared" ref="Q64:Q73" si="44">R64*S64</f>
        <v>44183.505208699331</v>
      </c>
      <c r="R64" s="558">
        <f t="shared" si="36"/>
        <v>0.57650000000000001</v>
      </c>
      <c r="S64" s="371">
        <f>[8]FCST!$CU38</f>
        <v>76640.945721941593</v>
      </c>
      <c r="T64" s="387">
        <f>[8]FCST!$CC38</f>
        <v>1824784.4219509901</v>
      </c>
      <c r="U64" s="679">
        <f t="shared" ref="U64:U73" si="45">P64-Q64+R$31</f>
        <v>2016099.9167422908</v>
      </c>
      <c r="V64" s="374"/>
      <c r="W64" s="132">
        <f t="shared" ref="W64:W73" si="46">U64-U63</f>
        <v>15198.348857189761</v>
      </c>
      <c r="AC64" s="138">
        <f>AM64-Summer!AR64</f>
        <v>-1223</v>
      </c>
      <c r="AD64" s="123">
        <f t="shared" ref="AD64:AD72" si="47">A64</f>
        <v>2031</v>
      </c>
      <c r="AF64" s="132">
        <f t="shared" si="10"/>
        <v>2053649.4219509901</v>
      </c>
      <c r="AG64" s="375">
        <f t="shared" ref="AG64:AG73" si="48">$Y$74</f>
        <v>90</v>
      </c>
      <c r="AH64" s="301">
        <v>0</v>
      </c>
      <c r="AI64" s="301">
        <v>0</v>
      </c>
      <c r="AL64" s="469">
        <v>25</v>
      </c>
      <c r="AM64" s="682">
        <f t="shared" ref="AM64:AM72" si="49">ROUND($AV$13+$AU$13*$AF64+$AT$13*$AG64+$AS$13*$AH64+$AR$13*$AI64,0)-AL64</f>
        <v>9915</v>
      </c>
      <c r="AN64" s="134"/>
      <c r="AO64" s="138"/>
      <c r="AP64" s="381">
        <f t="shared" ref="AP64:AP72" si="50">AM64-AM63</f>
        <v>82</v>
      </c>
    </row>
    <row r="65" spans="1:42">
      <c r="A65" s="123">
        <v>2032</v>
      </c>
      <c r="P65" s="132">
        <f>[8]FCST!$BK39</f>
        <v>2068789.5404417501</v>
      </c>
      <c r="Q65" s="371">
        <f t="shared" si="44"/>
        <v>44518.1559507161</v>
      </c>
      <c r="R65" s="558">
        <f t="shared" si="36"/>
        <v>0.57650000000000001</v>
      </c>
      <c r="S65" s="371">
        <f>[8]FCST!$CU39</f>
        <v>77221.432698553515</v>
      </c>
      <c r="T65" s="387">
        <f>[8]FCST!$CC39</f>
        <v>1838605.5404417501</v>
      </c>
      <c r="U65" s="679">
        <f t="shared" si="45"/>
        <v>2030905.3844910341</v>
      </c>
      <c r="V65" s="374"/>
      <c r="W65" s="132">
        <f t="shared" si="46"/>
        <v>14805.467748743249</v>
      </c>
      <c r="AC65" s="138">
        <f>AM65-Summer!AR65</f>
        <v>-1241</v>
      </c>
      <c r="AD65" s="123">
        <f t="shared" si="47"/>
        <v>2032</v>
      </c>
      <c r="AF65" s="132">
        <f t="shared" si="10"/>
        <v>2068789.5404417501</v>
      </c>
      <c r="AG65" s="375">
        <f t="shared" si="48"/>
        <v>90</v>
      </c>
      <c r="AH65" s="301">
        <v>0</v>
      </c>
      <c r="AI65" s="301">
        <v>0</v>
      </c>
      <c r="AL65" s="469">
        <v>25</v>
      </c>
      <c r="AM65" s="682">
        <f t="shared" si="49"/>
        <v>9995</v>
      </c>
      <c r="AN65" s="134"/>
      <c r="AO65" s="138"/>
      <c r="AP65" s="381">
        <f t="shared" si="50"/>
        <v>80</v>
      </c>
    </row>
    <row r="66" spans="1:42">
      <c r="A66" s="123">
        <v>2033</v>
      </c>
      <c r="P66" s="132">
        <f>[8]FCST!$BK40</f>
        <v>2083539.9950693699</v>
      </c>
      <c r="Q66" s="371">
        <f t="shared" si="44"/>
        <v>44844.533985614653</v>
      </c>
      <c r="R66" s="558">
        <f t="shared" si="36"/>
        <v>0.57650000000000001</v>
      </c>
      <c r="S66" s="371">
        <f>[8]FCST!$CU40</f>
        <v>77787.569792913535</v>
      </c>
      <c r="T66" s="387">
        <f>[8]FCST!$CC40</f>
        <v>1852084.9950693699</v>
      </c>
      <c r="U66" s="679">
        <f t="shared" si="45"/>
        <v>2045329.4610837554</v>
      </c>
      <c r="V66" s="374"/>
      <c r="W66" s="132">
        <f t="shared" si="46"/>
        <v>14424.076592721278</v>
      </c>
      <c r="AC66" s="138">
        <f>AM66-Summer!AR66</f>
        <v>-1259</v>
      </c>
      <c r="AD66" s="123">
        <f t="shared" si="47"/>
        <v>2033</v>
      </c>
      <c r="AF66" s="132">
        <f t="shared" si="10"/>
        <v>2083539.9950693699</v>
      </c>
      <c r="AG66" s="375">
        <f t="shared" si="48"/>
        <v>90</v>
      </c>
      <c r="AH66" s="301">
        <v>0</v>
      </c>
      <c r="AI66" s="301">
        <v>0</v>
      </c>
      <c r="AL66" s="469">
        <v>25</v>
      </c>
      <c r="AM66" s="682">
        <f t="shared" si="49"/>
        <v>10073</v>
      </c>
      <c r="AN66" s="134"/>
      <c r="AO66" s="138"/>
      <c r="AP66" s="381">
        <f t="shared" si="50"/>
        <v>78</v>
      </c>
    </row>
    <row r="67" spans="1:42">
      <c r="A67" s="123">
        <v>2034</v>
      </c>
      <c r="P67" s="132">
        <f>[8]FCST!$BK41</f>
        <v>2097905.1208820599</v>
      </c>
      <c r="Q67" s="371">
        <f t="shared" si="44"/>
        <v>45162.841129917324</v>
      </c>
      <c r="R67" s="558">
        <f t="shared" si="36"/>
        <v>0.57650000000000001</v>
      </c>
      <c r="S67" s="371">
        <f>[8]FCST!$CU41</f>
        <v>78339.707077046522</v>
      </c>
      <c r="T67" s="387">
        <f>[8]FCST!$CC41</f>
        <v>1865231.1208820599</v>
      </c>
      <c r="U67" s="679">
        <f t="shared" si="45"/>
        <v>2059376.2797521425</v>
      </c>
      <c r="V67" s="374"/>
      <c r="W67" s="132">
        <f t="shared" si="46"/>
        <v>14046.818668387132</v>
      </c>
      <c r="AC67" s="138">
        <f>AM67-Summer!AR67</f>
        <v>-1277</v>
      </c>
      <c r="AD67" s="123">
        <f t="shared" si="47"/>
        <v>2034</v>
      </c>
      <c r="AF67" s="132">
        <f t="shared" si="10"/>
        <v>2097905.1208820599</v>
      </c>
      <c r="AG67" s="375">
        <f t="shared" si="48"/>
        <v>90</v>
      </c>
      <c r="AH67" s="301">
        <v>0</v>
      </c>
      <c r="AI67" s="301">
        <v>0</v>
      </c>
      <c r="AL67" s="469">
        <v>25</v>
      </c>
      <c r="AM67" s="682">
        <f t="shared" si="49"/>
        <v>10149</v>
      </c>
      <c r="AN67" s="134"/>
      <c r="AO67" s="138"/>
      <c r="AP67" s="381">
        <f t="shared" si="50"/>
        <v>76</v>
      </c>
    </row>
    <row r="68" spans="1:42">
      <c r="A68" s="123">
        <v>2035</v>
      </c>
      <c r="P68" s="132">
        <f>[8]FCST!$BK42</f>
        <v>2111899.7883316902</v>
      </c>
      <c r="Q68" s="371">
        <f t="shared" si="44"/>
        <v>45473.316376875213</v>
      </c>
      <c r="R68" s="558">
        <f t="shared" si="36"/>
        <v>0.57650000000000001</v>
      </c>
      <c r="S68" s="371">
        <f>[8]FCST!$CU42</f>
        <v>78878.259109930979</v>
      </c>
      <c r="T68" s="387">
        <f>[8]FCST!$CC42</f>
        <v>1878053.78833169</v>
      </c>
      <c r="U68" s="679">
        <f t="shared" si="45"/>
        <v>2073060.4719548151</v>
      </c>
      <c r="V68" s="374"/>
      <c r="W68" s="132">
        <f t="shared" si="46"/>
        <v>13684.192202672595</v>
      </c>
      <c r="AC68" s="138">
        <f>AM68-Summer!AR68</f>
        <v>-1294</v>
      </c>
      <c r="AD68" s="123">
        <f t="shared" si="47"/>
        <v>2035</v>
      </c>
      <c r="AF68" s="132">
        <f t="shared" si="10"/>
        <v>2111899.7883316902</v>
      </c>
      <c r="AG68" s="375">
        <f t="shared" si="48"/>
        <v>90</v>
      </c>
      <c r="AH68" s="301">
        <v>0</v>
      </c>
      <c r="AI68" s="301">
        <v>0</v>
      </c>
      <c r="AL68" s="469">
        <v>25</v>
      </c>
      <c r="AM68" s="682">
        <f t="shared" si="49"/>
        <v>10223</v>
      </c>
      <c r="AN68" s="134"/>
      <c r="AO68" s="138"/>
      <c r="AP68" s="381">
        <f t="shared" si="50"/>
        <v>74</v>
      </c>
    </row>
    <row r="69" spans="1:42">
      <c r="A69" s="123">
        <v>2036</v>
      </c>
      <c r="P69" s="132">
        <f>[8]FCST!$BK43</f>
        <v>2125771.7679435303</v>
      </c>
      <c r="Q69" s="371">
        <f t="shared" si="44"/>
        <v>45781.644225216696</v>
      </c>
      <c r="R69" s="558">
        <f t="shared" si="36"/>
        <v>0.57650000000000001</v>
      </c>
      <c r="S69" s="371">
        <f>[8]FCST!$CU43</f>
        <v>79413.086253628266</v>
      </c>
      <c r="T69" s="387">
        <f>[8]FCST!$CC43</f>
        <v>1890787.7679435301</v>
      </c>
      <c r="U69" s="679">
        <f t="shared" si="45"/>
        <v>2086624.1237183136</v>
      </c>
      <c r="V69" s="374"/>
      <c r="W69" s="132">
        <f t="shared" si="46"/>
        <v>13563.65176349855</v>
      </c>
      <c r="AC69" s="138">
        <f>AM69-Summer!AR69</f>
        <v>-1310</v>
      </c>
      <c r="AD69" s="123">
        <f t="shared" si="47"/>
        <v>2036</v>
      </c>
      <c r="AF69" s="132">
        <f t="shared" si="10"/>
        <v>2125771.7679435303</v>
      </c>
      <c r="AG69" s="375">
        <f t="shared" si="48"/>
        <v>90</v>
      </c>
      <c r="AH69" s="301">
        <v>0</v>
      </c>
      <c r="AI69" s="301">
        <v>0</v>
      </c>
      <c r="AL69" s="469">
        <v>25</v>
      </c>
      <c r="AM69" s="682">
        <f t="shared" si="49"/>
        <v>10296</v>
      </c>
      <c r="AN69" s="134"/>
      <c r="AO69" s="138"/>
      <c r="AP69" s="381">
        <f t="shared" si="50"/>
        <v>73</v>
      </c>
    </row>
    <row r="70" spans="1:42">
      <c r="A70" s="123">
        <v>2037</v>
      </c>
      <c r="P70" s="132">
        <f>[8]FCST!$BK44</f>
        <v>2140663.9166141897</v>
      </c>
      <c r="Q70" s="371">
        <f t="shared" si="44"/>
        <v>46112.276339979391</v>
      </c>
      <c r="R70" s="558">
        <f t="shared" si="36"/>
        <v>0.57650000000000001</v>
      </c>
      <c r="S70" s="371">
        <f>[8]FCST!$CU44</f>
        <v>79986.60249779599</v>
      </c>
      <c r="T70" s="387">
        <f>[8]FCST!$CC44</f>
        <v>1904442.91661419</v>
      </c>
      <c r="U70" s="679">
        <f t="shared" si="45"/>
        <v>2101185.6402742104</v>
      </c>
      <c r="V70" s="374"/>
      <c r="W70" s="132">
        <f t="shared" si="46"/>
        <v>14561.516555896727</v>
      </c>
      <c r="AC70" s="138">
        <f>AM70-Summer!AR70</f>
        <v>-1327</v>
      </c>
      <c r="AD70" s="123">
        <f t="shared" si="47"/>
        <v>2037</v>
      </c>
      <c r="AF70" s="132">
        <f t="shared" si="10"/>
        <v>2140663.9166141897</v>
      </c>
      <c r="AG70" s="375">
        <f t="shared" si="48"/>
        <v>90</v>
      </c>
      <c r="AH70" s="301">
        <v>0</v>
      </c>
      <c r="AI70" s="301">
        <v>0</v>
      </c>
      <c r="AL70" s="469">
        <v>25</v>
      </c>
      <c r="AM70" s="682">
        <f t="shared" si="49"/>
        <v>10375</v>
      </c>
      <c r="AN70" s="134"/>
      <c r="AO70" s="138"/>
      <c r="AP70" s="381">
        <f t="shared" si="50"/>
        <v>79</v>
      </c>
    </row>
    <row r="71" spans="1:42">
      <c r="A71" s="123">
        <v>2038</v>
      </c>
      <c r="P71" s="132">
        <f>[8]FCST!$BK45</f>
        <v>2155852.5933945999</v>
      </c>
      <c r="Q71" s="371">
        <f t="shared" si="44"/>
        <v>46449.313473863454</v>
      </c>
      <c r="R71" s="558">
        <f t="shared" si="36"/>
        <v>0.57650000000000001</v>
      </c>
      <c r="S71" s="371">
        <f>[8]FCST!$CU45</f>
        <v>80571.228922573209</v>
      </c>
      <c r="T71" s="387">
        <f>[8]FCST!$CC45</f>
        <v>1918362.5933946001</v>
      </c>
      <c r="U71" s="679">
        <f t="shared" si="45"/>
        <v>2116037.2799207363</v>
      </c>
      <c r="V71" s="374"/>
      <c r="W71" s="132">
        <f t="shared" si="46"/>
        <v>14851.63964652596</v>
      </c>
      <c r="AC71" s="138">
        <f>AM71-Summer!AR71</f>
        <v>-1346</v>
      </c>
      <c r="AD71" s="123">
        <f t="shared" si="47"/>
        <v>2038</v>
      </c>
      <c r="AF71" s="132">
        <f t="shared" si="10"/>
        <v>2155852.5933945999</v>
      </c>
      <c r="AG71" s="375">
        <f t="shared" si="48"/>
        <v>90</v>
      </c>
      <c r="AH71" s="301">
        <v>0</v>
      </c>
      <c r="AI71" s="301">
        <v>0</v>
      </c>
      <c r="AL71" s="469">
        <v>25</v>
      </c>
      <c r="AM71" s="682">
        <f t="shared" si="49"/>
        <v>10455</v>
      </c>
      <c r="AN71" s="134"/>
      <c r="AO71" s="138"/>
      <c r="AP71" s="381">
        <f t="shared" si="50"/>
        <v>80</v>
      </c>
    </row>
    <row r="72" spans="1:42">
      <c r="A72" s="123">
        <v>2039</v>
      </c>
      <c r="P72" s="132">
        <f>[8]FCST!$BK46</f>
        <v>2170435.3791724099</v>
      </c>
      <c r="Q72" s="371">
        <f t="shared" si="44"/>
        <v>46773.71406090157</v>
      </c>
      <c r="R72" s="558">
        <f t="shared" si="36"/>
        <v>0.57650000000000001</v>
      </c>
      <c r="S72" s="371">
        <f>[8]FCST!$CU46</f>
        <v>81133.935925241225</v>
      </c>
      <c r="T72" s="387">
        <f>[8]FCST!$CC46</f>
        <v>1931760.3791724099</v>
      </c>
      <c r="U72" s="679">
        <f t="shared" si="45"/>
        <v>2130295.6651115082</v>
      </c>
      <c r="V72" s="374"/>
      <c r="W72" s="132">
        <f t="shared" si="46"/>
        <v>14258.385190771893</v>
      </c>
      <c r="AC72" s="138">
        <f>AM72-Summer!AR72</f>
        <v>-1363</v>
      </c>
      <c r="AD72" s="123">
        <f t="shared" si="47"/>
        <v>2039</v>
      </c>
      <c r="AF72" s="132">
        <f t="shared" si="10"/>
        <v>2170435.3791724099</v>
      </c>
      <c r="AG72" s="375">
        <f t="shared" si="48"/>
        <v>90</v>
      </c>
      <c r="AH72" s="301">
        <v>0</v>
      </c>
      <c r="AI72" s="301">
        <v>0</v>
      </c>
      <c r="AL72" s="469">
        <v>25</v>
      </c>
      <c r="AM72" s="682">
        <f t="shared" si="49"/>
        <v>10533</v>
      </c>
      <c r="AN72" s="134"/>
      <c r="AO72" s="138"/>
      <c r="AP72" s="381">
        <f t="shared" si="50"/>
        <v>78</v>
      </c>
    </row>
    <row r="73" spans="1:42">
      <c r="A73" s="123">
        <v>2040</v>
      </c>
      <c r="P73" s="132">
        <f>[8]FCST!$BK47</f>
        <v>2185016.1649502199</v>
      </c>
      <c r="Q73" s="371">
        <f t="shared" si="44"/>
        <v>47098.114647939678</v>
      </c>
      <c r="R73" s="558">
        <f t="shared" si="36"/>
        <v>0.57650000000000001</v>
      </c>
      <c r="S73" s="371">
        <f>[8]FCST!$CU47</f>
        <v>81696.642927909241</v>
      </c>
      <c r="T73" s="387">
        <f>[8]FCST!$CC47</f>
        <v>1945158.1649502197</v>
      </c>
      <c r="U73" s="679">
        <f t="shared" si="45"/>
        <v>2144552.0503022801</v>
      </c>
      <c r="V73" s="374"/>
      <c r="W73" s="132">
        <f t="shared" si="46"/>
        <v>14256.385190771893</v>
      </c>
      <c r="AC73" s="138">
        <f>AM73-Summer!AR73</f>
        <v>-1380</v>
      </c>
      <c r="AD73" s="123">
        <f t="shared" ref="AD73" si="51">A73</f>
        <v>2040</v>
      </c>
      <c r="AF73" s="132">
        <f t="shared" si="10"/>
        <v>2185016.1649502199</v>
      </c>
      <c r="AG73" s="375">
        <f t="shared" si="48"/>
        <v>90</v>
      </c>
      <c r="AH73" s="301">
        <v>0</v>
      </c>
      <c r="AI73" s="301">
        <v>0</v>
      </c>
      <c r="AL73" s="469">
        <v>25</v>
      </c>
      <c r="AM73" s="682">
        <f t="shared" ref="AM73" si="52">ROUND($AV$13+$AU$13*$AF73+$AT$13*$AG73+$AS$13*$AH73+$AR$13*$AI73,0)-AL73</f>
        <v>10610</v>
      </c>
      <c r="AN73" s="134"/>
      <c r="AO73" s="138"/>
      <c r="AP73" s="381">
        <f t="shared" ref="AP73" si="53">AM73-AM72</f>
        <v>77</v>
      </c>
    </row>
    <row r="74" spans="1:42">
      <c r="X74" s="418">
        <f>ROUND(AVERAGE(X14:X43),1)</f>
        <v>90.1</v>
      </c>
      <c r="Y74" s="418">
        <f>ROUND(AVERAGE(Y14:Y43),1)</f>
        <v>90</v>
      </c>
      <c r="Z74" s="1030" t="s">
        <v>451</v>
      </c>
      <c r="AA74" s="474"/>
    </row>
    <row r="75" spans="1:42" ht="12.75" customHeight="1">
      <c r="AD75" s="1476"/>
      <c r="AE75" s="701"/>
      <c r="AF75" s="690"/>
      <c r="AG75" s="688"/>
      <c r="AH75" s="688"/>
      <c r="AI75" s="690"/>
      <c r="AJ75" s="103"/>
      <c r="AK75" s="701"/>
      <c r="AL75" s="769"/>
      <c r="AM75" s="690"/>
    </row>
    <row r="76" spans="1:42" ht="12.75" customHeight="1">
      <c r="AD76" s="1476"/>
      <c r="AE76" s="701"/>
      <c r="AF76" s="690"/>
      <c r="AG76" s="689"/>
      <c r="AH76" s="689"/>
      <c r="AI76" s="690"/>
      <c r="AJ76" s="103"/>
      <c r="AK76" s="118"/>
      <c r="AL76" s="93"/>
      <c r="AM76" s="690"/>
      <c r="AN76" s="690"/>
    </row>
    <row r="77" spans="1:42">
      <c r="AD77" s="1503"/>
      <c r="AE77" s="1503"/>
    </row>
    <row r="78" spans="1:42">
      <c r="AI78" s="123"/>
    </row>
    <row r="79" spans="1:42">
      <c r="AI79" s="123"/>
    </row>
    <row r="80" spans="1:42">
      <c r="AI80" s="123"/>
    </row>
    <row r="81" spans="34:35">
      <c r="AI81" s="123"/>
    </row>
    <row r="82" spans="34:35">
      <c r="AI82" s="123"/>
    </row>
    <row r="83" spans="34:35">
      <c r="AI83" s="123"/>
    </row>
    <row r="84" spans="34:35">
      <c r="AI84" s="123"/>
    </row>
    <row r="85" spans="34:35">
      <c r="AH85" s="123"/>
    </row>
    <row r="86" spans="34:35">
      <c r="AH86" s="123"/>
    </row>
    <row r="87" spans="34:35">
      <c r="AH87" s="123"/>
    </row>
  </sheetData>
  <mergeCells count="1">
    <mergeCell ref="AD1:AU1"/>
  </mergeCells>
  <phoneticPr fontId="52" type="noConversion"/>
  <printOptions horizontalCentered="1"/>
  <pageMargins left="0.25" right="0.25" top="0.5" bottom="0.75" header="0" footer="0.25"/>
  <pageSetup scale="65" orientation="landscape" verticalDpi="300" r:id="rId1"/>
  <headerFooter alignWithMargins="0">
    <oddFooter>&amp;LLoad Forecasting : &amp;D&amp;R14LGBRA-NRGPOD1-6-DOC 38
14BGBRA-STAFFROG1-19A-DOC 38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34FDCAAF3C6C4093AF7B5BE145937F" ma:contentTypeVersion="4" ma:contentTypeDescription="Create a new document." ma:contentTypeScope="" ma:versionID="b37e17a5556e68f93be950844e56a798">
  <xsd:schema xmlns:xsd="http://www.w3.org/2001/XMLSchema" xmlns:xs="http://www.w3.org/2001/XMLSchema" xmlns:p="http://schemas.microsoft.com/office/2006/metadata/properties" xmlns:ns2="31653589-be70-4e86-8387-5ccaacc3bd25" targetNamespace="http://schemas.microsoft.com/office/2006/metadata/properties" ma:root="true" ma:fieldsID="daf52d9a87d62ed8bb552b8e35d07bf4" ns2:_="">
    <xsd:import namespace="31653589-be70-4e86-8387-5ccaacc3bd25"/>
    <xsd:element name="properties">
      <xsd:complexType>
        <xsd:sequence>
          <xsd:element name="documentManagement">
            <xsd:complexType>
              <xsd:all>
                <xsd:element ref="ns2:Check_x002d_In_x0020_Comment" minOccurs="0"/>
                <xsd:element ref="ns2:Filed" minOccurs="0"/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653589-be70-4e86-8387-5ccaacc3bd25" elementFormDefault="qualified">
    <xsd:import namespace="http://schemas.microsoft.com/office/2006/documentManagement/types"/>
    <xsd:import namespace="http://schemas.microsoft.com/office/infopath/2007/PartnerControls"/>
    <xsd:element name="Check_x002d_In_x0020_Comment" ma:index="8" nillable="true" ma:displayName="Check-In Comment" ma:description="Revised 9.9.13" ma:internalName="Check_x002d_In_x0020_Comment">
      <xsd:simpleType>
        <xsd:restriction base="dms:Text">
          <xsd:maxLength value="255"/>
        </xsd:restriction>
      </xsd:simpleType>
    </xsd:element>
    <xsd:element name="Filed" ma:index="10" nillable="true" ma:displayName="Filed" ma:internalName="Filed">
      <xsd:simpleType>
        <xsd:restriction base="dms:Text">
          <xsd:maxLength value="255"/>
        </xsd:restriction>
      </xsd:simpleType>
    </xsd:element>
    <xsd:element name="Witness" ma:index="11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9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heck_x002d_In_x0020_Comment xmlns="31653589-be70-4e86-8387-5ccaacc3bd25" xsi:nil="true"/>
    <Witness xmlns="31653589-be70-4e86-8387-5ccaacc3bd25" xsi:nil="true"/>
    <Filed xmlns="31653589-be70-4e86-8387-5ccaacc3bd25" xsi:nil="true"/>
  </documentManagement>
</p:properties>
</file>

<file path=customXml/itemProps1.xml><?xml version="1.0" encoding="utf-8"?>
<ds:datastoreItem xmlns:ds="http://schemas.openxmlformats.org/officeDocument/2006/customXml" ds:itemID="{C7856C2A-9C6B-4250-B5F6-D782F9128AD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290058-27F2-48DC-88F5-BADEFC7C50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653589-be70-4e86-8387-5ccaacc3bd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4ADC5A7-ABAF-44B1-BA91-BB25D98DFEE4}">
  <ds:schemaRefs>
    <ds:schemaRef ds:uri="http://schemas.microsoft.com/office/infopath/2007/PartnerControls"/>
    <ds:schemaRef ds:uri="http://schemas.microsoft.com/office/2006/metadata/properties"/>
    <ds:schemaRef ds:uri="http://purl.org/dc/terms/"/>
    <ds:schemaRef ds:uri="http://schemas.microsoft.com/office/2006/documentManagement/types"/>
    <ds:schemaRef ds:uri="http://www.w3.org/XML/1998/namespace"/>
    <ds:schemaRef ds:uri="31653589-be70-4e86-8387-5ccaacc3bd25"/>
    <ds:schemaRef ds:uri="http://purl.org/dc/elements/1.1/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29</vt:i4>
      </vt:variant>
    </vt:vector>
  </HeadingPairs>
  <TitlesOfParts>
    <vt:vector size="50" baseType="lpstr">
      <vt:lpstr>Winter</vt:lpstr>
      <vt:lpstr>Feb</vt:lpstr>
      <vt:lpstr>Mar</vt:lpstr>
      <vt:lpstr>Apr</vt:lpstr>
      <vt:lpstr>May</vt:lpstr>
      <vt:lpstr>Jun</vt:lpstr>
      <vt:lpstr>Jul</vt:lpstr>
      <vt:lpstr>Summer</vt:lpstr>
      <vt:lpstr>Sep</vt:lpstr>
      <vt:lpstr>Oct</vt:lpstr>
      <vt:lpstr>Nov</vt:lpstr>
      <vt:lpstr>Dec</vt:lpstr>
      <vt:lpstr>Interruptible Forecast</vt:lpstr>
      <vt:lpstr>Monthly Peaks</vt:lpstr>
      <vt:lpstr>FALL13 vs TYSP13</vt:lpstr>
      <vt:lpstr>SEP12 vs TYSP12</vt:lpstr>
      <vt:lpstr>Fall13 vs Spr13</vt:lpstr>
      <vt:lpstr>By Load Area</vt:lpstr>
      <vt:lpstr>Assumptions</vt:lpstr>
      <vt:lpstr>SMC</vt:lpstr>
      <vt:lpstr>Freq Bias</vt:lpstr>
      <vt:lpstr>Apr!Extract</vt:lpstr>
      <vt:lpstr>Dec!Extract</vt:lpstr>
      <vt:lpstr>Jul!Extract</vt:lpstr>
      <vt:lpstr>Jun!Extract</vt:lpstr>
      <vt:lpstr>Mar!Extract</vt:lpstr>
      <vt:lpstr>May!Extract</vt:lpstr>
      <vt:lpstr>Oct!Extract</vt:lpstr>
      <vt:lpstr>Sep!Extract</vt:lpstr>
      <vt:lpstr>'Interruptible Forecast'!MONTHLY</vt:lpstr>
      <vt:lpstr>Apr!Print_Area</vt:lpstr>
      <vt:lpstr>Assumptions!Print_Area</vt:lpstr>
      <vt:lpstr>'By Load Area'!Print_Area</vt:lpstr>
      <vt:lpstr>Dec!Print_Area</vt:lpstr>
      <vt:lpstr>'Fall13 vs Spr13'!Print_Area</vt:lpstr>
      <vt:lpstr>'FALL13 vs TYSP13'!Print_Area</vt:lpstr>
      <vt:lpstr>Feb!Print_Area</vt:lpstr>
      <vt:lpstr>'Interruptible Forecast'!Print_Area</vt:lpstr>
      <vt:lpstr>Jul!Print_Area</vt:lpstr>
      <vt:lpstr>Jun!Print_Area</vt:lpstr>
      <vt:lpstr>Mar!Print_Area</vt:lpstr>
      <vt:lpstr>May!Print_Area</vt:lpstr>
      <vt:lpstr>'Monthly Peaks'!Print_Area</vt:lpstr>
      <vt:lpstr>Nov!Print_Area</vt:lpstr>
      <vt:lpstr>Oct!Print_Area</vt:lpstr>
      <vt:lpstr>Sep!Print_Area</vt:lpstr>
      <vt:lpstr>'SEP12 vs TYSP12'!Print_Area</vt:lpstr>
      <vt:lpstr>Summer!Print_Area</vt:lpstr>
      <vt:lpstr>Winter!Print_Area</vt:lpstr>
      <vt:lpstr>'Interruptible Forecast'!SEASONAL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V. Lynch</dc:creator>
  <cp:lastModifiedBy>Shelly Schrand</cp:lastModifiedBy>
  <cp:lastPrinted>2014-05-18T21:04:33Z</cp:lastPrinted>
  <dcterms:created xsi:type="dcterms:W3CDTF">1998-08-21T21:12:39Z</dcterms:created>
  <dcterms:modified xsi:type="dcterms:W3CDTF">2014-07-11T19:09:43Z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0x0101002E34FDCAAF3C6C4093AF7B5BE145937F</vt:lpwstr>
  </property>
</Properties>
</file>