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13392" windowHeight="11820"/>
  </bookViews>
  <sheets>
    <sheet name="summary charts" sheetId="1" r:id="rId1"/>
  </sheets>
  <externalReferences>
    <externalReference r:id="rId2"/>
  </externalReferences>
  <definedNames>
    <definedName name="_xlnm.Print_Area" localSheetId="0">'summary charts'!$A$1:$Z$18</definedName>
  </definedNames>
  <calcPr calcId="145621"/>
</workbook>
</file>

<file path=xl/calcChain.xml><?xml version="1.0" encoding="utf-8"?>
<calcChain xmlns="http://schemas.openxmlformats.org/spreadsheetml/2006/main">
  <c r="D19" i="1" l="1"/>
  <c r="D16" i="1"/>
  <c r="D13" i="1"/>
  <c r="D10" i="1"/>
  <c r="D15" i="1" l="1"/>
  <c r="D12" i="1"/>
  <c r="D9" i="1"/>
  <c r="D18" i="1" l="1"/>
  <c r="J8" i="1"/>
  <c r="I8" i="1"/>
  <c r="H8" i="1"/>
  <c r="G8" i="1"/>
  <c r="J7" i="1"/>
  <c r="I7" i="1"/>
  <c r="H7" i="1"/>
  <c r="G7" i="1"/>
  <c r="D7" i="1"/>
  <c r="J6" i="1"/>
  <c r="I6" i="1" s="1"/>
  <c r="K6" i="1" s="1"/>
  <c r="L6" i="1" s="1"/>
  <c r="H6" i="1"/>
  <c r="G6" i="1"/>
  <c r="D6" i="1"/>
  <c r="J5" i="1"/>
  <c r="I5" i="1" s="1"/>
  <c r="H5" i="1"/>
  <c r="G5" i="1"/>
  <c r="D5" i="1"/>
  <c r="J4" i="1"/>
  <c r="I4" i="1"/>
  <c r="H4" i="1"/>
  <c r="C4" i="1"/>
  <c r="E4" i="1" s="1"/>
  <c r="K7" i="1" l="1"/>
  <c r="L7" i="1" s="1"/>
  <c r="K8" i="1"/>
  <c r="K5" i="1"/>
  <c r="L5" i="1"/>
  <c r="L8" i="1"/>
  <c r="M4" i="1"/>
  <c r="C5" i="1"/>
  <c r="E5" i="1" s="1"/>
  <c r="F5" i="1" l="1"/>
  <c r="M5" i="1"/>
  <c r="C6" i="1"/>
  <c r="E6" i="1" s="1"/>
  <c r="F6" i="1" l="1"/>
  <c r="C7" i="1"/>
  <c r="E7" i="1" s="1"/>
  <c r="M6" i="1"/>
  <c r="N5" i="1"/>
  <c r="O5" i="1"/>
  <c r="N6" i="1" l="1"/>
  <c r="O6" i="1"/>
  <c r="F7" i="1"/>
  <c r="C8" i="1"/>
  <c r="E8" i="1" s="1"/>
  <c r="M7" i="1"/>
  <c r="N7" i="1" l="1"/>
  <c r="O7" i="1"/>
  <c r="M8" i="1"/>
  <c r="F8" i="1"/>
  <c r="O8" i="1" l="1"/>
  <c r="N8" i="1"/>
</calcChain>
</file>

<file path=xl/sharedStrings.xml><?xml version="1.0" encoding="utf-8"?>
<sst xmlns="http://schemas.openxmlformats.org/spreadsheetml/2006/main" count="29" uniqueCount="21">
  <si>
    <t>With MCC</t>
  </si>
  <si>
    <t>Typical Residential 1,000 kWh Bill</t>
  </si>
  <si>
    <t xml:space="preserve"> </t>
  </si>
  <si>
    <t>Base</t>
  </si>
  <si>
    <t>Base Increase</t>
  </si>
  <si>
    <t>Base Subtotal</t>
  </si>
  <si>
    <t>% Change</t>
  </si>
  <si>
    <t>WC3*</t>
  </si>
  <si>
    <t>Fuel</t>
  </si>
  <si>
    <t>Clause</t>
  </si>
  <si>
    <t>GRT</t>
  </si>
  <si>
    <t>Fuel/ Other</t>
  </si>
  <si>
    <t>Total</t>
  </si>
  <si>
    <t>Total Increase</t>
  </si>
  <si>
    <t>Per Day Change</t>
  </si>
  <si>
    <t>2017 Increase</t>
  </si>
  <si>
    <t>2018 Increase</t>
  </si>
  <si>
    <t>2019 Increase</t>
  </si>
  <si>
    <r>
      <t xml:space="preserve">(Total </t>
    </r>
    <r>
      <rPr>
        <sz val="14"/>
        <color theme="3"/>
        <rFont val="Calibri"/>
        <family val="2"/>
      </rPr>
      <t xml:space="preserve">÷ </t>
    </r>
    <r>
      <rPr>
        <sz val="14"/>
        <color theme="3"/>
        <rFont val="Arial"/>
        <family val="2"/>
      </rPr>
      <t>(365 Days/12 Months))</t>
    </r>
  </si>
  <si>
    <t>OPC 006647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</si>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</sst>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0.00_);\(0.00\)"/>
    <numFmt numFmtId="166" formatCode="0.0%"/>
    <numFmt numFmtId="167" formatCode="[$$-409]#,##0.00_);[Red]\([$$-409]#,##0.00\)"/>
    <numFmt numFmtId="168" formatCode="0_);\(0\)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3"/>
      <name val="Arial"/>
      <family val="2"/>
    </font>
    <font>
      <b/>
      <sz val="14"/>
      <color theme="3"/>
      <name val="Arial"/>
      <family val="2"/>
    </font>
    <font>
      <i/>
      <sz val="12"/>
      <color theme="3"/>
      <name val="Arial"/>
      <family val="2"/>
    </font>
    <font>
      <b/>
      <sz val="14"/>
      <color rgb="FFFFFFFF"/>
      <name val="Arial"/>
      <family val="2"/>
    </font>
    <font>
      <b/>
      <sz val="10.5"/>
      <color rgb="FFFFFFFF"/>
      <name val="Arial"/>
      <family val="2"/>
    </font>
    <font>
      <sz val="10.5"/>
      <color rgb="FF0048B9"/>
      <name val="Arial"/>
      <family val="2"/>
    </font>
    <font>
      <sz val="10.5"/>
      <color rgb="FFFF0000"/>
      <name val="Arial"/>
      <family val="2"/>
    </font>
    <font>
      <sz val="11"/>
      <color theme="3"/>
      <name val="Arial"/>
      <family val="2"/>
    </font>
    <font>
      <sz val="10"/>
      <name val="Arial"/>
      <family val="2"/>
    </font>
    <font>
      <sz val="14"/>
      <color theme="3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3" fillId="0" borderId="4" xfId="0" applyNumberFormat="1" applyFont="1" applyBorder="1"/>
    <xf numFmtId="165" fontId="3" fillId="0" borderId="4" xfId="0" applyNumberFormat="1" applyFont="1" applyBorder="1"/>
    <xf numFmtId="165" fontId="4" fillId="0" borderId="4" xfId="0" applyNumberFormat="1" applyFont="1" applyBorder="1"/>
    <xf numFmtId="0" fontId="5" fillId="0" borderId="4" xfId="0" applyFont="1" applyBorder="1"/>
    <xf numFmtId="0" fontId="3" fillId="0" borderId="4" xfId="0" applyFont="1" applyBorder="1"/>
    <xf numFmtId="165" fontId="3" fillId="0" borderId="0" xfId="0" applyNumberFormat="1" applyFont="1"/>
    <xf numFmtId="165" fontId="3" fillId="0" borderId="4" xfId="0" applyNumberFormat="1" applyFont="1" applyFill="1" applyBorder="1"/>
    <xf numFmtId="166" fontId="5" fillId="0" borderId="4" xfId="2" applyNumberFormat="1" applyFont="1" applyBorder="1"/>
    <xf numFmtId="2" fontId="3" fillId="0" borderId="0" xfId="0" applyNumberFormat="1" applyFont="1"/>
    <xf numFmtId="164" fontId="3" fillId="0" borderId="0" xfId="0" applyNumberFormat="1" applyFont="1" applyBorder="1"/>
    <xf numFmtId="165" fontId="3" fillId="0" borderId="0" xfId="0" applyNumberFormat="1" applyFont="1" applyBorder="1"/>
    <xf numFmtId="166" fontId="4" fillId="0" borderId="0" xfId="2" applyNumberFormat="1" applyFont="1" applyBorder="1"/>
    <xf numFmtId="166" fontId="5" fillId="0" borderId="0" xfId="2" applyNumberFormat="1" applyFont="1"/>
    <xf numFmtId="44" fontId="3" fillId="0" borderId="0" xfId="1" applyFont="1"/>
    <xf numFmtId="166" fontId="3" fillId="0" borderId="0" xfId="0" applyNumberFormat="1" applyFont="1"/>
    <xf numFmtId="0" fontId="10" fillId="0" borderId="0" xfId="0" applyFont="1" applyBorder="1" applyAlignment="1">
      <alignment horizontal="left"/>
    </xf>
    <xf numFmtId="166" fontId="3" fillId="0" borderId="0" xfId="2" applyNumberFormat="1" applyFont="1"/>
    <xf numFmtId="9" fontId="3" fillId="0" borderId="0" xfId="2" applyFont="1"/>
    <xf numFmtId="44" fontId="3" fillId="0" borderId="0" xfId="0" applyNumberFormat="1" applyFont="1"/>
    <xf numFmtId="166" fontId="4" fillId="0" borderId="0" xfId="2" applyNumberFormat="1" applyFont="1"/>
    <xf numFmtId="0" fontId="3" fillId="0" borderId="0" xfId="0" applyFont="1" applyBorder="1"/>
    <xf numFmtId="168" fontId="3" fillId="0" borderId="0" xfId="0" applyNumberFormat="1" applyFont="1" applyBorder="1"/>
    <xf numFmtId="44" fontId="3" fillId="0" borderId="0" xfId="1" applyFont="1" applyBorder="1"/>
    <xf numFmtId="0" fontId="4" fillId="0" borderId="0" xfId="0" applyFont="1" applyBorder="1"/>
    <xf numFmtId="44" fontId="3" fillId="0" borderId="0" xfId="1" applyNumberFormat="1" applyFont="1"/>
    <xf numFmtId="0" fontId="3" fillId="0" borderId="0" xfId="0" applyFont="1" applyFill="1" applyAlignment="1">
      <alignment horizontal="center" wrapText="1"/>
    </xf>
    <xf numFmtId="0" fontId="7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Fill="1"/>
    <xf numFmtId="0" fontId="8" fillId="0" borderId="8" xfId="0" applyFont="1" applyFill="1" applyBorder="1" applyAlignment="1">
      <alignment horizontal="center" vertical="center" wrapText="1" readingOrder="1"/>
    </xf>
    <xf numFmtId="8" fontId="8" fillId="0" borderId="8" xfId="0" applyNumberFormat="1" applyFont="1" applyFill="1" applyBorder="1" applyAlignment="1">
      <alignment horizontal="center" vertical="center" wrapText="1" readingOrder="1"/>
    </xf>
    <xf numFmtId="10" fontId="8" fillId="0" borderId="8" xfId="0" applyNumberFormat="1" applyFont="1" applyFill="1" applyBorder="1" applyAlignment="1">
      <alignment horizontal="center" vertical="center" wrapText="1" readingOrder="1"/>
    </xf>
    <xf numFmtId="166" fontId="8" fillId="0" borderId="8" xfId="2" applyNumberFormat="1" applyFont="1" applyFill="1" applyBorder="1" applyAlignment="1">
      <alignment horizontal="center" vertical="center" wrapText="1" readingOrder="1"/>
    </xf>
    <xf numFmtId="167" fontId="8" fillId="0" borderId="8" xfId="0" applyNumberFormat="1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center" vertical="center" wrapText="1" readingOrder="1"/>
    </xf>
    <xf numFmtId="8" fontId="8" fillId="0" borderId="9" xfId="0" applyNumberFormat="1" applyFont="1" applyFill="1" applyBorder="1" applyAlignment="1">
      <alignment horizontal="center" vertical="center" wrapText="1" readingOrder="1"/>
    </xf>
    <xf numFmtId="10" fontId="8" fillId="0" borderId="9" xfId="0" applyNumberFormat="1" applyFont="1" applyFill="1" applyBorder="1" applyAlignment="1">
      <alignment horizontal="center" vertical="center" wrapText="1" readingOrder="1"/>
    </xf>
    <xf numFmtId="167" fontId="8" fillId="0" borderId="9" xfId="0" applyNumberFormat="1" applyFont="1" applyFill="1" applyBorder="1" applyAlignment="1">
      <alignment horizontal="center" vertical="center" wrapText="1" readingOrder="1"/>
    </xf>
    <xf numFmtId="8" fontId="8" fillId="0" borderId="9" xfId="1" applyNumberFormat="1" applyFont="1" applyFill="1" applyBorder="1" applyAlignment="1">
      <alignment horizontal="center" vertical="center" wrapText="1" readingOrder="1"/>
    </xf>
    <xf numFmtId="9" fontId="8" fillId="0" borderId="9" xfId="0" applyNumberFormat="1" applyFont="1" applyFill="1" applyBorder="1" applyAlignment="1">
      <alignment horizontal="center" vertical="center" wrapText="1" readingOrder="1"/>
    </xf>
    <xf numFmtId="10" fontId="9" fillId="0" borderId="9" xfId="0" applyNumberFormat="1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</cellXfs>
  <cellStyles count="13">
    <cellStyle name="Currency" xfId="1" builtinId="4"/>
    <cellStyle name="Currency 2" xfId="3"/>
    <cellStyle name="Currency 3" xfId="4"/>
    <cellStyle name="Currency 4" xfId="5"/>
    <cellStyle name="Currency 5" xfId="6"/>
    <cellStyle name="Normal" xfId="0" builtinId="0"/>
    <cellStyle name="Normal 2" xfId="7"/>
    <cellStyle name="Normal 3" xfId="8"/>
    <cellStyle name="Normal 4" xfId="9"/>
    <cellStyle name="Normal 5" xfId="10"/>
    <cellStyle name="Percent" xfId="2" builtinId="5"/>
    <cellStyle name="Percent 2" xfId="11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PowerPoin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ummary charts"/>
      <sheetName val="rate design changes"/>
      <sheetName val="Chart in Microsoft PowerPoint"/>
    </sheetNames>
    <sheetDataSet>
      <sheetData sheetId="0">
        <row r="4">
          <cell r="B4">
            <v>57</v>
          </cell>
          <cell r="D4">
            <v>21.73</v>
          </cell>
          <cell r="E4">
            <v>10.71</v>
          </cell>
          <cell r="F4">
            <v>2.29</v>
          </cell>
        </row>
        <row r="5">
          <cell r="D5">
            <v>23.71</v>
          </cell>
          <cell r="F5">
            <v>2.5299999999999998</v>
          </cell>
        </row>
        <row r="6">
          <cell r="F6">
            <v>2.61</v>
          </cell>
        </row>
        <row r="7">
          <cell r="F7">
            <v>2.68</v>
          </cell>
        </row>
        <row r="8">
          <cell r="F8">
            <v>2.68</v>
          </cell>
        </row>
        <row r="23">
          <cell r="E23">
            <v>10.469999999999999</v>
          </cell>
        </row>
        <row r="24">
          <cell r="C24">
            <v>1.39</v>
          </cell>
          <cell r="D24">
            <v>24.8</v>
          </cell>
          <cell r="E24">
            <v>10.059999999999999</v>
          </cell>
        </row>
        <row r="25">
          <cell r="C25">
            <v>1.39</v>
          </cell>
          <cell r="D25">
            <v>25.77</v>
          </cell>
          <cell r="E25">
            <v>9.85</v>
          </cell>
        </row>
        <row r="26">
          <cell r="C26">
            <v>1.39</v>
          </cell>
          <cell r="D26">
            <v>27.09</v>
          </cell>
          <cell r="E26">
            <v>8.36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0"/>
  <sheetViews>
    <sheetView tabSelected="1" workbookViewId="0">
      <selection activeCell="J15" sqref="J15"/>
    </sheetView>
  </sheetViews>
  <sheetFormatPr defaultColWidth="8.88671875" defaultRowHeight="17.399999999999999" x14ac:dyDescent="0.3"/>
  <cols>
    <col min="1" max="1" width="4.44140625" style="1" customWidth="1"/>
    <col min="2" max="2" width="11.88671875" style="1" customWidth="1"/>
    <col min="3" max="3" width="12.33203125" style="1" customWidth="1"/>
    <col min="4" max="4" width="16.88671875" style="1" customWidth="1"/>
    <col min="5" max="5" width="12.33203125" style="3" customWidth="1"/>
    <col min="6" max="6" width="11.33203125" style="1" customWidth="1"/>
    <col min="7" max="7" width="12.44140625" style="1" customWidth="1"/>
    <col min="8" max="9" width="11.33203125" style="1" customWidth="1"/>
    <col min="10" max="12" width="12.33203125" style="3" customWidth="1"/>
    <col min="13" max="13" width="12.109375" style="1" customWidth="1"/>
    <col min="14" max="14" width="13.5546875" style="1" customWidth="1"/>
    <col min="15" max="15" width="11.33203125" style="1" customWidth="1"/>
    <col min="16" max="16" width="8.88671875" style="1"/>
    <col min="17" max="17" width="9.88671875" style="1" bestFit="1" customWidth="1"/>
    <col min="18" max="19" width="8.88671875" style="1"/>
    <col min="20" max="20" width="48.5546875" style="1" customWidth="1"/>
    <col min="21" max="26" width="11.33203125" style="1" customWidth="1"/>
    <col min="27" max="16384" width="8.88671875" style="1"/>
  </cols>
  <sheetData>
    <row r="1" spans="2:27" ht="30" customHeight="1" x14ac:dyDescent="0.3">
      <c r="B1" s="2" t="s">
        <v>0</v>
      </c>
      <c r="L1" s="54" t="s">
        <v>19</v>
      </c>
    </row>
    <row r="2" spans="2:27" x14ac:dyDescent="0.3">
      <c r="B2" s="49" t="s">
        <v>1</v>
      </c>
      <c r="C2" s="50"/>
      <c r="D2" s="50"/>
      <c r="E2" s="50"/>
      <c r="F2" s="50"/>
      <c r="G2" s="50"/>
      <c r="H2" s="50"/>
      <c r="I2" s="50"/>
      <c r="J2" s="51"/>
      <c r="K2" s="4"/>
      <c r="L2" s="55" t="s">
        <v>20</v>
      </c>
    </row>
    <row r="3" spans="2:27" s="5" customFormat="1" ht="35.4" thickBot="1" x14ac:dyDescent="0.35"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/>
      <c r="M3" s="7" t="s">
        <v>12</v>
      </c>
      <c r="N3" s="6" t="s">
        <v>13</v>
      </c>
      <c r="O3" s="8" t="s">
        <v>6</v>
      </c>
      <c r="S3" s="34"/>
      <c r="T3" s="34"/>
      <c r="U3" s="34"/>
      <c r="V3" s="34"/>
      <c r="W3" s="34"/>
      <c r="X3" s="34"/>
      <c r="Y3" s="34"/>
      <c r="Z3" s="34"/>
      <c r="AA3" s="34"/>
    </row>
    <row r="4" spans="2:27" ht="42" customHeight="1" thickBot="1" x14ac:dyDescent="0.35">
      <c r="B4" s="9">
        <v>42461</v>
      </c>
      <c r="C4" s="10">
        <f>+[1]master!B4</f>
        <v>57</v>
      </c>
      <c r="D4" s="10"/>
      <c r="E4" s="11">
        <f t="shared" ref="E4:E7" si="0">SUM(C4:D4)</f>
        <v>57</v>
      </c>
      <c r="F4" s="12"/>
      <c r="G4" s="10"/>
      <c r="H4" s="10">
        <f>+[1]master!D4</f>
        <v>21.73</v>
      </c>
      <c r="I4" s="10">
        <f>+[1]master!E4</f>
        <v>10.71</v>
      </c>
      <c r="J4" s="10">
        <f>+[1]master!F4</f>
        <v>2.29</v>
      </c>
      <c r="K4" s="10"/>
      <c r="L4" s="10"/>
      <c r="M4" s="11">
        <f t="shared" ref="M4:M8" si="1">+E4+G4+H4+I4+J4</f>
        <v>91.73</v>
      </c>
      <c r="N4" s="11"/>
      <c r="O4" s="13"/>
      <c r="Q4" s="14"/>
      <c r="S4" s="52"/>
      <c r="T4" s="53"/>
      <c r="U4" s="35"/>
      <c r="V4" s="35"/>
      <c r="W4" s="35"/>
      <c r="X4" s="35"/>
      <c r="Y4" s="35"/>
      <c r="Z4" s="35"/>
      <c r="AA4" s="36"/>
    </row>
    <row r="5" spans="2:27" ht="35.25" customHeight="1" thickTop="1" thickBot="1" x14ac:dyDescent="0.35">
      <c r="B5" s="9">
        <v>42736</v>
      </c>
      <c r="C5" s="15">
        <f>+E4</f>
        <v>57</v>
      </c>
      <c r="D5" s="10">
        <f>+[1]!Table134[[#This Row],[Base]]-[1]master!B4</f>
        <v>8.5600000000000023</v>
      </c>
      <c r="E5" s="11">
        <f t="shared" si="0"/>
        <v>65.56</v>
      </c>
      <c r="F5" s="16">
        <f>+ROUND((E5-E4)/E4,3)</f>
        <v>0.15</v>
      </c>
      <c r="G5" s="10">
        <f>+[1]!Table134[[#This Row],[WC3]]</f>
        <v>1.44</v>
      </c>
      <c r="H5" s="10">
        <f>+[1]master!D5</f>
        <v>23.71</v>
      </c>
      <c r="I5" s="10">
        <f>+[1]master!E23-J5</f>
        <v>7.9399999999999995</v>
      </c>
      <c r="J5" s="10">
        <f>+[1]master!F5</f>
        <v>2.5299999999999998</v>
      </c>
      <c r="K5" s="10">
        <f>(H5+I5+J5)-(H4+I4+J4)</f>
        <v>-0.54999999999999716</v>
      </c>
      <c r="L5" s="16">
        <f>+K5/(H4+I4+J4)</f>
        <v>-1.5836452634609768E-2</v>
      </c>
      <c r="M5" s="11">
        <f t="shared" si="1"/>
        <v>101.18</v>
      </c>
      <c r="N5" s="15">
        <f>+M5-M4</f>
        <v>9.4500000000000028</v>
      </c>
      <c r="O5" s="16">
        <f>+ROUND((M5-M4)/M4,3)</f>
        <v>0.10299999999999999</v>
      </c>
      <c r="Q5" s="17"/>
      <c r="S5" s="37"/>
      <c r="T5" s="37"/>
      <c r="U5" s="38"/>
      <c r="V5" s="39"/>
      <c r="W5" s="38"/>
      <c r="X5" s="40"/>
      <c r="Y5" s="41"/>
      <c r="Z5" s="39"/>
      <c r="AA5" s="36"/>
    </row>
    <row r="6" spans="2:27" ht="35.25" customHeight="1" thickBot="1" x14ac:dyDescent="0.35">
      <c r="B6" s="9">
        <v>43101</v>
      </c>
      <c r="C6" s="10">
        <f>+E5</f>
        <v>65.56</v>
      </c>
      <c r="D6" s="10">
        <f>+[1]!Table134[[#This Row],[Base]]-[1]master!B5</f>
        <v>2.6400000000000006</v>
      </c>
      <c r="E6" s="11">
        <f t="shared" si="0"/>
        <v>68.2</v>
      </c>
      <c r="F6" s="16">
        <f>+ROUND((E6-E5)/E5,3)</f>
        <v>0.04</v>
      </c>
      <c r="G6" s="10">
        <f>+[1]master!C24</f>
        <v>1.39</v>
      </c>
      <c r="H6" s="10">
        <f>+[1]master!D24</f>
        <v>24.8</v>
      </c>
      <c r="I6" s="10">
        <f>+[1]master!E24-J6</f>
        <v>7.4499999999999993</v>
      </c>
      <c r="J6" s="10">
        <f>+[1]master!F6</f>
        <v>2.61</v>
      </c>
      <c r="K6" s="10">
        <f t="shared" ref="K6:K8" si="2">(H6+I6+J6)-(H5+I5+J5)</f>
        <v>0.67999999999999972</v>
      </c>
      <c r="L6" s="16">
        <f t="shared" ref="L6:L7" si="3">+K6/(H5+I5+J5)</f>
        <v>1.9894675248683432E-2</v>
      </c>
      <c r="M6" s="11">
        <f t="shared" si="1"/>
        <v>104.45</v>
      </c>
      <c r="N6" s="10">
        <f t="shared" ref="N6:N8" si="4">+M6-M5</f>
        <v>3.269999999999996</v>
      </c>
      <c r="O6" s="16">
        <f t="shared" ref="O6:O8" si="5">+ROUND((M6-M5)/M5,3)</f>
        <v>3.2000000000000001E-2</v>
      </c>
      <c r="Q6" s="17"/>
      <c r="S6" s="42"/>
      <c r="T6" s="42"/>
      <c r="U6" s="43"/>
      <c r="V6" s="44"/>
      <c r="W6" s="43"/>
      <c r="X6" s="44"/>
      <c r="Y6" s="45"/>
      <c r="Z6" s="44"/>
      <c r="AA6" s="36"/>
    </row>
    <row r="7" spans="2:27" ht="35.25" customHeight="1" thickBot="1" x14ac:dyDescent="0.35">
      <c r="B7" s="9">
        <v>43617</v>
      </c>
      <c r="C7" s="10">
        <f>+E6</f>
        <v>68.2</v>
      </c>
      <c r="D7" s="10">
        <f>+[1]!Table134[[#This Row],[Base]]-[1]master!B6</f>
        <v>2.0841246000000098</v>
      </c>
      <c r="E7" s="11">
        <f t="shared" si="0"/>
        <v>70.284124600000013</v>
      </c>
      <c r="F7" s="16">
        <f>+ROUND((E7-E6)/E6,3)</f>
        <v>3.1E-2</v>
      </c>
      <c r="G7" s="10">
        <f>+[1]master!C25</f>
        <v>1.39</v>
      </c>
      <c r="H7" s="10">
        <f>+[1]master!D25</f>
        <v>25.77</v>
      </c>
      <c r="I7" s="10">
        <f>+[1]master!E25-J7</f>
        <v>7.17</v>
      </c>
      <c r="J7" s="10">
        <f>+[1]master!F7</f>
        <v>2.68</v>
      </c>
      <c r="K7" s="10">
        <f t="shared" si="2"/>
        <v>0.75999999999999801</v>
      </c>
      <c r="L7" s="16">
        <f t="shared" si="3"/>
        <v>2.1801491681009696E-2</v>
      </c>
      <c r="M7" s="11">
        <f t="shared" si="1"/>
        <v>107.29412460000002</v>
      </c>
      <c r="N7" s="10">
        <f t="shared" si="4"/>
        <v>2.8441246000000149</v>
      </c>
      <c r="O7" s="16">
        <f t="shared" si="5"/>
        <v>2.7E-2</v>
      </c>
      <c r="Q7" s="17"/>
      <c r="S7" s="42"/>
      <c r="T7" s="42"/>
      <c r="U7" s="43"/>
      <c r="V7" s="44"/>
      <c r="W7" s="43"/>
      <c r="X7" s="44"/>
      <c r="Y7" s="45"/>
      <c r="Z7" s="44"/>
      <c r="AA7" s="36"/>
    </row>
    <row r="8" spans="2:27" ht="35.25" customHeight="1" thickBot="1" x14ac:dyDescent="0.35">
      <c r="B8" s="9">
        <v>43831</v>
      </c>
      <c r="C8" s="10">
        <f>+E7</f>
        <v>70.284124600000013</v>
      </c>
      <c r="D8" s="10">
        <v>0</v>
      </c>
      <c r="E8" s="11">
        <f t="shared" ref="E8" si="6">SUM(C8:D8)</f>
        <v>70.284124600000013</v>
      </c>
      <c r="F8" s="16">
        <f>+ROUND((E8-E7)/E7,3)</f>
        <v>0</v>
      </c>
      <c r="G8" s="10">
        <f>+[1]master!C26</f>
        <v>1.39</v>
      </c>
      <c r="H8" s="10">
        <f>+[1]master!D26</f>
        <v>27.09</v>
      </c>
      <c r="I8" s="10">
        <f>+[1]master!E26-J8</f>
        <v>5.68</v>
      </c>
      <c r="J8" s="10">
        <f>+[1]master!F8</f>
        <v>2.68</v>
      </c>
      <c r="K8" s="10">
        <f t="shared" si="2"/>
        <v>-0.17000000000000171</v>
      </c>
      <c r="L8" s="16">
        <f>+K8/(H7+I7+J7)</f>
        <v>-4.7725996631106599E-3</v>
      </c>
      <c r="M8" s="11">
        <f t="shared" si="1"/>
        <v>107.12412460000002</v>
      </c>
      <c r="N8" s="10">
        <f t="shared" si="4"/>
        <v>-0.17000000000000171</v>
      </c>
      <c r="O8" s="16">
        <f t="shared" si="5"/>
        <v>-2E-3</v>
      </c>
      <c r="Q8" s="17"/>
      <c r="S8" s="42"/>
      <c r="T8" s="42"/>
      <c r="U8" s="46"/>
      <c r="V8" s="47"/>
      <c r="W8" s="43"/>
      <c r="X8" s="48"/>
      <c r="Y8" s="45"/>
      <c r="Z8" s="48"/>
      <c r="AA8" s="36"/>
    </row>
    <row r="9" spans="2:27" ht="35.25" customHeight="1" thickBot="1" x14ac:dyDescent="0.35">
      <c r="B9" s="1" t="s">
        <v>15</v>
      </c>
      <c r="D9" s="22">
        <f>D5</f>
        <v>8.5600000000000023</v>
      </c>
      <c r="E9" s="20"/>
      <c r="F9" s="21"/>
      <c r="G9" s="19"/>
      <c r="H9" s="19"/>
      <c r="I9" s="19"/>
      <c r="J9" s="19"/>
      <c r="K9" s="19"/>
      <c r="L9" s="19"/>
      <c r="M9" s="20"/>
      <c r="N9" s="22"/>
      <c r="O9" s="23"/>
      <c r="S9" s="42"/>
      <c r="T9" s="42"/>
      <c r="U9" s="43"/>
      <c r="V9" s="44"/>
      <c r="W9" s="43"/>
      <c r="X9" s="44"/>
      <c r="Y9" s="45"/>
      <c r="Z9" s="44"/>
      <c r="AA9" s="36"/>
    </row>
    <row r="10" spans="2:27" x14ac:dyDescent="0.3">
      <c r="B10" s="18" t="s">
        <v>14</v>
      </c>
      <c r="D10" s="33">
        <f>D9/(365/12)</f>
        <v>0.28142465753424661</v>
      </c>
      <c r="E10" s="20"/>
      <c r="F10" s="21"/>
      <c r="G10" s="19"/>
      <c r="H10" s="19"/>
      <c r="I10" s="19"/>
      <c r="J10" s="19"/>
      <c r="K10" s="19"/>
      <c r="L10" s="19"/>
      <c r="M10" s="20"/>
      <c r="N10" s="22"/>
      <c r="O10" s="23"/>
      <c r="S10" s="36"/>
      <c r="T10" s="36"/>
      <c r="U10" s="36"/>
      <c r="V10" s="36"/>
      <c r="W10" s="36"/>
      <c r="X10" s="36"/>
      <c r="Y10" s="36"/>
      <c r="Z10" s="36"/>
      <c r="AA10" s="36"/>
    </row>
    <row r="11" spans="2:27" ht="18" x14ac:dyDescent="0.35">
      <c r="B11" s="1" t="s">
        <v>18</v>
      </c>
      <c r="K11" s="24"/>
      <c r="L11" s="24"/>
      <c r="N11" s="25"/>
      <c r="O11" s="25"/>
      <c r="U11" s="26"/>
      <c r="V11" s="23"/>
      <c r="W11" s="14"/>
      <c r="X11" s="23"/>
      <c r="Y11" s="27"/>
      <c r="Z11" s="23"/>
    </row>
    <row r="12" spans="2:27" x14ac:dyDescent="0.3">
      <c r="B12" s="1" t="s">
        <v>16</v>
      </c>
      <c r="D12" s="22">
        <f>D6</f>
        <v>2.6400000000000006</v>
      </c>
      <c r="N12" s="22"/>
      <c r="O12" s="26"/>
    </row>
    <row r="13" spans="2:27" x14ac:dyDescent="0.3">
      <c r="B13" s="18" t="s">
        <v>14</v>
      </c>
      <c r="D13" s="33">
        <f>D12/(365/12)</f>
        <v>8.6794520547945217E-2</v>
      </c>
      <c r="E13" s="28"/>
      <c r="N13" s="25"/>
    </row>
    <row r="14" spans="2:27" ht="18" x14ac:dyDescent="0.35">
      <c r="B14" s="1" t="s">
        <v>18</v>
      </c>
      <c r="C14" s="30"/>
      <c r="D14" s="29"/>
      <c r="E14" s="31"/>
      <c r="F14" s="31"/>
      <c r="G14" s="31"/>
      <c r="H14" s="31"/>
      <c r="I14" s="29"/>
      <c r="J14" s="32"/>
      <c r="K14" s="32"/>
    </row>
    <row r="15" spans="2:27" x14ac:dyDescent="0.3">
      <c r="B15" s="18" t="s">
        <v>17</v>
      </c>
      <c r="C15" s="18"/>
      <c r="D15" s="31">
        <f>D7</f>
        <v>2.0841246000000098</v>
      </c>
      <c r="E15" s="18"/>
      <c r="F15" s="18"/>
      <c r="G15" s="18"/>
      <c r="H15" s="18"/>
      <c r="I15" s="18"/>
      <c r="J15" s="18"/>
      <c r="K15" s="32"/>
    </row>
    <row r="16" spans="2:27" x14ac:dyDescent="0.3">
      <c r="B16" s="18" t="s">
        <v>14</v>
      </c>
      <c r="D16" s="27">
        <f>D15/(365/12)</f>
        <v>6.851916493150717E-2</v>
      </c>
      <c r="E16" s="1"/>
    </row>
    <row r="17" spans="2:4" ht="18" x14ac:dyDescent="0.35">
      <c r="B17" s="1" t="s">
        <v>18</v>
      </c>
    </row>
    <row r="18" spans="2:4" x14ac:dyDescent="0.3">
      <c r="B18" s="18" t="s">
        <v>12</v>
      </c>
      <c r="C18" s="19"/>
      <c r="D18" s="31">
        <f>SUM(D5:D8)</f>
        <v>13.284124600000013</v>
      </c>
    </row>
    <row r="19" spans="2:4" x14ac:dyDescent="0.3">
      <c r="B19" s="18" t="s">
        <v>14</v>
      </c>
      <c r="C19" s="19"/>
      <c r="D19" s="31">
        <f>D18/(365/12)</f>
        <v>0.43673834301369902</v>
      </c>
    </row>
    <row r="20" spans="2:4" ht="18" x14ac:dyDescent="0.35">
      <c r="B20" s="1" t="s">
        <v>18</v>
      </c>
    </row>
  </sheetData>
  <mergeCells count="2">
    <mergeCell ref="B2:J2"/>
    <mergeCell ref="S4:T4"/>
  </mergeCells>
  <pageMargins left="0.25" right="0.25" top="0.75" bottom="0.75" header="0.3" footer="0.3"/>
  <pageSetup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F2B37015-C4AE-4392-9FCF-E633798D2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E5309E-56EB-4760-87B9-CF9364F21D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0A40E8-26A8-418A-A1B8-F3338AF6549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charts</vt:lpstr>
      <vt:lpstr>'summary charts'!Print_Area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Manrique, Juan</dc:creator>
  <cp:lastModifiedBy>FPL_User</cp:lastModifiedBy>
  <cp:lastPrinted>2016-03-09T13:56:35Z</cp:lastPrinted>
  <dcterms:created xsi:type="dcterms:W3CDTF">2016-03-07T21:12:33Z</dcterms:created>
  <dcterms:modified xsi:type="dcterms:W3CDTF">2016-04-11T18:08:33Z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