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92" yWindow="96" windowWidth="15756" windowHeight="11016" tabRatio="914"/>
  </bookViews>
  <sheets>
    <sheet name="2017 Capacity Calc" sheetId="1" r:id="rId1"/>
    <sheet name="2017 Clause Allocations" sheetId="5" r:id="rId2"/>
    <sheet name="2018 Capacity Calc" sheetId="4" r:id="rId3"/>
    <sheet name="2018 Clause Allocations" sheetId="6" r:id="rId4"/>
    <sheet name="2019 Capacity Calc" sheetId="7" r:id="rId5"/>
    <sheet name="2020 Capacity Calc" sheetId="8" r:id="rId6"/>
  </sheets>
  <definedNames>
    <definedName name="co_name_line1" localSheetId="3">#REF!</definedName>
    <definedName name="co_name_line1" localSheetId="4">#REF!</definedName>
    <definedName name="co_name_line1" localSheetId="5">#REF!</definedName>
    <definedName name="co_name_line1">#REF!</definedName>
    <definedName name="co_name_line2" localSheetId="3">#REF!</definedName>
    <definedName name="co_name_line2" localSheetId="4">#REF!</definedName>
    <definedName name="co_name_line2" localSheetId="5">#REF!</definedName>
    <definedName name="co_name_line2">#REF!</definedName>
    <definedName name="docket_num" localSheetId="3">#REF!</definedName>
    <definedName name="docket_num" localSheetId="4">#REF!</definedName>
    <definedName name="docket_num" localSheetId="5">#REF!</definedName>
    <definedName name="docket_num">#REF!</definedName>
    <definedName name="HISTORICAL_YEAR_DATE" localSheetId="3">#REF!</definedName>
    <definedName name="HISTORICAL_YEAR_DATE" localSheetId="4">#REF!</definedName>
    <definedName name="HISTORICAL_YEAR_DATE" localSheetId="5">#REF!</definedName>
    <definedName name="HISTORICAL_YEAR_DATE">#REF!</definedName>
    <definedName name="HISTORICAL_YEAR_X" localSheetId="3">#REF!</definedName>
    <definedName name="HISTORICAL_YEAR_X" localSheetId="4">#REF!</definedName>
    <definedName name="HISTORICAL_YEAR_X" localSheetId="5">#REF!</definedName>
    <definedName name="HISTORICAL_YEAR_X">#REF!</definedName>
    <definedName name="PAGE_1_END" localSheetId="3">#REF!</definedName>
    <definedName name="PAGE_1_END" localSheetId="4">#REF!</definedName>
    <definedName name="PAGE_1_END" localSheetId="5">#REF!</definedName>
    <definedName name="PAGE_1_END">#REF!</definedName>
    <definedName name="PAGE_1_START" localSheetId="3">#REF!</definedName>
    <definedName name="PAGE_1_START" localSheetId="4">#REF!</definedName>
    <definedName name="PAGE_1_START" localSheetId="5">#REF!</definedName>
    <definedName name="PAGE_1_START">#REF!</definedName>
    <definedName name="_xlnm.Print_Area" localSheetId="4">#REF!</definedName>
    <definedName name="_xlnm.Print_Area" localSheetId="5">#REF!</definedName>
    <definedName name="_xlnm.Print_Area">#REF!</definedName>
    <definedName name="PRIOR_YEAR_DATE" localSheetId="3">#REF!</definedName>
    <definedName name="PRIOR_YEAR_DATE" localSheetId="4">#REF!</definedName>
    <definedName name="PRIOR_YEAR_DATE" localSheetId="5">#REF!</definedName>
    <definedName name="PRIOR_YEAR_DATE">#REF!</definedName>
    <definedName name="PRIOR_YEAR_X" localSheetId="3">#REF!</definedName>
    <definedName name="PRIOR_YEAR_X" localSheetId="4">#REF!</definedName>
    <definedName name="PRIOR_YEAR_X" localSheetId="5">#REF!</definedName>
    <definedName name="PRIOR_YEAR_X">#REF!</definedName>
    <definedName name="SUBSEQUENT_YEAR_DATE" localSheetId="3">#REF!</definedName>
    <definedName name="SUBSEQUENT_YEAR_DATE" localSheetId="4">#REF!</definedName>
    <definedName name="SUBSEQUENT_YEAR_DATE" localSheetId="5">#REF!</definedName>
    <definedName name="SUBSEQUENT_YEAR_DATE">#REF!</definedName>
    <definedName name="SUBSEQUENT_YEAR_X" localSheetId="3">#REF!</definedName>
    <definedName name="SUBSEQUENT_YEAR_X" localSheetId="4">#REF!</definedName>
    <definedName name="SUBSEQUENT_YEAR_X" localSheetId="5">#REF!</definedName>
    <definedName name="SUBSEQUENT_YEAR_X">#REF!</definedName>
    <definedName name="TEST_YEAR_DATE" localSheetId="3">#REF!</definedName>
    <definedName name="TEST_YEAR_DATE" localSheetId="4">#REF!</definedName>
    <definedName name="TEST_YEAR_DATE" localSheetId="5">#REF!</definedName>
    <definedName name="TEST_YEAR_DATE">#REF!</definedName>
    <definedName name="TEST_YEAR_X" localSheetId="3">#REF!</definedName>
    <definedName name="TEST_YEAR_X" localSheetId="4">#REF!</definedName>
    <definedName name="TEST_YEAR_X" localSheetId="5">#REF!</definedName>
    <definedName name="TEST_YEAR_X">#REF!</definedName>
  </definedNames>
  <calcPr calcId="145621"/>
</workbook>
</file>

<file path=xl/calcChain.xml><?xml version="1.0" encoding="utf-8"?>
<calcChain xmlns="http://schemas.openxmlformats.org/spreadsheetml/2006/main">
  <c r="U21" i="8" l="1"/>
  <c r="I20" i="8"/>
  <c r="U19" i="8"/>
  <c r="F18" i="8"/>
  <c r="J18" i="8" s="1"/>
  <c r="U16" i="8"/>
  <c r="U15" i="8"/>
  <c r="U14" i="8"/>
  <c r="U13" i="8"/>
  <c r="I12" i="8"/>
  <c r="U11" i="8"/>
  <c r="U10" i="8"/>
  <c r="U22" i="8"/>
  <c r="I17" i="8"/>
  <c r="F15" i="8"/>
  <c r="J15" i="8" s="1"/>
  <c r="I13" i="8"/>
  <c r="U9" i="8"/>
  <c r="I18" i="8" l="1"/>
  <c r="U18" i="8"/>
  <c r="I15" i="8"/>
  <c r="F13" i="8"/>
  <c r="J13" i="8" s="1"/>
  <c r="F12" i="8"/>
  <c r="J12" i="8" s="1"/>
  <c r="U12" i="8"/>
  <c r="F20" i="8"/>
  <c r="J20" i="8" s="1"/>
  <c r="U20" i="8"/>
  <c r="U17" i="8"/>
  <c r="F17" i="8"/>
  <c r="J17" i="8" s="1"/>
  <c r="E24" i="8"/>
  <c r="I10" i="8"/>
  <c r="I11" i="8"/>
  <c r="I16" i="8"/>
  <c r="I9" i="8"/>
  <c r="I14" i="8"/>
  <c r="I19" i="8"/>
  <c r="I21" i="8"/>
  <c r="I22" i="8"/>
  <c r="F9" i="8"/>
  <c r="F10" i="8"/>
  <c r="J10" i="8" s="1"/>
  <c r="F11" i="8"/>
  <c r="J11" i="8" s="1"/>
  <c r="F14" i="8"/>
  <c r="J14" i="8" s="1"/>
  <c r="F16" i="8"/>
  <c r="J16" i="8" s="1"/>
  <c r="F19" i="8"/>
  <c r="J19" i="8" s="1"/>
  <c r="F21" i="8"/>
  <c r="J21" i="8" s="1"/>
  <c r="F22" i="8"/>
  <c r="J22" i="8" s="1"/>
  <c r="I19" i="7"/>
  <c r="U18" i="7"/>
  <c r="U11" i="7"/>
  <c r="U10" i="7"/>
  <c r="U20" i="7"/>
  <c r="U12" i="7"/>
  <c r="I22" i="7"/>
  <c r="I21" i="7"/>
  <c r="U17" i="7"/>
  <c r="F17" i="7"/>
  <c r="J17" i="7" s="1"/>
  <c r="I17" i="7"/>
  <c r="U15" i="7"/>
  <c r="U13" i="7"/>
  <c r="I24" i="8" l="1"/>
  <c r="K9" i="8" s="1"/>
  <c r="J9" i="8"/>
  <c r="F24" i="8"/>
  <c r="U24" i="8"/>
  <c r="F11" i="7"/>
  <c r="J11" i="7" s="1"/>
  <c r="I10" i="7"/>
  <c r="F14" i="7"/>
  <c r="J14" i="7" s="1"/>
  <c r="U14" i="7"/>
  <c r="U22" i="7"/>
  <c r="F22" i="7"/>
  <c r="J22" i="7" s="1"/>
  <c r="U19" i="7"/>
  <c r="F19" i="7"/>
  <c r="J19" i="7" s="1"/>
  <c r="U21" i="7"/>
  <c r="F21" i="7"/>
  <c r="J21" i="7" s="1"/>
  <c r="U16" i="7"/>
  <c r="F16" i="7"/>
  <c r="J16" i="7" s="1"/>
  <c r="E24" i="7"/>
  <c r="I9" i="7"/>
  <c r="F10" i="7"/>
  <c r="J10" i="7" s="1"/>
  <c r="F9" i="7"/>
  <c r="U9" i="7"/>
  <c r="I11" i="7"/>
  <c r="I14" i="7"/>
  <c r="I16" i="7"/>
  <c r="I12" i="7"/>
  <c r="I15" i="7"/>
  <c r="I18" i="7"/>
  <c r="I20" i="7"/>
  <c r="I13" i="7"/>
  <c r="F12" i="7"/>
  <c r="J12" i="7" s="1"/>
  <c r="F13" i="7"/>
  <c r="J13" i="7" s="1"/>
  <c r="F15" i="7"/>
  <c r="J15" i="7" s="1"/>
  <c r="F18" i="7"/>
  <c r="J18" i="7" s="1"/>
  <c r="F20" i="7"/>
  <c r="J20" i="7" s="1"/>
  <c r="K16" i="8" l="1"/>
  <c r="P16" i="8" s="1"/>
  <c r="R16" i="8" s="1"/>
  <c r="K21" i="8"/>
  <c r="P21" i="8" s="1"/>
  <c r="R21" i="8" s="1"/>
  <c r="K11" i="8"/>
  <c r="P11" i="8" s="1"/>
  <c r="R11" i="8" s="1"/>
  <c r="K22" i="8"/>
  <c r="P22" i="8" s="1"/>
  <c r="R22" i="8" s="1"/>
  <c r="P9" i="8"/>
  <c r="R9" i="8" s="1"/>
  <c r="K20" i="8"/>
  <c r="P20" i="8" s="1"/>
  <c r="R20" i="8" s="1"/>
  <c r="K17" i="8"/>
  <c r="P17" i="8" s="1"/>
  <c r="R17" i="8" s="1"/>
  <c r="K12" i="8"/>
  <c r="P12" i="8" s="1"/>
  <c r="R12" i="8" s="1"/>
  <c r="K18" i="8"/>
  <c r="P18" i="8" s="1"/>
  <c r="R18" i="8" s="1"/>
  <c r="K13" i="8"/>
  <c r="P13" i="8" s="1"/>
  <c r="R13" i="8" s="1"/>
  <c r="K15" i="8"/>
  <c r="P15" i="8" s="1"/>
  <c r="R15" i="8" s="1"/>
  <c r="K10" i="8"/>
  <c r="P10" i="8" s="1"/>
  <c r="R10" i="8" s="1"/>
  <c r="J24" i="8"/>
  <c r="L9" i="8" s="1"/>
  <c r="K19" i="8"/>
  <c r="P19" i="8" s="1"/>
  <c r="R19" i="8" s="1"/>
  <c r="K14" i="8"/>
  <c r="P14" i="8" s="1"/>
  <c r="R14" i="8" s="1"/>
  <c r="I24" i="7"/>
  <c r="K20" i="7" s="1"/>
  <c r="P20" i="7" s="1"/>
  <c r="R20" i="7" s="1"/>
  <c r="U24" i="7"/>
  <c r="F24" i="7"/>
  <c r="J9" i="7"/>
  <c r="K24" i="8" l="1"/>
  <c r="R24" i="8"/>
  <c r="Q9" i="8"/>
  <c r="S9" i="8" s="1"/>
  <c r="T9" i="8" s="1"/>
  <c r="Y9" i="8" s="1"/>
  <c r="Z17" i="8"/>
  <c r="L15" i="8"/>
  <c r="Q15" i="8" s="1"/>
  <c r="S15" i="8" s="1"/>
  <c r="T15" i="8" s="1"/>
  <c r="L20" i="8"/>
  <c r="Q20" i="8" s="1"/>
  <c r="S20" i="8" s="1"/>
  <c r="T20" i="8" s="1"/>
  <c r="Z16" i="8"/>
  <c r="AA17" i="8"/>
  <c r="L18" i="8"/>
  <c r="Q18" i="8" s="1"/>
  <c r="S18" i="8" s="1"/>
  <c r="T18" i="8" s="1"/>
  <c r="L13" i="8"/>
  <c r="Q13" i="8" s="1"/>
  <c r="S13" i="8" s="1"/>
  <c r="T13" i="8" s="1"/>
  <c r="L12" i="8"/>
  <c r="Q12" i="8" s="1"/>
  <c r="S12" i="8" s="1"/>
  <c r="T12" i="8" s="1"/>
  <c r="Y12" i="8" s="1"/>
  <c r="AA16" i="8"/>
  <c r="L10" i="8"/>
  <c r="Q10" i="8" s="1"/>
  <c r="S10" i="8" s="1"/>
  <c r="T10" i="8" s="1"/>
  <c r="Y10" i="8" s="1"/>
  <c r="L16" i="8"/>
  <c r="Q16" i="8" s="1"/>
  <c r="S16" i="8" s="1"/>
  <c r="T16" i="8" s="1"/>
  <c r="L22" i="8"/>
  <c r="Q22" i="8" s="1"/>
  <c r="S22" i="8" s="1"/>
  <c r="T22" i="8" s="1"/>
  <c r="Y22" i="8" s="1"/>
  <c r="L17" i="8"/>
  <c r="Q17" i="8" s="1"/>
  <c r="S17" i="8" s="1"/>
  <c r="T17" i="8" s="1"/>
  <c r="L14" i="8"/>
  <c r="Q14" i="8" s="1"/>
  <c r="S14" i="8" s="1"/>
  <c r="T14" i="8" s="1"/>
  <c r="L21" i="8"/>
  <c r="Q21" i="8" s="1"/>
  <c r="S21" i="8" s="1"/>
  <c r="T21" i="8" s="1"/>
  <c r="Y21" i="8" s="1"/>
  <c r="L11" i="8"/>
  <c r="Q11" i="8" s="1"/>
  <c r="S11" i="8" s="1"/>
  <c r="T11" i="8" s="1"/>
  <c r="L19" i="8"/>
  <c r="Q19" i="8" s="1"/>
  <c r="S19" i="8" s="1"/>
  <c r="T19" i="8" s="1"/>
  <c r="K12" i="7"/>
  <c r="P12" i="7" s="1"/>
  <c r="R12" i="7" s="1"/>
  <c r="K15" i="7"/>
  <c r="P15" i="7" s="1"/>
  <c r="R15" i="7" s="1"/>
  <c r="K13" i="7"/>
  <c r="P13" i="7" s="1"/>
  <c r="R13" i="7" s="1"/>
  <c r="K10" i="7"/>
  <c r="P10" i="7" s="1"/>
  <c r="R10" i="7" s="1"/>
  <c r="K11" i="7"/>
  <c r="P11" i="7" s="1"/>
  <c r="R11" i="7" s="1"/>
  <c r="K16" i="7"/>
  <c r="P16" i="7" s="1"/>
  <c r="R16" i="7" s="1"/>
  <c r="K9" i="7"/>
  <c r="P9" i="7" s="1"/>
  <c r="R9" i="7" s="1"/>
  <c r="K14" i="7"/>
  <c r="P14" i="7" s="1"/>
  <c r="R14" i="7" s="1"/>
  <c r="K18" i="7"/>
  <c r="P18" i="7" s="1"/>
  <c r="R18" i="7" s="1"/>
  <c r="J24" i="7"/>
  <c r="L9" i="7" s="1"/>
  <c r="K22" i="7"/>
  <c r="P22" i="7" s="1"/>
  <c r="R22" i="7" s="1"/>
  <c r="K19" i="7"/>
  <c r="P19" i="7" s="1"/>
  <c r="R19" i="7" s="1"/>
  <c r="K21" i="7"/>
  <c r="P21" i="7" s="1"/>
  <c r="R21" i="7" s="1"/>
  <c r="K17" i="7"/>
  <c r="P17" i="7" s="1"/>
  <c r="R17" i="7" s="1"/>
  <c r="L24" i="8" l="1"/>
  <c r="S24" i="8"/>
  <c r="R24" i="7"/>
  <c r="Q9" i="7"/>
  <c r="S9" i="7" s="1"/>
  <c r="K24" i="7"/>
  <c r="Z17" i="7"/>
  <c r="AA16" i="7"/>
  <c r="Z16" i="7"/>
  <c r="AA17" i="7"/>
  <c r="L11" i="7"/>
  <c r="Q11" i="7" s="1"/>
  <c r="S11" i="7" s="1"/>
  <c r="T11" i="7" s="1"/>
  <c r="L17" i="7"/>
  <c r="Q17" i="7" s="1"/>
  <c r="S17" i="7" s="1"/>
  <c r="T17" i="7" s="1"/>
  <c r="L15" i="7"/>
  <c r="Q15" i="7" s="1"/>
  <c r="S15" i="7" s="1"/>
  <c r="T15" i="7" s="1"/>
  <c r="L20" i="7"/>
  <c r="Q20" i="7" s="1"/>
  <c r="S20" i="7" s="1"/>
  <c r="T20" i="7" s="1"/>
  <c r="L21" i="7"/>
  <c r="Q21" i="7" s="1"/>
  <c r="S21" i="7" s="1"/>
  <c r="T21" i="7" s="1"/>
  <c r="Y21" i="7" s="1"/>
  <c r="L10" i="7"/>
  <c r="Q10" i="7" s="1"/>
  <c r="S10" i="7" s="1"/>
  <c r="T10" i="7" s="1"/>
  <c r="Y10" i="7" s="1"/>
  <c r="L22" i="7"/>
  <c r="Q22" i="7" s="1"/>
  <c r="S22" i="7" s="1"/>
  <c r="T22" i="7" s="1"/>
  <c r="Y22" i="7" s="1"/>
  <c r="L12" i="7"/>
  <c r="Q12" i="7" s="1"/>
  <c r="S12" i="7" s="1"/>
  <c r="T12" i="7" s="1"/>
  <c r="Y12" i="7" s="1"/>
  <c r="L16" i="7"/>
  <c r="Q16" i="7" s="1"/>
  <c r="S16" i="7" s="1"/>
  <c r="T16" i="7" s="1"/>
  <c r="L13" i="7"/>
  <c r="Q13" i="7" s="1"/>
  <c r="S13" i="7" s="1"/>
  <c r="T13" i="7" s="1"/>
  <c r="L19" i="7"/>
  <c r="Q19" i="7" s="1"/>
  <c r="S19" i="7" s="1"/>
  <c r="T19" i="7" s="1"/>
  <c r="L18" i="7"/>
  <c r="Q18" i="7" s="1"/>
  <c r="S18" i="7" s="1"/>
  <c r="T18" i="7" s="1"/>
  <c r="L14" i="7"/>
  <c r="Q14" i="7" s="1"/>
  <c r="S14" i="7" s="1"/>
  <c r="T14" i="7" s="1"/>
  <c r="S24" i="7" l="1"/>
  <c r="T9" i="7"/>
  <c r="Y9" i="7" s="1"/>
  <c r="L24" i="7"/>
  <c r="F22" i="4" l="1"/>
  <c r="F20" i="4"/>
  <c r="F16" i="4"/>
  <c r="F10" i="4" l="1"/>
  <c r="F14" i="4"/>
  <c r="F11" i="4"/>
  <c r="F19" i="4"/>
  <c r="F12" i="4"/>
  <c r="F18" i="4"/>
  <c r="F9" i="4"/>
  <c r="F13" i="4"/>
  <c r="F17" i="4"/>
  <c r="F21" i="4"/>
  <c r="F15" i="4"/>
  <c r="F9" i="1" l="1"/>
  <c r="F13" i="1"/>
  <c r="F8" i="1"/>
  <c r="F12" i="1"/>
  <c r="F16" i="1"/>
  <c r="F20" i="1"/>
  <c r="F17" i="1"/>
  <c r="F10" i="1"/>
  <c r="F14" i="1"/>
  <c r="F18" i="1"/>
  <c r="F7" i="1"/>
  <c r="F11" i="1"/>
  <c r="F15" i="1"/>
  <c r="F19" i="1"/>
  <c r="C24" i="6" l="1"/>
  <c r="U20" i="4"/>
  <c r="I20" i="4"/>
  <c r="C17" i="6" l="1"/>
  <c r="U13" i="4"/>
  <c r="I13" i="4"/>
  <c r="C20" i="6"/>
  <c r="I16" i="4"/>
  <c r="U16" i="4"/>
  <c r="C18" i="6"/>
  <c r="U14" i="4"/>
  <c r="I14" i="4"/>
  <c r="C21" i="6"/>
  <c r="U17" i="4"/>
  <c r="I17" i="4"/>
  <c r="C19" i="6"/>
  <c r="H19" i="6" s="1"/>
  <c r="V15" i="8" s="1"/>
  <c r="W15" i="8" s="1"/>
  <c r="X15" i="8" s="1"/>
  <c r="U15" i="4"/>
  <c r="I15" i="4"/>
  <c r="C16" i="6"/>
  <c r="U12" i="4"/>
  <c r="I12" i="4"/>
  <c r="C15" i="6"/>
  <c r="U11" i="4"/>
  <c r="I11" i="4"/>
  <c r="C13" i="6"/>
  <c r="U9" i="4"/>
  <c r="I9" i="4"/>
  <c r="V15" i="4" l="1"/>
  <c r="W15" i="4" s="1"/>
  <c r="V15" i="7"/>
  <c r="W15" i="7" s="1"/>
  <c r="X15" i="7" s="1"/>
  <c r="C25" i="6"/>
  <c r="U21" i="4"/>
  <c r="I21" i="4"/>
  <c r="C26" i="6"/>
  <c r="I22" i="4"/>
  <c r="U22" i="4"/>
  <c r="C23" i="6" l="1"/>
  <c r="U19" i="4"/>
  <c r="I19" i="4"/>
  <c r="C14" i="6"/>
  <c r="U10" i="4"/>
  <c r="I10" i="4"/>
  <c r="H23" i="6" l="1"/>
  <c r="V19" i="8" s="1"/>
  <c r="W19" i="8" s="1"/>
  <c r="X19" i="8" s="1"/>
  <c r="G28" i="6"/>
  <c r="V19" i="4" l="1"/>
  <c r="W19" i="4" s="1"/>
  <c r="V19" i="7"/>
  <c r="W19" i="7" s="1"/>
  <c r="X19" i="7" s="1"/>
  <c r="C22" i="6"/>
  <c r="U18" i="4"/>
  <c r="U24" i="4" s="1"/>
  <c r="I18" i="4"/>
  <c r="E24" i="4"/>
  <c r="I24" i="4" l="1"/>
  <c r="H22" i="6"/>
  <c r="V18" i="8" s="1"/>
  <c r="W18" i="8" s="1"/>
  <c r="X18" i="8" s="1"/>
  <c r="C28" i="6"/>
  <c r="V18" i="4" l="1"/>
  <c r="W18" i="4" s="1"/>
  <c r="V18" i="7"/>
  <c r="W18" i="7" s="1"/>
  <c r="X18" i="7" s="1"/>
  <c r="K20" i="4"/>
  <c r="P20" i="4" s="1"/>
  <c r="K15" i="4"/>
  <c r="P15" i="4" s="1"/>
  <c r="K14" i="4"/>
  <c r="P14" i="4" s="1"/>
  <c r="K16" i="4"/>
  <c r="P16" i="4" s="1"/>
  <c r="K17" i="4"/>
  <c r="P17" i="4" s="1"/>
  <c r="K11" i="4"/>
  <c r="P11" i="4" s="1"/>
  <c r="K9" i="4"/>
  <c r="K13" i="4"/>
  <c r="P13" i="4" s="1"/>
  <c r="K12" i="4"/>
  <c r="P12" i="4" s="1"/>
  <c r="K21" i="4"/>
  <c r="P21" i="4" s="1"/>
  <c r="K22" i="4"/>
  <c r="P22" i="4" s="1"/>
  <c r="K19" i="4"/>
  <c r="P19" i="4" s="1"/>
  <c r="K10" i="4"/>
  <c r="P10" i="4" s="1"/>
  <c r="K18" i="4"/>
  <c r="P18" i="4" s="1"/>
  <c r="K24" i="4" l="1"/>
  <c r="P9" i="4"/>
  <c r="C14" i="5" l="1"/>
  <c r="U8" i="1"/>
  <c r="I8" i="1"/>
  <c r="C17" i="5"/>
  <c r="U11" i="1"/>
  <c r="I11" i="1"/>
  <c r="C23" i="5"/>
  <c r="U17" i="1"/>
  <c r="I17" i="1"/>
  <c r="C19" i="5"/>
  <c r="H19" i="5" s="1"/>
  <c r="U13" i="1"/>
  <c r="I13" i="1"/>
  <c r="C24" i="5"/>
  <c r="I18" i="1"/>
  <c r="U18" i="1"/>
  <c r="C16" i="5"/>
  <c r="U10" i="1"/>
  <c r="I10" i="1"/>
  <c r="C20" i="5"/>
  <c r="U14" i="1"/>
  <c r="I14" i="1"/>
  <c r="C15" i="5"/>
  <c r="I9" i="1"/>
  <c r="U9" i="1"/>
  <c r="C13" i="5"/>
  <c r="I7" i="1"/>
  <c r="U7" i="1"/>
  <c r="C21" i="5"/>
  <c r="I15" i="1"/>
  <c r="U15" i="1"/>
  <c r="C18" i="5"/>
  <c r="I12" i="1"/>
  <c r="U12" i="1"/>
  <c r="G28" i="5"/>
  <c r="C25" i="5" l="1"/>
  <c r="U19" i="1"/>
  <c r="I19" i="1"/>
  <c r="C26" i="5"/>
  <c r="U20" i="1"/>
  <c r="I20" i="1"/>
  <c r="C22" i="5"/>
  <c r="I16" i="1"/>
  <c r="U16" i="1"/>
  <c r="E22" i="1"/>
  <c r="H23" i="5"/>
  <c r="V17" i="1" s="1"/>
  <c r="W17" i="1" s="1"/>
  <c r="V13" i="1"/>
  <c r="W13" i="1" s="1"/>
  <c r="U22" i="1" l="1"/>
  <c r="C28" i="5"/>
  <c r="I22" i="1"/>
  <c r="K14" i="1" s="1"/>
  <c r="P14" i="1" s="1"/>
  <c r="R14" i="1" s="1"/>
  <c r="H22" i="5"/>
  <c r="V16" i="1" s="1"/>
  <c r="W16" i="1" s="1"/>
  <c r="K7" i="1" l="1"/>
  <c r="P7" i="1" s="1"/>
  <c r="R7" i="1" s="1"/>
  <c r="K18" i="1"/>
  <c r="P18" i="1" s="1"/>
  <c r="R18" i="1" s="1"/>
  <c r="K19" i="1"/>
  <c r="P19" i="1" s="1"/>
  <c r="R19" i="1" s="1"/>
  <c r="K10" i="1"/>
  <c r="P10" i="1" s="1"/>
  <c r="R10" i="1" s="1"/>
  <c r="K17" i="1"/>
  <c r="P17" i="1" s="1"/>
  <c r="R17" i="1" s="1"/>
  <c r="K13" i="1"/>
  <c r="P13" i="1" s="1"/>
  <c r="R13" i="1" s="1"/>
  <c r="K20" i="1"/>
  <c r="P20" i="1" s="1"/>
  <c r="R20" i="1" s="1"/>
  <c r="K11" i="1"/>
  <c r="P11" i="1" s="1"/>
  <c r="R11" i="1" s="1"/>
  <c r="K12" i="1"/>
  <c r="P12" i="1" s="1"/>
  <c r="R12" i="1" s="1"/>
  <c r="K15" i="1"/>
  <c r="P15" i="1" s="1"/>
  <c r="R15" i="1" s="1"/>
  <c r="K16" i="1"/>
  <c r="P16" i="1" s="1"/>
  <c r="R16" i="1" s="1"/>
  <c r="K9" i="1"/>
  <c r="P9" i="1" s="1"/>
  <c r="R9" i="1" s="1"/>
  <c r="K8" i="1"/>
  <c r="P8" i="1" s="1"/>
  <c r="R8" i="1" s="1"/>
  <c r="K22" i="1" l="1"/>
  <c r="R22" i="1"/>
  <c r="D24" i="6" l="1"/>
  <c r="B24" i="6" s="1"/>
  <c r="J20" i="4"/>
  <c r="H17" i="6"/>
  <c r="V13" i="8" s="1"/>
  <c r="W13" i="8" s="1"/>
  <c r="X13" i="8" s="1"/>
  <c r="H15" i="6"/>
  <c r="V11" i="8" s="1"/>
  <c r="W11" i="8" s="1"/>
  <c r="H20" i="6"/>
  <c r="V16" i="8" s="1"/>
  <c r="W16" i="8" s="1"/>
  <c r="H21" i="6"/>
  <c r="V17" i="8" s="1"/>
  <c r="W17" i="8" s="1"/>
  <c r="H18" i="6"/>
  <c r="V14" i="8" s="1"/>
  <c r="W14" i="8" s="1"/>
  <c r="X14" i="8" s="1"/>
  <c r="H16" i="6"/>
  <c r="H14" i="6"/>
  <c r="X11" i="8" l="1"/>
  <c r="V16" i="4"/>
  <c r="W16" i="4" s="1"/>
  <c r="V16" i="7"/>
  <c r="W16" i="7" s="1"/>
  <c r="V14" i="4"/>
  <c r="W14" i="4" s="1"/>
  <c r="V14" i="7"/>
  <c r="W14" i="7" s="1"/>
  <c r="X14" i="7" s="1"/>
  <c r="V13" i="4"/>
  <c r="W13" i="4" s="1"/>
  <c r="V13" i="7"/>
  <c r="W13" i="7" s="1"/>
  <c r="X13" i="7" s="1"/>
  <c r="V11" i="4"/>
  <c r="W11" i="4" s="1"/>
  <c r="V11" i="7"/>
  <c r="W11" i="7" s="1"/>
  <c r="V17" i="4"/>
  <c r="W17" i="4" s="1"/>
  <c r="V17" i="7"/>
  <c r="W17" i="7" s="1"/>
  <c r="D14" i="6"/>
  <c r="B14" i="6" s="1"/>
  <c r="J10" i="4"/>
  <c r="D17" i="6"/>
  <c r="B17" i="6" s="1"/>
  <c r="J13" i="4"/>
  <c r="D18" i="6"/>
  <c r="B18" i="6" s="1"/>
  <c r="J14" i="4"/>
  <c r="D13" i="6"/>
  <c r="J9" i="4"/>
  <c r="D20" i="6"/>
  <c r="B20" i="6" s="1"/>
  <c r="J16" i="4"/>
  <c r="D21" i="6"/>
  <c r="B21" i="6" s="1"/>
  <c r="J17" i="4"/>
  <c r="D16" i="6"/>
  <c r="B16" i="6" s="1"/>
  <c r="J12" i="4"/>
  <c r="D15" i="6"/>
  <c r="B15" i="6" s="1"/>
  <c r="J11" i="4"/>
  <c r="H13" i="6"/>
  <c r="E28" i="6"/>
  <c r="H24" i="6"/>
  <c r="V20" i="8" s="1"/>
  <c r="W20" i="8" s="1"/>
  <c r="X20" i="8" s="1"/>
  <c r="W24" i="8" l="1"/>
  <c r="V20" i="4"/>
  <c r="W20" i="4" s="1"/>
  <c r="W24" i="4" s="1"/>
  <c r="V20" i="7"/>
  <c r="W20" i="7" s="1"/>
  <c r="X20" i="7" s="1"/>
  <c r="X11" i="7"/>
  <c r="D23" i="6"/>
  <c r="B23" i="6" s="1"/>
  <c r="J19" i="4"/>
  <c r="D19" i="6"/>
  <c r="B19" i="6" s="1"/>
  <c r="J15" i="4"/>
  <c r="B13" i="6"/>
  <c r="H26" i="6"/>
  <c r="W24" i="7" l="1"/>
  <c r="D26" i="6"/>
  <c r="B26" i="6" s="1"/>
  <c r="J22" i="4"/>
  <c r="D25" i="6"/>
  <c r="B25" i="6" s="1"/>
  <c r="J21" i="4"/>
  <c r="D22" i="6"/>
  <c r="J18" i="4"/>
  <c r="F24" i="4"/>
  <c r="H25" i="6"/>
  <c r="F28" i="6"/>
  <c r="J24" i="4" l="1"/>
  <c r="L22" i="4" s="1"/>
  <c r="Q22" i="4" s="1"/>
  <c r="B22" i="6"/>
  <c r="D28" i="6"/>
  <c r="L19" i="4" l="1"/>
  <c r="Q19" i="4" s="1"/>
  <c r="L20" i="4"/>
  <c r="Q20" i="4" s="1"/>
  <c r="L9" i="4"/>
  <c r="L14" i="4"/>
  <c r="Q14" i="4" s="1"/>
  <c r="L17" i="4"/>
  <c r="Q17" i="4" s="1"/>
  <c r="L12" i="4"/>
  <c r="Q12" i="4" s="1"/>
  <c r="L10" i="4"/>
  <c r="Q10" i="4" s="1"/>
  <c r="L16" i="4"/>
  <c r="Q16" i="4" s="1"/>
  <c r="L13" i="4"/>
  <c r="Q13" i="4" s="1"/>
  <c r="L11" i="4"/>
  <c r="Q11" i="4" s="1"/>
  <c r="L15" i="4"/>
  <c r="Q15" i="4" s="1"/>
  <c r="L18" i="4"/>
  <c r="Q18" i="4" s="1"/>
  <c r="L21" i="4"/>
  <c r="Q21" i="4" s="1"/>
  <c r="L24" i="4" l="1"/>
  <c r="Q9" i="4"/>
  <c r="H18" i="5" l="1"/>
  <c r="V12" i="1" s="1"/>
  <c r="W12" i="1" s="1"/>
  <c r="H14" i="5"/>
  <c r="H20" i="5"/>
  <c r="V14" i="1" s="1"/>
  <c r="W14" i="1" s="1"/>
  <c r="H16" i="5"/>
  <c r="H15" i="5"/>
  <c r="V9" i="1" s="1"/>
  <c r="W9" i="1" s="1"/>
  <c r="H17" i="5"/>
  <c r="V11" i="1" s="1"/>
  <c r="W11" i="1" s="1"/>
  <c r="D18" i="5" l="1"/>
  <c r="B18" i="5" s="1"/>
  <c r="J12" i="1"/>
  <c r="D13" i="5"/>
  <c r="J7" i="1"/>
  <c r="H21" i="5"/>
  <c r="V15" i="1" s="1"/>
  <c r="W15" i="1" s="1"/>
  <c r="H26" i="5"/>
  <c r="H13" i="5"/>
  <c r="H25" i="5"/>
  <c r="D16" i="5" l="1"/>
  <c r="B16" i="5" s="1"/>
  <c r="J10" i="1"/>
  <c r="D24" i="5"/>
  <c r="B24" i="5" s="1"/>
  <c r="J18" i="1"/>
  <c r="D19" i="5"/>
  <c r="B19" i="5" s="1"/>
  <c r="J13" i="1"/>
  <c r="D17" i="5"/>
  <c r="B17" i="5" s="1"/>
  <c r="J11" i="1"/>
  <c r="D14" i="5"/>
  <c r="B14" i="5" s="1"/>
  <c r="J8" i="1"/>
  <c r="D15" i="5"/>
  <c r="B15" i="5" s="1"/>
  <c r="J9" i="1"/>
  <c r="D20" i="5"/>
  <c r="B20" i="5" s="1"/>
  <c r="J14" i="1"/>
  <c r="D23" i="5"/>
  <c r="B23" i="5" s="1"/>
  <c r="J17" i="1"/>
  <c r="F28" i="5"/>
  <c r="E28" i="5"/>
  <c r="H24" i="5"/>
  <c r="V18" i="1" s="1"/>
  <c r="W18" i="1" s="1"/>
  <c r="W22" i="1" s="1"/>
  <c r="B13" i="5"/>
  <c r="D21" i="5" l="1"/>
  <c r="B21" i="5" s="1"/>
  <c r="J15" i="1"/>
  <c r="F22" i="1"/>
  <c r="D22" i="5"/>
  <c r="B22" i="5" s="1"/>
  <c r="J16" i="1"/>
  <c r="D26" i="5"/>
  <c r="B26" i="5" s="1"/>
  <c r="J20" i="1"/>
  <c r="D25" i="5"/>
  <c r="B25" i="5" s="1"/>
  <c r="J19" i="1"/>
  <c r="J22" i="1" l="1"/>
  <c r="D28" i="5"/>
  <c r="L19" i="1" l="1"/>
  <c r="Q19" i="1" s="1"/>
  <c r="S19" i="1" s="1"/>
  <c r="T19" i="1" s="1"/>
  <c r="Z14" i="1"/>
  <c r="AA14" i="1"/>
  <c r="L18" i="1"/>
  <c r="Q18" i="1" s="1"/>
  <c r="L11" i="1"/>
  <c r="Q11" i="1" s="1"/>
  <c r="L15" i="1"/>
  <c r="Q15" i="1" s="1"/>
  <c r="L9" i="1"/>
  <c r="Q9" i="1" s="1"/>
  <c r="L8" i="1"/>
  <c r="Q8" i="1" s="1"/>
  <c r="L7" i="1"/>
  <c r="Q7" i="1" s="1"/>
  <c r="S7" i="1" s="1"/>
  <c r="L20" i="1"/>
  <c r="Q20" i="1" s="1"/>
  <c r="L10" i="1"/>
  <c r="Q10" i="1" s="1"/>
  <c r="L13" i="1"/>
  <c r="Q13" i="1" s="1"/>
  <c r="AA15" i="1"/>
  <c r="L16" i="1"/>
  <c r="Q16" i="1" s="1"/>
  <c r="L17" i="1"/>
  <c r="Q17" i="1" s="1"/>
  <c r="L14" i="1"/>
  <c r="Q14" i="1" s="1"/>
  <c r="L12" i="1"/>
  <c r="Q12" i="1" s="1"/>
  <c r="Z15" i="1"/>
  <c r="Y19" i="1" l="1"/>
  <c r="S11" i="1"/>
  <c r="T11" i="1" s="1"/>
  <c r="S13" i="1"/>
  <c r="T13" i="1" s="1"/>
  <c r="S8" i="1"/>
  <c r="T8" i="1" s="1"/>
  <c r="S18" i="1"/>
  <c r="T18" i="1" s="1"/>
  <c r="S10" i="1"/>
  <c r="T10" i="1" s="1"/>
  <c r="S9" i="1"/>
  <c r="T9" i="1" s="1"/>
  <c r="S12" i="1"/>
  <c r="T12" i="1" s="1"/>
  <c r="S14" i="1"/>
  <c r="S17" i="1"/>
  <c r="T17" i="1" s="1"/>
  <c r="S16" i="1"/>
  <c r="T16" i="1" s="1"/>
  <c r="S20" i="1"/>
  <c r="T20" i="1" s="1"/>
  <c r="S15" i="1"/>
  <c r="T15" i="1" s="1"/>
  <c r="L22" i="1"/>
  <c r="T7" i="1"/>
  <c r="X9" i="1" l="1"/>
  <c r="X13" i="1"/>
  <c r="X17" i="1"/>
  <c r="Y10" i="1"/>
  <c r="X11" i="1"/>
  <c r="Y7" i="1"/>
  <c r="X18" i="1"/>
  <c r="X16" i="1"/>
  <c r="Y20" i="1"/>
  <c r="X12" i="1"/>
  <c r="Y8" i="1"/>
  <c r="S22" i="1"/>
  <c r="T14" i="1"/>
  <c r="R14" i="4" l="1"/>
  <c r="R15" i="4"/>
  <c r="R20" i="4"/>
  <c r="R18" i="4"/>
  <c r="R10" i="4"/>
  <c r="R19" i="4"/>
  <c r="R21" i="4"/>
  <c r="R12" i="4"/>
  <c r="R13" i="4"/>
  <c r="R22" i="4"/>
  <c r="R11" i="4"/>
  <c r="R17" i="4"/>
  <c r="R16" i="4"/>
  <c r="R9" i="4"/>
  <c r="AA16" i="4"/>
  <c r="AA17" i="4"/>
  <c r="Z17" i="4"/>
  <c r="S22" i="4"/>
  <c r="T22" i="4" s="1"/>
  <c r="Y22" i="4" s="1"/>
  <c r="Z16" i="4"/>
  <c r="S12" i="4"/>
  <c r="T12" i="4" s="1"/>
  <c r="Y12" i="4" s="1"/>
  <c r="S17" i="4"/>
  <c r="S14" i="4"/>
  <c r="S20" i="4"/>
  <c r="T20" i="4" s="1"/>
  <c r="X20" i="4" s="1"/>
  <c r="S19" i="4"/>
  <c r="S15" i="4"/>
  <c r="S21" i="4"/>
  <c r="S18" i="4"/>
  <c r="S10" i="4"/>
  <c r="S11" i="4"/>
  <c r="S13" i="4"/>
  <c r="S16" i="4"/>
  <c r="S9" i="4"/>
  <c r="T10" i="4" l="1"/>
  <c r="Y10" i="4" s="1"/>
  <c r="T16" i="4"/>
  <c r="S24" i="4"/>
  <c r="T19" i="4"/>
  <c r="X19" i="4" s="1"/>
  <c r="T15" i="4"/>
  <c r="X15" i="4" s="1"/>
  <c r="T11" i="4"/>
  <c r="X11" i="4" s="1"/>
  <c r="T18" i="4"/>
  <c r="X18" i="4" s="1"/>
  <c r="T13" i="4"/>
  <c r="X13" i="4" s="1"/>
  <c r="T21" i="4"/>
  <c r="Y21" i="4" s="1"/>
  <c r="T14" i="4"/>
  <c r="X14" i="4" s="1"/>
  <c r="R24" i="4"/>
  <c r="T9" i="4"/>
  <c r="Y9" i="4" s="1"/>
  <c r="T17" i="4"/>
</calcChain>
</file>

<file path=xl/sharedStrings.xml><?xml version="1.0" encoding="utf-8"?>
<sst xmlns="http://schemas.openxmlformats.org/spreadsheetml/2006/main" count="924" uniqueCount="127">
  <si>
    <t>SL-1</t>
  </si>
  <si>
    <t>OL-1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</si>
  <si>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</si>
  <si>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</si>
  <si>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</si>
  <si>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</si>
  <si>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</si>
  <si>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</si>
  <si>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</si>
  <si>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</si>
  <si>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</si>
  <si>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</si>
  <si>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</si>
  <si>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</si>
  <si>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</si>
  <si>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</si>
  <si>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</si>
  <si>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</si>
  <si>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</si>
  <si>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</si>
  <si>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</si>
  <si>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</si>
  <si>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</si>
  <si>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</si>
  <si>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</si>
  <si>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</si>
  <si>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</si>
  <si>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</si>
  <si>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</si>
  <si>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</si>
  <si>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</si>
  <si>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</si>
  <si>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</si>
  <si>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</si>
  <si>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</si>
  <si>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</si>
  <si>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</si>
  <si>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</si>
  <si>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</si>
  <si>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</si>
  <si>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</si>
  <si>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</si>
  <si>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</si>
  <si>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</si>
  <si>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</si>
  <si>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RS(T)-1</t>
  </si>
  <si>
    <t>RS1/RST1</t>
  </si>
  <si>
    <t>-</t>
  </si>
  <si>
    <t>GS(T)-1</t>
  </si>
  <si>
    <t>GS1/GST1</t>
  </si>
  <si>
    <t>GS1/GST1/WIES1</t>
  </si>
  <si>
    <t>GSD(T)-1</t>
  </si>
  <si>
    <t>GSD1/GSDT1/HLFT1 (21-499 kW)</t>
  </si>
  <si>
    <t>OS-2</t>
  </si>
  <si>
    <t>OS2</t>
  </si>
  <si>
    <t>GSLD(T)-1</t>
  </si>
  <si>
    <t>GSLD1/GSLDT1/CS1/CST1/HLFT2 (500-1,999 kW)</t>
  </si>
  <si>
    <t>GSLD(T)-2</t>
  </si>
  <si>
    <t>GSLD2/GSLDT2/CS2/CST2/HLFT3(2,000+ kW)</t>
  </si>
  <si>
    <t>GSLD2/GSLDT2/CS2/CST2/HLFT3 (2,000+ kW)</t>
  </si>
  <si>
    <t>GSLD(T)-3</t>
  </si>
  <si>
    <t>GSLD3/GSLDT3/CS3/CST3</t>
  </si>
  <si>
    <t>SST-TST</t>
  </si>
  <si>
    <t>SST-DST</t>
  </si>
  <si>
    <t>CILC-1D</t>
  </si>
  <si>
    <t>CILC D/CILC G</t>
  </si>
  <si>
    <t>CILC-1T</t>
  </si>
  <si>
    <t>CILC T</t>
  </si>
  <si>
    <t>MET</t>
  </si>
  <si>
    <t>OL1/SL1/PL1</t>
  </si>
  <si>
    <t>SL2, GSCU1</t>
  </si>
  <si>
    <t>SL2/GSCU1</t>
  </si>
  <si>
    <t>TOTAL</t>
  </si>
  <si>
    <t>CILC-1G</t>
  </si>
  <si>
    <t>GSCU-1</t>
  </si>
  <si>
    <t>SL-2</t>
  </si>
  <si>
    <t>SST1T/ISST1T</t>
  </si>
  <si>
    <t>SST1D1/SST1D2/SST1D3/ISST1D</t>
  </si>
  <si>
    <t>GSD(T)-1 / HLFT-1 / SDTR-1A &amp; 1B</t>
  </si>
  <si>
    <t>GSLD(T)-1 / CS(T)-1 / HLFT-2 / SDTR-2A &amp; 2B</t>
  </si>
  <si>
    <t>GSLD(T)-2 / CS(T)-2 / HLFT-3 / SDTR-3A &amp; 3B</t>
  </si>
  <si>
    <t>GSLD(T)-3 / CS(T)-3</t>
  </si>
  <si>
    <t>SST-1T</t>
  </si>
  <si>
    <t>SST-1D</t>
  </si>
  <si>
    <t>CILC-1D/CILC-1G</t>
  </si>
  <si>
    <t>OL-1 / SL-1</t>
  </si>
  <si>
    <t>SL-2 / GSCU-1</t>
  </si>
  <si>
    <t>RATE LOAD RESEARCH INPUT</t>
  </si>
  <si>
    <t>(Utilized for calculation of recovery factors for the capacity, environmental, and conservation clauses)</t>
  </si>
  <si>
    <t>RATE</t>
  </si>
  <si>
    <t>ANNUAL</t>
  </si>
  <si>
    <t>LOAD FACTOR</t>
  </si>
  <si>
    <t>CLASS</t>
  </si>
  <si>
    <t>SALES</t>
  </si>
  <si>
    <t>(KW) (3)</t>
  </si>
  <si>
    <t>AVG 12 GCP (4)</t>
  </si>
  <si>
    <t xml:space="preserve">AVG 12 NCP (5) </t>
  </si>
  <si>
    <t xml:space="preserve">AVG 12 NCP on Peak (6) </t>
  </si>
  <si>
    <t>LF % (7)</t>
  </si>
  <si>
    <t>% (1)</t>
  </si>
  <si>
    <t>(KWH) (2)</t>
  </si>
  <si>
    <t>(kW) (2)</t>
  </si>
  <si>
    <t>Notes:</t>
  </si>
  <si>
    <t xml:space="preserve">     (1)  AVG 12 CP LF = (KWH / 8760 / AVG 12 CP) * 100</t>
  </si>
  <si>
    <t xml:space="preserve">     (2)  Source:  2010 Rate Case</t>
  </si>
  <si>
    <t xml:space="preserve">     (3)  Source:  2010 Rate Case</t>
  </si>
  <si>
    <t xml:space="preserve">     (4)  AVG 12 GCP was used for MET.</t>
  </si>
  <si>
    <t xml:space="preserve">     (5)  AVG 12 NCP was used for RS(T)-1, GS(T)-1, GSD(T)-1, GSLD(T)-1, GSLD(T)-2, SST-1T, SST-1D, OS-2, OL-1/SL-1, SL-2/GSCU-1</t>
  </si>
  <si>
    <t xml:space="preserve">     (6) AVG 12 On Peak NCP was used for CILC-1D/CILC-1G, CILC-1T and GSLD(T)-3 </t>
  </si>
  <si>
    <t xml:space="preserve">     (7)  LF% = (KWH / 8760 / AVG 12 NCP or AVG 12 On Peak NCP or AVG 12 GCP as applicable (refer to note 5)) * 100</t>
  </si>
  <si>
    <t xml:space="preserve">     (8)  Totals may not add due to rounding</t>
  </si>
  <si>
    <t>RDC</t>
  </si>
  <si>
    <t>SDD</t>
  </si>
  <si>
    <t>January 2018 through December 2018</t>
  </si>
  <si>
    <t>Can come from Load FC by Rate Class - Individual Rate Class Tabs</t>
  </si>
  <si>
    <t>Must come from E-10</t>
  </si>
  <si>
    <t>CILC-1D &amp; CILC-1G</t>
  </si>
  <si>
    <t>OL-1 &amp; SL-1</t>
  </si>
  <si>
    <t>GSCU-1&amp; SL-2</t>
  </si>
  <si>
    <t>January 2017 through December 2017</t>
  </si>
  <si>
    <t>OPC 006722</t>
  </si>
  <si>
    <t>FPL RC-16</t>
  </si>
  <si>
    <t>OPC 006723</t>
  </si>
  <si>
    <t>OPC 006724</t>
  </si>
  <si>
    <t>OPC 006725</t>
  </si>
  <si>
    <t>OPC 006726</t>
  </si>
  <si>
    <t>OPC 006727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</si>
</sst>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%"/>
    <numFmt numFmtId="166" formatCode="0.00000%"/>
    <numFmt numFmtId="167" formatCode="0.00000_)"/>
    <numFmt numFmtId="168" formatCode="0.00_)"/>
    <numFmt numFmtId="169" formatCode="_(* #,##0_);_(* \(#,##0\);_(* &quot;-&quot;??_);_(@_)"/>
    <numFmt numFmtId="170" formatCode="0.0000%"/>
    <numFmt numFmtId="171" formatCode="0.000000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theme="3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9" fillId="3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5" applyFont="1"/>
    <xf numFmtId="0" fontId="4" fillId="0" borderId="0" xfId="5" quotePrefix="1" applyFont="1" applyAlignment="1">
      <alignment horizontal="left"/>
    </xf>
    <xf numFmtId="0" fontId="4" fillId="0" borderId="0" xfId="5"/>
    <xf numFmtId="0" fontId="5" fillId="0" borderId="0" xfId="5" applyFont="1"/>
    <xf numFmtId="165" fontId="4" fillId="0" borderId="0" xfId="6" applyNumberFormat="1" applyFont="1"/>
    <xf numFmtId="169" fontId="4" fillId="0" borderId="0" xfId="7" applyNumberFormat="1"/>
    <xf numFmtId="169" fontId="4" fillId="0" borderId="0" xfId="7" applyNumberFormat="1" applyFont="1"/>
    <xf numFmtId="0" fontId="7" fillId="0" borderId="0" xfId="5" applyFont="1" applyAlignment="1">
      <alignment horizontal="center"/>
    </xf>
    <xf numFmtId="165" fontId="7" fillId="0" borderId="0" xfId="6" applyNumberFormat="1" applyFont="1" applyAlignment="1">
      <alignment horizontal="center"/>
    </xf>
    <xf numFmtId="169" fontId="7" fillId="0" borderId="0" xfId="7" applyNumberFormat="1" applyFont="1" applyAlignment="1">
      <alignment horizontal="center"/>
    </xf>
    <xf numFmtId="169" fontId="7" fillId="0" borderId="0" xfId="7" applyNumberFormat="1" applyFont="1"/>
    <xf numFmtId="169" fontId="7" fillId="0" borderId="0" xfId="7" applyNumberFormat="1" applyFont="1" applyBorder="1" applyAlignment="1">
      <alignment horizontal="center"/>
    </xf>
    <xf numFmtId="169" fontId="7" fillId="0" borderId="0" xfId="7" applyNumberFormat="1" applyFont="1" applyAlignment="1">
      <alignment horizontal="center" wrapText="1"/>
    </xf>
    <xf numFmtId="169" fontId="7" fillId="0" borderId="0" xfId="7" quotePrefix="1" applyNumberFormat="1" applyFont="1" applyAlignment="1">
      <alignment horizontal="center"/>
    </xf>
    <xf numFmtId="0" fontId="7" fillId="0" borderId="2" xfId="5" applyFont="1" applyBorder="1" applyAlignment="1">
      <alignment horizontal="center"/>
    </xf>
    <xf numFmtId="165" fontId="7" fillId="0" borderId="2" xfId="6" applyNumberFormat="1" applyFont="1" applyBorder="1" applyAlignment="1">
      <alignment horizontal="center"/>
    </xf>
    <xf numFmtId="169" fontId="7" fillId="0" borderId="2" xfId="7" quotePrefix="1" applyNumberFormat="1" applyFont="1" applyBorder="1" applyAlignment="1">
      <alignment horizontal="center"/>
    </xf>
    <xf numFmtId="169" fontId="7" fillId="0" borderId="2" xfId="7" applyNumberFormat="1" applyFont="1" applyBorder="1" applyAlignment="1">
      <alignment horizontal="center"/>
    </xf>
    <xf numFmtId="165" fontId="4" fillId="0" borderId="0" xfId="6" applyNumberFormat="1" applyFont="1" applyBorder="1"/>
    <xf numFmtId="166" fontId="4" fillId="0" borderId="0" xfId="6" applyNumberFormat="1" applyFont="1" applyBorder="1"/>
    <xf numFmtId="169" fontId="4" fillId="0" borderId="3" xfId="7" applyNumberFormat="1" applyBorder="1"/>
    <xf numFmtId="169" fontId="10" fillId="0" borderId="0" xfId="7" applyNumberFormat="1" applyFont="1"/>
    <xf numFmtId="0" fontId="11" fillId="0" borderId="0" xfId="5" quotePrefix="1" applyFont="1" applyAlignment="1">
      <alignment horizontal="left"/>
    </xf>
    <xf numFmtId="165" fontId="11" fillId="0" borderId="0" xfId="6" applyNumberFormat="1" applyFont="1" applyBorder="1"/>
    <xf numFmtId="169" fontId="11" fillId="0" borderId="0" xfId="7" applyNumberFormat="1" applyFont="1"/>
    <xf numFmtId="169" fontId="12" fillId="0" borderId="0" xfId="7" applyNumberFormat="1" applyFont="1"/>
    <xf numFmtId="166" fontId="11" fillId="0" borderId="0" xfId="6" applyNumberFormat="1" applyFont="1" applyBorder="1"/>
    <xf numFmtId="0" fontId="11" fillId="0" borderId="0" xfId="5" applyFont="1"/>
    <xf numFmtId="169" fontId="4" fillId="2" borderId="0" xfId="7" applyNumberFormat="1" applyFill="1"/>
    <xf numFmtId="169" fontId="4" fillId="2" borderId="0" xfId="7" applyNumberFormat="1" applyFont="1" applyFill="1"/>
    <xf numFmtId="3" fontId="13" fillId="0" borderId="0" xfId="2" applyNumberFormat="1" applyFont="1" applyProtection="1"/>
    <xf numFmtId="169" fontId="12" fillId="0" borderId="0" xfId="7" applyNumberFormat="1" applyFont="1" applyFill="1"/>
    <xf numFmtId="166" fontId="11" fillId="0" borderId="0" xfId="6" applyNumberFormat="1" applyFont="1" applyFill="1" applyBorder="1"/>
    <xf numFmtId="169" fontId="10" fillId="0" borderId="0" xfId="7" applyNumberFormat="1" applyFont="1" applyFill="1"/>
    <xf numFmtId="166" fontId="4" fillId="0" borderId="0" xfId="6" applyNumberFormat="1" applyFont="1" applyFill="1" applyBorder="1"/>
    <xf numFmtId="164" fontId="14" fillId="0" borderId="0" xfId="2" applyFont="1" applyFill="1"/>
    <xf numFmtId="164" fontId="14" fillId="0" borderId="0" xfId="2" applyNumberFormat="1" applyFont="1" applyFill="1" applyAlignment="1" applyProtection="1">
      <alignment horizontal="center"/>
    </xf>
    <xf numFmtId="164" fontId="14" fillId="0" borderId="0" xfId="2" applyNumberFormat="1" applyFont="1" applyFill="1" applyAlignment="1" applyProtection="1">
      <alignment horizontal="left"/>
    </xf>
    <xf numFmtId="9" fontId="14" fillId="0" borderId="0" xfId="4" applyFont="1" applyFill="1" applyAlignment="1">
      <alignment horizontal="center"/>
    </xf>
    <xf numFmtId="164" fontId="14" fillId="0" borderId="0" xfId="2" applyNumberFormat="1" applyFont="1" applyFill="1" applyProtection="1"/>
    <xf numFmtId="166" fontId="14" fillId="0" borderId="0" xfId="2" applyNumberFormat="1" applyFont="1" applyFill="1" applyProtection="1"/>
    <xf numFmtId="164" fontId="16" fillId="0" borderId="0" xfId="2" applyNumberFormat="1" applyFont="1" applyFill="1" applyAlignment="1" applyProtection="1">
      <alignment horizontal="center"/>
    </xf>
    <xf numFmtId="167" fontId="14" fillId="0" borderId="0" xfId="2" applyNumberFormat="1" applyFont="1" applyFill="1" applyAlignment="1" applyProtection="1">
      <alignment horizontal="center"/>
    </xf>
    <xf numFmtId="168" fontId="14" fillId="0" borderId="0" xfId="2" applyNumberFormat="1" applyFont="1" applyFill="1" applyAlignment="1" applyProtection="1">
      <alignment horizontal="center"/>
    </xf>
    <xf numFmtId="165" fontId="16" fillId="0" borderId="0" xfId="3" applyNumberFormat="1" applyFont="1" applyFill="1" applyProtection="1"/>
    <xf numFmtId="43" fontId="16" fillId="0" borderId="0" xfId="1" applyFont="1" applyFill="1" applyProtection="1"/>
    <xf numFmtId="5" fontId="14" fillId="0" borderId="0" xfId="0" applyNumberFormat="1" applyFont="1" applyFill="1"/>
    <xf numFmtId="168" fontId="14" fillId="0" borderId="0" xfId="2" applyNumberFormat="1" applyFont="1" applyFill="1" applyProtection="1"/>
    <xf numFmtId="164" fontId="16" fillId="0" borderId="0" xfId="2" applyFont="1" applyFill="1" applyAlignment="1">
      <alignment horizontal="center"/>
    </xf>
    <xf numFmtId="167" fontId="14" fillId="0" borderId="0" xfId="2" applyNumberFormat="1" applyFont="1" applyFill="1" applyProtection="1"/>
    <xf numFmtId="0" fontId="15" fillId="0" borderId="0" xfId="0" applyFont="1" applyFill="1"/>
    <xf numFmtId="165" fontId="14" fillId="0" borderId="0" xfId="0" applyNumberFormat="1" applyFont="1" applyFill="1" applyProtection="1"/>
    <xf numFmtId="3" fontId="14" fillId="0" borderId="0" xfId="2" applyNumberFormat="1" applyFont="1" applyFill="1" applyProtection="1"/>
    <xf numFmtId="37" fontId="14" fillId="0" borderId="0" xfId="0" applyNumberFormat="1" applyFont="1" applyFill="1" applyProtection="1"/>
    <xf numFmtId="171" fontId="14" fillId="0" borderId="0" xfId="2" applyNumberFormat="1" applyFont="1" applyFill="1" applyProtection="1"/>
    <xf numFmtId="37" fontId="14" fillId="0" borderId="0" xfId="2" applyNumberFormat="1" applyFont="1" applyFill="1" applyProtection="1"/>
    <xf numFmtId="170" fontId="14" fillId="0" borderId="0" xfId="2" applyNumberFormat="1" applyFont="1" applyFill="1" applyProtection="1"/>
    <xf numFmtId="0" fontId="14" fillId="0" borderId="0" xfId="5" applyFont="1" applyFill="1"/>
    <xf numFmtId="5" fontId="14" fillId="0" borderId="0" xfId="2" applyNumberFormat="1" applyFont="1" applyFill="1" applyProtection="1"/>
    <xf numFmtId="0" fontId="14" fillId="0" borderId="0" xfId="5" quotePrefix="1" applyFont="1" applyFill="1" applyAlignment="1">
      <alignment horizontal="left"/>
    </xf>
    <xf numFmtId="38" fontId="14" fillId="0" borderId="0" xfId="2" applyNumberFormat="1" applyFont="1" applyFill="1" applyProtection="1"/>
    <xf numFmtId="165" fontId="15" fillId="0" borderId="0" xfId="4" applyNumberFormat="1" applyFont="1" applyFill="1"/>
    <xf numFmtId="170" fontId="14" fillId="0" borderId="0" xfId="4" applyNumberFormat="1" applyFont="1" applyFill="1"/>
    <xf numFmtId="10" fontId="14" fillId="0" borderId="0" xfId="2" applyNumberFormat="1" applyFont="1" applyFill="1" applyProtection="1"/>
    <xf numFmtId="170" fontId="15" fillId="0" borderId="0" xfId="4" applyNumberFormat="1" applyFont="1" applyFill="1"/>
    <xf numFmtId="9" fontId="15" fillId="0" borderId="0" xfId="4" applyFont="1" applyFill="1"/>
    <xf numFmtId="5" fontId="15" fillId="0" borderId="0" xfId="0" applyNumberFormat="1" applyFont="1" applyFill="1"/>
    <xf numFmtId="9" fontId="16" fillId="0" borderId="0" xfId="2" applyNumberFormat="1" applyFont="1" applyFill="1" applyAlignment="1" applyProtection="1">
      <alignment horizontal="center"/>
    </xf>
    <xf numFmtId="44" fontId="14" fillId="4" borderId="0" xfId="2" applyNumberFormat="1" applyFont="1" applyFill="1" applyProtection="1"/>
    <xf numFmtId="0" fontId="5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169" fontId="7" fillId="0" borderId="0" xfId="7" applyNumberFormat="1" applyFont="1" applyAlignment="1">
      <alignment horizontal="center"/>
    </xf>
    <xf numFmtId="164" fontId="17" fillId="0" borderId="0" xfId="2" applyFont="1" applyFill="1"/>
  </cellXfs>
  <cellStyles count="19">
    <cellStyle name="Comma" xfId="1" builtinId="3"/>
    <cellStyle name="Comma 2" xfId="8"/>
    <cellStyle name="Comma 3" xfId="9"/>
    <cellStyle name="Comma 4" xfId="7"/>
    <cellStyle name="Normal" xfId="0" builtinId="0"/>
    <cellStyle name="Normal 2" xfId="10"/>
    <cellStyle name="Normal 3" xfId="11"/>
    <cellStyle name="Normal 4" xfId="12"/>
    <cellStyle name="Normal 4 2" xfId="13"/>
    <cellStyle name="Normal 5" xfId="14"/>
    <cellStyle name="Normal 6" xfId="5"/>
    <cellStyle name="Normal_Capacity factor 2009 projected 06 03 2008" xfId="3"/>
    <cellStyle name="Normal_D2CPO495" xfId="2"/>
    <cellStyle name="Note 2" xfId="15"/>
    <cellStyle name="Percent" xfId="4" builtinId="5"/>
    <cellStyle name="Percent 2" xfId="16"/>
    <cellStyle name="Percent 3" xfId="17"/>
    <cellStyle name="Percent 4" xfId="18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N1" zoomScaleNormal="100" workbookViewId="0">
      <selection activeCell="N1" sqref="N1:N2"/>
    </sheetView>
  </sheetViews>
  <sheetFormatPr defaultColWidth="9.109375" defaultRowHeight="13.8" x14ac:dyDescent="0.3"/>
  <cols>
    <col min="1" max="1" width="0" style="51" hidden="1" customWidth="1"/>
    <col min="2" max="2" width="13.6640625" style="51" hidden="1" customWidth="1"/>
    <col min="3" max="3" width="31.33203125" style="51" customWidth="1"/>
    <col min="4" max="4" width="14.88671875" style="51" customWidth="1"/>
    <col min="5" max="5" width="15" style="51" bestFit="1" customWidth="1"/>
    <col min="6" max="6" width="12" style="51" bestFit="1" customWidth="1"/>
    <col min="7" max="7" width="11.109375" style="51" customWidth="1"/>
    <col min="8" max="8" width="12.88671875" style="51" customWidth="1"/>
    <col min="9" max="9" width="15" style="51" bestFit="1" customWidth="1"/>
    <col min="10" max="10" width="10.44140625" style="51" bestFit="1" customWidth="1"/>
    <col min="11" max="11" width="9.44140625" style="51" bestFit="1" customWidth="1"/>
    <col min="12" max="12" width="10.44140625" style="51" bestFit="1" customWidth="1"/>
    <col min="13" max="13" width="4.6640625" style="51" customWidth="1"/>
    <col min="14" max="14" width="32.33203125" style="51" customWidth="1"/>
    <col min="15" max="15" width="32.5546875" style="51" hidden="1" customWidth="1"/>
    <col min="16" max="16" width="12.88671875" style="51" customWidth="1"/>
    <col min="17" max="17" width="19.33203125" style="51" customWidth="1"/>
    <col min="18" max="19" width="12.44140625" style="51" bestFit="1" customWidth="1"/>
    <col min="20" max="20" width="15.5546875" style="51" bestFit="1" customWidth="1"/>
    <col min="21" max="21" width="15" style="51" bestFit="1" customWidth="1"/>
    <col min="22" max="22" width="10.88671875" style="51" bestFit="1" customWidth="1"/>
    <col min="23" max="23" width="12.44140625" style="51" bestFit="1" customWidth="1"/>
    <col min="24" max="24" width="8" style="51" bestFit="1" customWidth="1"/>
    <col min="25" max="25" width="9" style="51" bestFit="1" customWidth="1"/>
    <col min="26" max="27" width="6.5546875" style="51" bestFit="1" customWidth="1"/>
    <col min="28" max="16384" width="9.109375" style="51"/>
  </cols>
  <sheetData>
    <row r="1" spans="1:30" x14ac:dyDescent="0.3">
      <c r="B1" s="36">
        <v>0</v>
      </c>
      <c r="C1" s="36"/>
      <c r="D1" s="37" t="s">
        <v>2</v>
      </c>
      <c r="E1" s="37" t="s">
        <v>3</v>
      </c>
      <c r="F1" s="37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37" t="s">
        <v>9</v>
      </c>
      <c r="L1" s="37" t="s">
        <v>10</v>
      </c>
      <c r="M1" s="36"/>
      <c r="N1" s="73" t="s">
        <v>120</v>
      </c>
      <c r="O1" s="36"/>
      <c r="P1" s="37" t="s">
        <v>2</v>
      </c>
      <c r="Q1" s="37" t="s">
        <v>3</v>
      </c>
      <c r="R1" s="37" t="s">
        <v>4</v>
      </c>
      <c r="S1" s="37" t="s">
        <v>5</v>
      </c>
      <c r="T1" s="37" t="s">
        <v>6</v>
      </c>
      <c r="U1" s="37" t="s">
        <v>7</v>
      </c>
      <c r="V1" s="37" t="s">
        <v>8</v>
      </c>
      <c r="W1" s="37" t="s">
        <v>9</v>
      </c>
      <c r="X1" s="37" t="s">
        <v>10</v>
      </c>
      <c r="Y1" s="37" t="s">
        <v>11</v>
      </c>
    </row>
    <row r="2" spans="1:30" x14ac:dyDescent="0.3">
      <c r="B2" s="36"/>
      <c r="C2" s="36"/>
      <c r="D2" s="37" t="s">
        <v>12</v>
      </c>
      <c r="E2" s="37" t="s">
        <v>13</v>
      </c>
      <c r="F2" s="37" t="s">
        <v>13</v>
      </c>
      <c r="G2" s="37" t="s">
        <v>14</v>
      </c>
      <c r="H2" s="37" t="s">
        <v>15</v>
      </c>
      <c r="I2" s="37" t="s">
        <v>13</v>
      </c>
      <c r="J2" s="37" t="s">
        <v>13</v>
      </c>
      <c r="K2" s="37" t="s">
        <v>16</v>
      </c>
      <c r="L2" s="37" t="s">
        <v>16</v>
      </c>
      <c r="M2" s="36"/>
      <c r="N2" s="73" t="s">
        <v>121</v>
      </c>
      <c r="O2" s="36"/>
      <c r="P2" s="37" t="s">
        <v>16</v>
      </c>
      <c r="Q2" s="37" t="s">
        <v>16</v>
      </c>
      <c r="R2" s="37" t="s">
        <v>15</v>
      </c>
      <c r="S2" s="37" t="s">
        <v>14</v>
      </c>
      <c r="T2" s="37" t="s">
        <v>17</v>
      </c>
      <c r="U2" s="37" t="s">
        <v>13</v>
      </c>
      <c r="V2" s="37" t="s">
        <v>18</v>
      </c>
      <c r="W2" s="37" t="s">
        <v>19</v>
      </c>
      <c r="X2" s="37" t="s">
        <v>20</v>
      </c>
      <c r="Y2" s="37" t="s">
        <v>20</v>
      </c>
    </row>
    <row r="3" spans="1:30" x14ac:dyDescent="0.3">
      <c r="B3" s="36"/>
      <c r="C3" s="38" t="s">
        <v>21</v>
      </c>
      <c r="D3" s="37" t="s">
        <v>22</v>
      </c>
      <c r="E3" s="37" t="s">
        <v>23</v>
      </c>
      <c r="F3" s="37" t="s">
        <v>24</v>
      </c>
      <c r="G3" s="37" t="s">
        <v>25</v>
      </c>
      <c r="H3" s="37" t="s">
        <v>25</v>
      </c>
      <c r="I3" s="37" t="s">
        <v>23</v>
      </c>
      <c r="J3" s="37" t="s">
        <v>24</v>
      </c>
      <c r="K3" s="37" t="s">
        <v>26</v>
      </c>
      <c r="L3" s="37" t="s">
        <v>27</v>
      </c>
      <c r="M3" s="36"/>
      <c r="N3" s="38" t="s">
        <v>21</v>
      </c>
      <c r="O3" s="38"/>
      <c r="P3" s="37" t="s">
        <v>26</v>
      </c>
      <c r="Q3" s="37" t="s">
        <v>27</v>
      </c>
      <c r="R3" s="37" t="s">
        <v>28</v>
      </c>
      <c r="S3" s="37" t="s">
        <v>28</v>
      </c>
      <c r="T3" s="37" t="s">
        <v>20</v>
      </c>
      <c r="U3" s="37" t="s">
        <v>23</v>
      </c>
      <c r="V3" s="37" t="s">
        <v>22</v>
      </c>
      <c r="W3" s="37" t="s">
        <v>29</v>
      </c>
      <c r="X3" s="37" t="s">
        <v>30</v>
      </c>
      <c r="Y3" s="37" t="s">
        <v>30</v>
      </c>
    </row>
    <row r="4" spans="1:30" x14ac:dyDescent="0.3">
      <c r="B4" s="36"/>
      <c r="C4" s="36"/>
      <c r="D4" s="37" t="s">
        <v>31</v>
      </c>
      <c r="E4" s="37" t="s">
        <v>32</v>
      </c>
      <c r="F4" s="37" t="s">
        <v>31</v>
      </c>
      <c r="G4" s="37" t="s">
        <v>33</v>
      </c>
      <c r="H4" s="37" t="s">
        <v>33</v>
      </c>
      <c r="I4" s="37" t="s">
        <v>34</v>
      </c>
      <c r="J4" s="37" t="s">
        <v>35</v>
      </c>
      <c r="K4" s="37" t="s">
        <v>34</v>
      </c>
      <c r="L4" s="37" t="s">
        <v>34</v>
      </c>
      <c r="M4" s="36"/>
      <c r="N4" s="36"/>
      <c r="O4" s="36"/>
      <c r="P4" s="37" t="s">
        <v>34</v>
      </c>
      <c r="Q4" s="37" t="s">
        <v>34</v>
      </c>
      <c r="R4" s="39">
        <v>0.25</v>
      </c>
      <c r="S4" s="39">
        <v>0.75</v>
      </c>
      <c r="T4" s="37" t="s">
        <v>36</v>
      </c>
      <c r="U4" s="37" t="s">
        <v>32</v>
      </c>
      <c r="V4" s="40"/>
      <c r="W4" s="37" t="s">
        <v>31</v>
      </c>
      <c r="X4" s="37" t="s">
        <v>37</v>
      </c>
      <c r="Y4" s="37" t="s">
        <v>37</v>
      </c>
      <c r="Z4" s="37" t="s">
        <v>111</v>
      </c>
      <c r="AA4" s="37" t="s">
        <v>112</v>
      </c>
    </row>
    <row r="5" spans="1:30" x14ac:dyDescent="0.3">
      <c r="B5" s="36"/>
      <c r="C5" s="36"/>
      <c r="D5" s="37" t="s">
        <v>38</v>
      </c>
      <c r="E5" s="37" t="s">
        <v>39</v>
      </c>
      <c r="F5" s="37" t="s">
        <v>40</v>
      </c>
      <c r="G5" s="37" t="s">
        <v>37</v>
      </c>
      <c r="H5" s="37" t="s">
        <v>37</v>
      </c>
      <c r="I5" s="37" t="s">
        <v>39</v>
      </c>
      <c r="J5" s="37" t="s">
        <v>40</v>
      </c>
      <c r="K5" s="37" t="s">
        <v>38</v>
      </c>
      <c r="L5" s="37" t="s">
        <v>38</v>
      </c>
      <c r="M5" s="36"/>
      <c r="N5" s="36"/>
      <c r="O5" s="36"/>
      <c r="P5" s="37" t="s">
        <v>38</v>
      </c>
      <c r="Q5" s="37" t="s">
        <v>38</v>
      </c>
      <c r="R5" s="37" t="s">
        <v>41</v>
      </c>
      <c r="S5" s="37" t="s">
        <v>41</v>
      </c>
      <c r="T5" s="37" t="s">
        <v>41</v>
      </c>
      <c r="U5" s="37" t="s">
        <v>39</v>
      </c>
      <c r="V5" s="37" t="s">
        <v>38</v>
      </c>
      <c r="W5" s="37" t="s">
        <v>42</v>
      </c>
      <c r="X5" s="37" t="s">
        <v>43</v>
      </c>
      <c r="Y5" s="37" t="s">
        <v>44</v>
      </c>
      <c r="Z5" s="37" t="s">
        <v>44</v>
      </c>
      <c r="AA5" s="37" t="s">
        <v>44</v>
      </c>
    </row>
    <row r="6" spans="1:30" x14ac:dyDescent="0.3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30" x14ac:dyDescent="0.3">
      <c r="A7" s="51" t="s">
        <v>45</v>
      </c>
      <c r="B7" s="36" t="s">
        <v>45</v>
      </c>
      <c r="C7" s="38" t="s">
        <v>46</v>
      </c>
      <c r="D7" s="52">
        <v>0.58936595074446629</v>
      </c>
      <c r="E7" s="53">
        <v>56993678507</v>
      </c>
      <c r="F7" s="54">
        <f>ROUND(E7/(8760*D7),0)</f>
        <v>11039198</v>
      </c>
      <c r="G7" s="55">
        <v>1.0644100692852212</v>
      </c>
      <c r="H7" s="55">
        <v>1.0486289832939273</v>
      </c>
      <c r="I7" s="56">
        <f>E7*H7</f>
        <v>59765223146.976364</v>
      </c>
      <c r="J7" s="56">
        <f>F7*G7</f>
        <v>11750233.508033276</v>
      </c>
      <c r="K7" s="57">
        <f>I7/$I$22</f>
        <v>0.5319494026854984</v>
      </c>
      <c r="L7" s="41">
        <f>J7/$J$22</f>
        <v>0.58903487746512939</v>
      </c>
      <c r="M7" s="36"/>
      <c r="N7" s="38" t="s">
        <v>46</v>
      </c>
      <c r="O7" s="58" t="s">
        <v>45</v>
      </c>
      <c r="P7" s="41">
        <f>K7</f>
        <v>0.5319494026854984</v>
      </c>
      <c r="Q7" s="41">
        <f>L7</f>
        <v>0.58903487746512939</v>
      </c>
      <c r="R7" s="59">
        <f>ROUND(+P7*($T$22*0.25),0)</f>
        <v>44301494</v>
      </c>
      <c r="S7" s="59">
        <f>ROUND(+Q7*($T$22*0.75),0)</f>
        <v>147166956</v>
      </c>
      <c r="T7" s="59">
        <f>R7+S7</f>
        <v>191468450</v>
      </c>
      <c r="U7" s="56">
        <f>E7</f>
        <v>56993678507</v>
      </c>
      <c r="V7" s="42"/>
      <c r="W7" s="37" t="s">
        <v>47</v>
      </c>
      <c r="X7" s="37" t="s">
        <v>47</v>
      </c>
      <c r="Y7" s="50">
        <f>ROUND(T7/U7,5)</f>
        <v>3.3600000000000001E-3</v>
      </c>
      <c r="AC7" s="37"/>
      <c r="AD7" s="43"/>
    </row>
    <row r="8" spans="1:30" x14ac:dyDescent="0.3">
      <c r="A8" s="51" t="s">
        <v>48</v>
      </c>
      <c r="B8" s="36" t="s">
        <v>48</v>
      </c>
      <c r="C8" s="38" t="s">
        <v>49</v>
      </c>
      <c r="D8" s="52">
        <v>0.64794684276047299</v>
      </c>
      <c r="E8" s="53">
        <v>5968792122</v>
      </c>
      <c r="F8" s="54">
        <f>ROUND(E8/(8760*D8),0)</f>
        <v>1051582</v>
      </c>
      <c r="G8" s="55">
        <v>1.0644100686811759</v>
      </c>
      <c r="H8" s="55">
        <v>1.0486289832939273</v>
      </c>
      <c r="I8" s="56">
        <f t="shared" ref="I8:I20" si="0">E8*H8</f>
        <v>6259048414.385663</v>
      </c>
      <c r="J8" s="56">
        <f t="shared" ref="J8:J20" si="1">F8*G8</f>
        <v>1119314.4688438883</v>
      </c>
      <c r="K8" s="57">
        <f t="shared" ref="K8:K20" si="2">I8/$I$22</f>
        <v>5.5709606525254231E-2</v>
      </c>
      <c r="L8" s="41">
        <f t="shared" ref="L8:L20" si="3">J8/$J$22</f>
        <v>5.6110822014698893E-2</v>
      </c>
      <c r="M8" s="36"/>
      <c r="N8" s="38" t="s">
        <v>50</v>
      </c>
      <c r="O8" s="58" t="s">
        <v>48</v>
      </c>
      <c r="P8" s="41">
        <f t="shared" ref="P8:P20" si="4">K8</f>
        <v>5.5709606525254231E-2</v>
      </c>
      <c r="Q8" s="41">
        <f t="shared" ref="Q8:Q20" si="5">L8</f>
        <v>5.6110822014698893E-2</v>
      </c>
      <c r="R8" s="59">
        <f t="shared" ref="R8:R20" si="6">ROUND(+P8*($T$22*0.25),0)</f>
        <v>4639574</v>
      </c>
      <c r="S8" s="59">
        <f t="shared" ref="S8:S20" si="7">ROUND(+Q8*($T$22*0.75),0)</f>
        <v>14018964</v>
      </c>
      <c r="T8" s="59">
        <f t="shared" ref="T8:T20" si="8">R8+S8</f>
        <v>18658538</v>
      </c>
      <c r="U8" s="56">
        <f t="shared" ref="U8:U20" si="9">E8</f>
        <v>5968792122</v>
      </c>
      <c r="V8" s="42"/>
      <c r="W8" s="37" t="s">
        <v>47</v>
      </c>
      <c r="X8" s="44" t="s">
        <v>47</v>
      </c>
      <c r="Y8" s="50">
        <f>ROUND(T8/U8,5)</f>
        <v>3.13E-3</v>
      </c>
      <c r="AC8" s="44"/>
      <c r="AD8" s="43"/>
    </row>
    <row r="9" spans="1:30" x14ac:dyDescent="0.3">
      <c r="A9" s="51" t="s">
        <v>51</v>
      </c>
      <c r="B9" s="36" t="s">
        <v>51</v>
      </c>
      <c r="C9" s="38" t="s">
        <v>52</v>
      </c>
      <c r="D9" s="52">
        <v>0.7250743148126767</v>
      </c>
      <c r="E9" s="53">
        <v>25825428784</v>
      </c>
      <c r="F9" s="54">
        <f t="shared" ref="F9:F20" si="10">ROUND(E9/(8760*D9),0)</f>
        <v>4065940</v>
      </c>
      <c r="G9" s="55">
        <v>1.0643248219511645</v>
      </c>
      <c r="H9" s="55">
        <v>1.0485653999282598</v>
      </c>
      <c r="I9" s="56">
        <f t="shared" si="0"/>
        <v>27079651061.213753</v>
      </c>
      <c r="J9" s="56">
        <f t="shared" si="1"/>
        <v>4327480.8665641183</v>
      </c>
      <c r="K9" s="57">
        <f t="shared" si="2"/>
        <v>0.24102652760986398</v>
      </c>
      <c r="L9" s="41">
        <f t="shared" si="3"/>
        <v>0.21693502177863858</v>
      </c>
      <c r="M9" s="36"/>
      <c r="N9" s="38" t="s">
        <v>52</v>
      </c>
      <c r="O9" s="60" t="s">
        <v>78</v>
      </c>
      <c r="P9" s="41">
        <f t="shared" si="4"/>
        <v>0.24102652760986398</v>
      </c>
      <c r="Q9" s="41">
        <f t="shared" si="5"/>
        <v>0.21693502177863858</v>
      </c>
      <c r="R9" s="59">
        <f t="shared" si="6"/>
        <v>20073028</v>
      </c>
      <c r="S9" s="59">
        <f t="shared" si="7"/>
        <v>54199960</v>
      </c>
      <c r="T9" s="59">
        <f t="shared" si="8"/>
        <v>74272988</v>
      </c>
      <c r="U9" s="56">
        <f t="shared" si="9"/>
        <v>25825428784</v>
      </c>
      <c r="V9" s="41">
        <f>+VLOOKUP($O9,'2017 Clause Allocations'!A13:H26,8,FALSE)</f>
        <v>0.50153536735274484</v>
      </c>
      <c r="W9" s="61">
        <f>ROUND(U9/(V9*730),0)</f>
        <v>70537996</v>
      </c>
      <c r="X9" s="48">
        <f>ROUND(T9/W9,2)</f>
        <v>1.05</v>
      </c>
      <c r="Y9" s="37" t="s">
        <v>47</v>
      </c>
      <c r="Z9" s="62"/>
      <c r="AA9" s="63"/>
      <c r="AC9" s="44"/>
      <c r="AD9" s="37"/>
    </row>
    <row r="10" spans="1:30" x14ac:dyDescent="0.3">
      <c r="A10" s="51" t="s">
        <v>53</v>
      </c>
      <c r="B10" s="36" t="s">
        <v>53</v>
      </c>
      <c r="C10" s="38" t="s">
        <v>54</v>
      </c>
      <c r="D10" s="52">
        <v>0.919103434392193</v>
      </c>
      <c r="E10" s="53">
        <v>10793313</v>
      </c>
      <c r="F10" s="54">
        <f t="shared" si="10"/>
        <v>1341</v>
      </c>
      <c r="G10" s="55">
        <v>1.0569735544590297</v>
      </c>
      <c r="H10" s="55">
        <v>1.0266921244920639</v>
      </c>
      <c r="I10" s="56">
        <f t="shared" si="0"/>
        <v>11081409.454277812</v>
      </c>
      <c r="J10" s="56">
        <f t="shared" si="1"/>
        <v>1417.4015365295588</v>
      </c>
      <c r="K10" s="57">
        <f t="shared" si="2"/>
        <v>9.8631759905254266E-5</v>
      </c>
      <c r="L10" s="41">
        <f t="shared" si="3"/>
        <v>7.1053816915023853E-5</v>
      </c>
      <c r="M10" s="36"/>
      <c r="N10" s="38" t="s">
        <v>54</v>
      </c>
      <c r="O10" s="58" t="s">
        <v>53</v>
      </c>
      <c r="P10" s="41">
        <f t="shared" si="4"/>
        <v>9.8631759905254266E-5</v>
      </c>
      <c r="Q10" s="41">
        <f t="shared" si="5"/>
        <v>7.1053816915023853E-5</v>
      </c>
      <c r="R10" s="59">
        <f t="shared" si="6"/>
        <v>8214</v>
      </c>
      <c r="S10" s="59">
        <f t="shared" si="7"/>
        <v>17752</v>
      </c>
      <c r="T10" s="59">
        <f t="shared" si="8"/>
        <v>25966</v>
      </c>
      <c r="U10" s="56">
        <f t="shared" si="9"/>
        <v>10793313</v>
      </c>
      <c r="V10" s="41"/>
      <c r="W10" s="61"/>
      <c r="X10" s="44" t="s">
        <v>47</v>
      </c>
      <c r="Y10" s="50">
        <f>ROUND(T10/U10,5)</f>
        <v>2.4099999999999998E-3</v>
      </c>
      <c r="Z10" s="62"/>
      <c r="AA10" s="68"/>
      <c r="AC10" s="44"/>
      <c r="AD10" s="43"/>
    </row>
    <row r="11" spans="1:30" x14ac:dyDescent="0.3">
      <c r="A11" s="51" t="s">
        <v>55</v>
      </c>
      <c r="B11" s="36" t="s">
        <v>55</v>
      </c>
      <c r="C11" s="38" t="s">
        <v>56</v>
      </c>
      <c r="D11" s="52">
        <v>0.72999461177638714</v>
      </c>
      <c r="E11" s="53">
        <v>10507497706</v>
      </c>
      <c r="F11" s="54">
        <f t="shared" si="10"/>
        <v>1643144</v>
      </c>
      <c r="G11" s="55">
        <v>1.0632456834852095</v>
      </c>
      <c r="H11" s="55">
        <v>1.0477861840453897</v>
      </c>
      <c r="I11" s="56">
        <f t="shared" si="0"/>
        <v>11009610925.235426</v>
      </c>
      <c r="J11" s="56">
        <f t="shared" si="1"/>
        <v>1747065.7653446211</v>
      </c>
      <c r="K11" s="57">
        <f t="shared" si="2"/>
        <v>9.7992706244501279E-2</v>
      </c>
      <c r="L11" s="41">
        <f t="shared" si="3"/>
        <v>8.757976327106512E-2</v>
      </c>
      <c r="M11" s="36"/>
      <c r="N11" s="38" t="s">
        <v>56</v>
      </c>
      <c r="O11" s="60" t="s">
        <v>79</v>
      </c>
      <c r="P11" s="41">
        <f t="shared" si="4"/>
        <v>9.7992706244501279E-2</v>
      </c>
      <c r="Q11" s="41">
        <f t="shared" si="5"/>
        <v>8.757976327106512E-2</v>
      </c>
      <c r="R11" s="59">
        <f t="shared" si="6"/>
        <v>8160970</v>
      </c>
      <c r="S11" s="59">
        <f t="shared" si="7"/>
        <v>21881297</v>
      </c>
      <c r="T11" s="59">
        <f t="shared" si="8"/>
        <v>30042267</v>
      </c>
      <c r="U11" s="56">
        <f t="shared" si="9"/>
        <v>10507497706</v>
      </c>
      <c r="V11" s="41">
        <f>+VLOOKUP($O11,'2017 Clause Allocations'!A15:H28,8,FALSE)</f>
        <v>0.5671159554740004</v>
      </c>
      <c r="W11" s="61">
        <f t="shared" ref="W11:W18" si="11">ROUND(U11/(V11*730),0)</f>
        <v>25380757</v>
      </c>
      <c r="X11" s="48">
        <f t="shared" ref="X11:X13" si="12">ROUND(T11/W11,2)</f>
        <v>1.18</v>
      </c>
      <c r="Y11" s="37" t="s">
        <v>47</v>
      </c>
      <c r="Z11" s="62"/>
      <c r="AA11" s="63"/>
      <c r="AC11" s="44"/>
      <c r="AD11" s="37"/>
    </row>
    <row r="12" spans="1:30" x14ac:dyDescent="0.3">
      <c r="A12" s="51" t="s">
        <v>57</v>
      </c>
      <c r="B12" s="36" t="s">
        <v>57</v>
      </c>
      <c r="C12" s="38" t="s">
        <v>58</v>
      </c>
      <c r="D12" s="52">
        <v>0.87345926572709476</v>
      </c>
      <c r="E12" s="53">
        <v>2515470925</v>
      </c>
      <c r="F12" s="54">
        <f t="shared" si="10"/>
        <v>328755</v>
      </c>
      <c r="G12" s="55">
        <v>1.054788034506472</v>
      </c>
      <c r="H12" s="55">
        <v>1.0411321362257282</v>
      </c>
      <c r="I12" s="56">
        <f t="shared" si="0"/>
        <v>2618937617.7589583</v>
      </c>
      <c r="J12" s="56">
        <f t="shared" si="1"/>
        <v>346766.84028417518</v>
      </c>
      <c r="K12" s="57">
        <f t="shared" si="2"/>
        <v>2.3310250143489038E-2</v>
      </c>
      <c r="L12" s="41">
        <f t="shared" si="3"/>
        <v>1.7383293969104055E-2</v>
      </c>
      <c r="M12" s="36"/>
      <c r="N12" s="38" t="s">
        <v>59</v>
      </c>
      <c r="O12" s="60" t="s">
        <v>80</v>
      </c>
      <c r="P12" s="41">
        <f t="shared" si="4"/>
        <v>2.3310250143489038E-2</v>
      </c>
      <c r="Q12" s="41">
        <f t="shared" si="5"/>
        <v>1.7383293969104055E-2</v>
      </c>
      <c r="R12" s="59">
        <f t="shared" si="6"/>
        <v>1941310</v>
      </c>
      <c r="S12" s="59">
        <f t="shared" si="7"/>
        <v>4343115</v>
      </c>
      <c r="T12" s="59">
        <f t="shared" si="8"/>
        <v>6284425</v>
      </c>
      <c r="U12" s="56">
        <f t="shared" si="9"/>
        <v>2515470925</v>
      </c>
      <c r="V12" s="41">
        <f>+VLOOKUP($O12,'2017 Clause Allocations'!A16:H29,8,FALSE)</f>
        <v>0.65791900765279343</v>
      </c>
      <c r="W12" s="61">
        <f t="shared" si="11"/>
        <v>5237500</v>
      </c>
      <c r="X12" s="48">
        <f t="shared" si="12"/>
        <v>1.2</v>
      </c>
      <c r="Y12" s="37" t="s">
        <v>47</v>
      </c>
      <c r="Z12" s="62"/>
      <c r="AA12" s="63"/>
      <c r="AC12" s="44"/>
      <c r="AD12" s="37"/>
    </row>
    <row r="13" spans="1:30" x14ac:dyDescent="0.3">
      <c r="A13" s="51" t="s">
        <v>60</v>
      </c>
      <c r="B13" s="36" t="s">
        <v>60</v>
      </c>
      <c r="C13" s="38" t="s">
        <v>61</v>
      </c>
      <c r="D13" s="52">
        <v>0.85788668835439907</v>
      </c>
      <c r="E13" s="53">
        <v>172992260</v>
      </c>
      <c r="F13" s="54">
        <f t="shared" si="10"/>
        <v>23019</v>
      </c>
      <c r="G13" s="55">
        <v>1.0218365873198931</v>
      </c>
      <c r="H13" s="55">
        <v>1.0170051802969728</v>
      </c>
      <c r="I13" s="56">
        <f t="shared" si="0"/>
        <v>175934024.57128081</v>
      </c>
      <c r="J13" s="56">
        <f t="shared" si="1"/>
        <v>23521.656403516619</v>
      </c>
      <c r="K13" s="57">
        <f t="shared" si="2"/>
        <v>1.5659273797505001E-3</v>
      </c>
      <c r="L13" s="41">
        <f t="shared" si="3"/>
        <v>1.1791319711178501E-3</v>
      </c>
      <c r="M13" s="36"/>
      <c r="N13" s="38" t="s">
        <v>61</v>
      </c>
      <c r="O13" s="58" t="s">
        <v>81</v>
      </c>
      <c r="P13" s="41">
        <f t="shared" si="4"/>
        <v>1.5659273797505001E-3</v>
      </c>
      <c r="Q13" s="41">
        <f t="shared" si="5"/>
        <v>1.1791319711178501E-3</v>
      </c>
      <c r="R13" s="59">
        <f t="shared" si="6"/>
        <v>130413</v>
      </c>
      <c r="S13" s="59">
        <f t="shared" si="7"/>
        <v>294599</v>
      </c>
      <c r="T13" s="59">
        <f t="shared" si="8"/>
        <v>425012</v>
      </c>
      <c r="U13" s="56">
        <f t="shared" si="9"/>
        <v>172992260</v>
      </c>
      <c r="V13" s="41">
        <f>+VLOOKUP($O13,'2017 Clause Allocations'!A17:H30,8,FALSE)</f>
        <v>0.55990971074559603</v>
      </c>
      <c r="W13" s="61">
        <f t="shared" si="11"/>
        <v>423239</v>
      </c>
      <c r="X13" s="48">
        <f t="shared" si="12"/>
        <v>1</v>
      </c>
      <c r="Y13" s="37" t="s">
        <v>47</v>
      </c>
      <c r="Z13" s="62"/>
      <c r="AA13" s="63"/>
      <c r="AC13" s="44"/>
      <c r="AD13" s="37"/>
    </row>
    <row r="14" spans="1:30" x14ac:dyDescent="0.3">
      <c r="A14" s="51" t="s">
        <v>63</v>
      </c>
      <c r="B14" s="36" t="s">
        <v>83</v>
      </c>
      <c r="C14" s="38" t="s">
        <v>77</v>
      </c>
      <c r="D14" s="52">
        <v>0.77997950485562773</v>
      </c>
      <c r="E14" s="53">
        <v>11856926</v>
      </c>
      <c r="F14" s="54">
        <f t="shared" si="10"/>
        <v>1735</v>
      </c>
      <c r="G14" s="55">
        <v>1.0348230296067638</v>
      </c>
      <c r="H14" s="55">
        <v>1.0266921244920639</v>
      </c>
      <c r="I14" s="56">
        <f t="shared" si="0"/>
        <v>12173412.54488519</v>
      </c>
      <c r="J14" s="56">
        <f t="shared" si="1"/>
        <v>1795.4179563677351</v>
      </c>
      <c r="K14" s="57">
        <f t="shared" si="2"/>
        <v>1.0835129847956479E-4</v>
      </c>
      <c r="L14" s="41">
        <f t="shared" si="3"/>
        <v>9.000364079613718E-5</v>
      </c>
      <c r="M14" s="36"/>
      <c r="N14" s="38" t="s">
        <v>77</v>
      </c>
      <c r="O14" s="58" t="s">
        <v>83</v>
      </c>
      <c r="P14" s="41">
        <f t="shared" si="4"/>
        <v>1.0835129847956479E-4</v>
      </c>
      <c r="Q14" s="41">
        <f t="shared" si="5"/>
        <v>9.000364079613718E-5</v>
      </c>
      <c r="R14" s="59">
        <f t="shared" si="6"/>
        <v>9024</v>
      </c>
      <c r="S14" s="59">
        <f t="shared" si="7"/>
        <v>22487</v>
      </c>
      <c r="T14" s="59">
        <f t="shared" si="8"/>
        <v>31511</v>
      </c>
      <c r="U14" s="56">
        <f t="shared" si="9"/>
        <v>11856926</v>
      </c>
      <c r="V14" s="41">
        <f>+VLOOKUP($O14,'2017 Clause Allocations'!A18:H31,8,FALSE)</f>
        <v>0.29683762187751556</v>
      </c>
      <c r="W14" s="61">
        <f t="shared" si="11"/>
        <v>54718</v>
      </c>
      <c r="X14" s="37" t="s">
        <v>47</v>
      </c>
      <c r="Y14" s="37" t="s">
        <v>47</v>
      </c>
      <c r="Z14" s="48">
        <f>ROUND(($T$22/$J$22*0.1*$G14)/12,2)</f>
        <v>0.14000000000000001</v>
      </c>
      <c r="AA14" s="48">
        <f>ROUND(($T$22/$J$22/21*$G14)/12,2)</f>
        <v>7.0000000000000007E-2</v>
      </c>
      <c r="AC14" s="44"/>
      <c r="AD14" s="37"/>
    </row>
    <row r="15" spans="1:30" x14ac:dyDescent="0.3">
      <c r="A15" s="51" t="s">
        <v>62</v>
      </c>
      <c r="B15" s="36" t="s">
        <v>82</v>
      </c>
      <c r="C15" s="38" t="s">
        <v>76</v>
      </c>
      <c r="D15" s="52">
        <v>1.0702963338905989</v>
      </c>
      <c r="E15" s="53">
        <v>89667754</v>
      </c>
      <c r="F15" s="54">
        <f t="shared" si="10"/>
        <v>9564</v>
      </c>
      <c r="G15" s="55">
        <v>1.0218365882532447</v>
      </c>
      <c r="H15" s="55">
        <v>1.0170051802969728</v>
      </c>
      <c r="I15" s="56">
        <f t="shared" si="0"/>
        <v>91192570.323594615</v>
      </c>
      <c r="J15" s="56">
        <f t="shared" si="1"/>
        <v>9772.8451300540328</v>
      </c>
      <c r="K15" s="57">
        <f t="shared" si="2"/>
        <v>8.1167325676496991E-4</v>
      </c>
      <c r="L15" s="41">
        <f t="shared" si="3"/>
        <v>4.8990912646386885E-4</v>
      </c>
      <c r="M15" s="36"/>
      <c r="N15" s="38" t="s">
        <v>76</v>
      </c>
      <c r="O15" s="58" t="s">
        <v>82</v>
      </c>
      <c r="P15" s="41">
        <f t="shared" si="4"/>
        <v>8.1167325676496991E-4</v>
      </c>
      <c r="Q15" s="41">
        <f t="shared" si="5"/>
        <v>4.8990912646386885E-4</v>
      </c>
      <c r="R15" s="59">
        <f t="shared" si="6"/>
        <v>67597</v>
      </c>
      <c r="S15" s="59">
        <f t="shared" si="7"/>
        <v>122401</v>
      </c>
      <c r="T15" s="59">
        <f t="shared" si="8"/>
        <v>189998</v>
      </c>
      <c r="U15" s="56">
        <f t="shared" si="9"/>
        <v>89667754</v>
      </c>
      <c r="V15" s="41">
        <f>+VLOOKUP($O15,'2017 Clause Allocations'!A19:H32,8,FALSE)</f>
        <v>0.11319690656706886</v>
      </c>
      <c r="W15" s="61">
        <f t="shared" si="11"/>
        <v>1085123</v>
      </c>
      <c r="X15" s="37" t="s">
        <v>47</v>
      </c>
      <c r="Y15" s="37" t="s">
        <v>47</v>
      </c>
      <c r="Z15" s="48">
        <f>ROUND(($T$22/$J$22*0.1*$G15)/12,2)</f>
        <v>0.14000000000000001</v>
      </c>
      <c r="AA15" s="48">
        <f>ROUND(($T$22/$J$22/21*$G15)/12,2)</f>
        <v>7.0000000000000007E-2</v>
      </c>
      <c r="AC15" s="44"/>
      <c r="AD15" s="37"/>
    </row>
    <row r="16" spans="1:30" x14ac:dyDescent="0.3">
      <c r="A16" s="51" t="s">
        <v>64</v>
      </c>
      <c r="B16" s="36" t="s">
        <v>116</v>
      </c>
      <c r="C16" s="38" t="s">
        <v>65</v>
      </c>
      <c r="D16" s="52">
        <v>0.86999666550226762</v>
      </c>
      <c r="E16" s="53">
        <v>2789043893</v>
      </c>
      <c r="F16" s="54">
        <f t="shared" si="10"/>
        <v>365960</v>
      </c>
      <c r="G16" s="55">
        <v>1.0532248551572985</v>
      </c>
      <c r="H16" s="55">
        <v>1.0405349356358289</v>
      </c>
      <c r="I16" s="56">
        <f t="shared" si="0"/>
        <v>2902097607.6882567</v>
      </c>
      <c r="J16" s="56">
        <f t="shared" si="1"/>
        <v>385438.16799336497</v>
      </c>
      <c r="K16" s="57">
        <f t="shared" si="2"/>
        <v>2.5830558436104233E-2</v>
      </c>
      <c r="L16" s="41">
        <f t="shared" si="3"/>
        <v>1.9321873382272595E-2</v>
      </c>
      <c r="M16" s="36"/>
      <c r="N16" s="38" t="s">
        <v>65</v>
      </c>
      <c r="O16" s="58" t="s">
        <v>84</v>
      </c>
      <c r="P16" s="41">
        <f t="shared" si="4"/>
        <v>2.5830558436104233E-2</v>
      </c>
      <c r="Q16" s="41">
        <f t="shared" si="5"/>
        <v>1.9321873382272595E-2</v>
      </c>
      <c r="R16" s="59">
        <f t="shared" si="6"/>
        <v>2151205</v>
      </c>
      <c r="S16" s="59">
        <f t="shared" si="7"/>
        <v>4827458</v>
      </c>
      <c r="T16" s="59">
        <f t="shared" si="8"/>
        <v>6978663</v>
      </c>
      <c r="U16" s="56">
        <f t="shared" si="9"/>
        <v>2789043893</v>
      </c>
      <c r="V16" s="41">
        <f>+VLOOKUP($O16,'2017 Clause Allocations'!A20:H33,8,FALSE)</f>
        <v>0.74143072083162143</v>
      </c>
      <c r="W16" s="61">
        <f t="shared" si="11"/>
        <v>5153021</v>
      </c>
      <c r="X16" s="48">
        <f t="shared" ref="X16:X18" si="13">ROUND(T16/W16,2)</f>
        <v>1.35</v>
      </c>
      <c r="Y16" s="37" t="s">
        <v>47</v>
      </c>
      <c r="Z16" s="62"/>
      <c r="AA16" s="63"/>
      <c r="AC16" s="44"/>
      <c r="AD16" s="37"/>
    </row>
    <row r="17" spans="1:30" x14ac:dyDescent="0.3">
      <c r="A17" s="51" t="s">
        <v>66</v>
      </c>
      <c r="B17" s="36" t="s">
        <v>66</v>
      </c>
      <c r="C17" s="38" t="s">
        <v>67</v>
      </c>
      <c r="D17" s="52">
        <v>0.90923357476441657</v>
      </c>
      <c r="E17" s="53">
        <v>1508335314</v>
      </c>
      <c r="F17" s="54">
        <f t="shared" si="10"/>
        <v>189373</v>
      </c>
      <c r="G17" s="55">
        <v>1.021836586761282</v>
      </c>
      <c r="H17" s="55">
        <v>1.0170051802969728</v>
      </c>
      <c r="I17" s="56">
        <f t="shared" si="0"/>
        <v>1533984827.9628611</v>
      </c>
      <c r="J17" s="56">
        <f t="shared" si="1"/>
        <v>193508.25994474426</v>
      </c>
      <c r="K17" s="57">
        <f t="shared" si="2"/>
        <v>1.3653463837267446E-2</v>
      </c>
      <c r="L17" s="41">
        <f t="shared" si="3"/>
        <v>9.7004977907133565E-3</v>
      </c>
      <c r="M17" s="36"/>
      <c r="N17" s="38" t="s">
        <v>67</v>
      </c>
      <c r="O17" s="58" t="s">
        <v>66</v>
      </c>
      <c r="P17" s="41">
        <f t="shared" si="4"/>
        <v>1.3653463837267446E-2</v>
      </c>
      <c r="Q17" s="41">
        <f t="shared" si="5"/>
        <v>9.7004977907133565E-3</v>
      </c>
      <c r="R17" s="59">
        <f t="shared" si="6"/>
        <v>1137080</v>
      </c>
      <c r="S17" s="59">
        <f t="shared" si="7"/>
        <v>2423613</v>
      </c>
      <c r="T17" s="59">
        <f t="shared" si="8"/>
        <v>3560693</v>
      </c>
      <c r="U17" s="56">
        <f t="shared" si="9"/>
        <v>1508335314</v>
      </c>
      <c r="V17" s="41">
        <f>+VLOOKUP($O17,'2017 Clause Allocations'!A20:H34,8,FALSE)</f>
        <v>0.7633683121714222</v>
      </c>
      <c r="W17" s="61">
        <f t="shared" si="11"/>
        <v>2706705</v>
      </c>
      <c r="X17" s="48">
        <f t="shared" si="13"/>
        <v>1.32</v>
      </c>
      <c r="Y17" s="37" t="s">
        <v>47</v>
      </c>
      <c r="Z17" s="62"/>
      <c r="AA17" s="63"/>
      <c r="AC17" s="44"/>
      <c r="AD17" s="37"/>
    </row>
    <row r="18" spans="1:30" x14ac:dyDescent="0.3">
      <c r="A18" s="51" t="s">
        <v>68</v>
      </c>
      <c r="B18" s="36" t="s">
        <v>68</v>
      </c>
      <c r="C18" s="38" t="s">
        <v>68</v>
      </c>
      <c r="D18" s="52">
        <v>0.71417516516020862</v>
      </c>
      <c r="E18" s="53">
        <v>91208296</v>
      </c>
      <c r="F18" s="54">
        <f t="shared" si="10"/>
        <v>14579</v>
      </c>
      <c r="G18" s="55">
        <v>1.0348230286686431</v>
      </c>
      <c r="H18" s="55">
        <v>1.0266921244920639</v>
      </c>
      <c r="I18" s="56">
        <f t="shared" si="0"/>
        <v>93642839.191541016</v>
      </c>
      <c r="J18" s="56">
        <f t="shared" si="1"/>
        <v>15086.684934960147</v>
      </c>
      <c r="K18" s="57">
        <f t="shared" si="2"/>
        <v>8.334822452049119E-4</v>
      </c>
      <c r="L18" s="41">
        <f t="shared" si="3"/>
        <v>7.5628995848838051E-4</v>
      </c>
      <c r="M18" s="36"/>
      <c r="N18" s="38" t="s">
        <v>68</v>
      </c>
      <c r="O18" s="58" t="s">
        <v>68</v>
      </c>
      <c r="P18" s="41">
        <f t="shared" si="4"/>
        <v>8.334822452049119E-4</v>
      </c>
      <c r="Q18" s="41">
        <f t="shared" si="5"/>
        <v>7.5628995848838051E-4</v>
      </c>
      <c r="R18" s="59">
        <f t="shared" si="6"/>
        <v>69414</v>
      </c>
      <c r="S18" s="59">
        <f t="shared" si="7"/>
        <v>188955</v>
      </c>
      <c r="T18" s="59">
        <f t="shared" si="8"/>
        <v>258369</v>
      </c>
      <c r="U18" s="56">
        <f t="shared" si="9"/>
        <v>91208296</v>
      </c>
      <c r="V18" s="41">
        <f>+VLOOKUP($O18,'2017 Clause Allocations'!A22:H35,8,FALSE)</f>
        <v>0.64617748054861501</v>
      </c>
      <c r="W18" s="61">
        <f t="shared" si="11"/>
        <v>193357</v>
      </c>
      <c r="X18" s="48">
        <f t="shared" si="13"/>
        <v>1.34</v>
      </c>
      <c r="Y18" s="37" t="s">
        <v>47</v>
      </c>
      <c r="Z18" s="62"/>
      <c r="AA18" s="63"/>
      <c r="AC18" s="44"/>
      <c r="AD18" s="37"/>
    </row>
    <row r="19" spans="1:30" x14ac:dyDescent="0.3">
      <c r="A19" s="51" t="s">
        <v>0</v>
      </c>
      <c r="B19" s="36" t="s">
        <v>117</v>
      </c>
      <c r="C19" s="38" t="s">
        <v>69</v>
      </c>
      <c r="D19" s="52">
        <v>5.8504734154237852</v>
      </c>
      <c r="E19" s="53">
        <v>658706942</v>
      </c>
      <c r="F19" s="54">
        <f t="shared" si="10"/>
        <v>12853</v>
      </c>
      <c r="G19" s="55">
        <v>1.0644100694966601</v>
      </c>
      <c r="H19" s="55">
        <v>1.0486289832939273</v>
      </c>
      <c r="I19" s="56">
        <f t="shared" si="0"/>
        <v>690739190.87811196</v>
      </c>
      <c r="J19" s="56">
        <f t="shared" si="1"/>
        <v>13680.862623240571</v>
      </c>
      <c r="K19" s="57">
        <f t="shared" si="2"/>
        <v>6.1480285800232229E-3</v>
      </c>
      <c r="L19" s="41">
        <f t="shared" si="3"/>
        <v>6.8581660384778092E-4</v>
      </c>
      <c r="M19" s="36"/>
      <c r="N19" s="38" t="s">
        <v>69</v>
      </c>
      <c r="O19" s="58" t="s">
        <v>85</v>
      </c>
      <c r="P19" s="41">
        <f t="shared" si="4"/>
        <v>6.1480285800232229E-3</v>
      </c>
      <c r="Q19" s="41">
        <f t="shared" si="5"/>
        <v>6.8581660384778092E-4</v>
      </c>
      <c r="R19" s="59">
        <f t="shared" si="6"/>
        <v>512016</v>
      </c>
      <c r="S19" s="59">
        <f t="shared" si="7"/>
        <v>171347</v>
      </c>
      <c r="T19" s="59">
        <f t="shared" si="8"/>
        <v>683363</v>
      </c>
      <c r="U19" s="56">
        <f t="shared" si="9"/>
        <v>658706942</v>
      </c>
      <c r="V19" s="42"/>
      <c r="W19" s="37" t="s">
        <v>47</v>
      </c>
      <c r="X19" s="44" t="s">
        <v>47</v>
      </c>
      <c r="Y19" s="50">
        <f t="shared" ref="Y19:Y20" si="14">ROUND(T19/U19,5)</f>
        <v>1.0399999999999999E-3</v>
      </c>
      <c r="Z19" s="62"/>
      <c r="AC19" s="44"/>
      <c r="AD19" s="43"/>
    </row>
    <row r="20" spans="1:30" x14ac:dyDescent="0.3">
      <c r="A20" s="51" t="s">
        <v>75</v>
      </c>
      <c r="B20" s="36" t="s">
        <v>118</v>
      </c>
      <c r="C20" s="38" t="s">
        <v>70</v>
      </c>
      <c r="D20" s="52">
        <v>0.94825427867741852</v>
      </c>
      <c r="E20" s="53">
        <v>103004444</v>
      </c>
      <c r="F20" s="54">
        <f t="shared" si="10"/>
        <v>12400</v>
      </c>
      <c r="G20" s="55">
        <v>1.0644100702535517</v>
      </c>
      <c r="H20" s="55">
        <v>1.0486289832939273</v>
      </c>
      <c r="I20" s="56">
        <f t="shared" si="0"/>
        <v>108013445.38647626</v>
      </c>
      <c r="J20" s="56">
        <f t="shared" si="1"/>
        <v>13198.684871144042</v>
      </c>
      <c r="K20" s="57">
        <f t="shared" si="2"/>
        <v>9.6138999789287412E-4</v>
      </c>
      <c r="L20" s="41">
        <f t="shared" si="3"/>
        <v>6.61645210749217E-4</v>
      </c>
      <c r="M20" s="36"/>
      <c r="N20" s="38" t="s">
        <v>71</v>
      </c>
      <c r="O20" s="58" t="s">
        <v>86</v>
      </c>
      <c r="P20" s="41">
        <f t="shared" si="4"/>
        <v>9.6138999789287412E-4</v>
      </c>
      <c r="Q20" s="41">
        <f t="shared" si="5"/>
        <v>6.61645210749217E-4</v>
      </c>
      <c r="R20" s="59">
        <f t="shared" si="6"/>
        <v>80066</v>
      </c>
      <c r="S20" s="59">
        <f t="shared" si="7"/>
        <v>165308</v>
      </c>
      <c r="T20" s="59">
        <f t="shared" si="8"/>
        <v>245374</v>
      </c>
      <c r="U20" s="56">
        <f t="shared" si="9"/>
        <v>103004444</v>
      </c>
      <c r="V20" s="42"/>
      <c r="W20" s="37" t="s">
        <v>47</v>
      </c>
      <c r="X20" s="44" t="s">
        <v>47</v>
      </c>
      <c r="Y20" s="50">
        <f t="shared" si="14"/>
        <v>2.3800000000000002E-3</v>
      </c>
      <c r="Z20" s="62"/>
      <c r="AC20" s="44"/>
      <c r="AD20" s="43"/>
    </row>
    <row r="21" spans="1:30" x14ac:dyDescent="0.3">
      <c r="B21" s="36"/>
      <c r="C21" s="36"/>
      <c r="D21" s="45"/>
      <c r="E21" s="4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47"/>
      <c r="T21" s="36"/>
      <c r="U21" s="36"/>
      <c r="V21" s="36"/>
      <c r="W21" s="36"/>
      <c r="X21" s="48"/>
      <c r="Y21" s="40"/>
    </row>
    <row r="22" spans="1:30" x14ac:dyDescent="0.3">
      <c r="B22" s="36"/>
      <c r="C22" s="38" t="s">
        <v>72</v>
      </c>
      <c r="D22" s="36"/>
      <c r="E22" s="56">
        <f>SUM(E7:E20)</f>
        <v>107246477186</v>
      </c>
      <c r="F22" s="56">
        <f>SUM(F7:F20)</f>
        <v>18759443</v>
      </c>
      <c r="G22" s="36"/>
      <c r="H22" s="49"/>
      <c r="I22" s="56">
        <f>SUM(I7:I20)</f>
        <v>112351330493.57146</v>
      </c>
      <c r="J22" s="56">
        <f>SUM(J7:J20)</f>
        <v>19948281.430463996</v>
      </c>
      <c r="K22" s="64">
        <f>SUM(K7:K20)</f>
        <v>0.99999999999999989</v>
      </c>
      <c r="L22" s="64">
        <f>SUM(L7:L20)</f>
        <v>1.0000000000000004</v>
      </c>
      <c r="M22" s="36"/>
      <c r="N22" s="38" t="s">
        <v>72</v>
      </c>
      <c r="O22" s="38"/>
      <c r="P22" s="36"/>
      <c r="Q22" s="36"/>
      <c r="R22" s="59">
        <f>SUM(R7:R20)</f>
        <v>83281405</v>
      </c>
      <c r="S22" s="59">
        <f>SUM(S7:S20)</f>
        <v>249844212</v>
      </c>
      <c r="T22" s="69">
        <v>333125619.24357873</v>
      </c>
      <c r="U22" s="56">
        <f>SUM(U7:U20)</f>
        <v>107246477186</v>
      </c>
      <c r="V22" s="36"/>
      <c r="W22" s="56">
        <f>SUM(W7:W20)</f>
        <v>110772416</v>
      </c>
      <c r="X22" s="48"/>
      <c r="Y22" s="50"/>
    </row>
    <row r="24" spans="1:30" hidden="1" x14ac:dyDescent="0.3">
      <c r="C24" s="51" t="s">
        <v>64</v>
      </c>
    </row>
    <row r="25" spans="1:30" hidden="1" x14ac:dyDescent="0.3">
      <c r="C25" s="51" t="s">
        <v>73</v>
      </c>
    </row>
    <row r="26" spans="1:30" hidden="1" x14ac:dyDescent="0.3">
      <c r="C26" s="51" t="s">
        <v>66</v>
      </c>
    </row>
    <row r="27" spans="1:30" hidden="1" x14ac:dyDescent="0.3">
      <c r="C27" s="51" t="s">
        <v>74</v>
      </c>
    </row>
    <row r="28" spans="1:30" hidden="1" x14ac:dyDescent="0.3">
      <c r="C28" s="51" t="s">
        <v>51</v>
      </c>
    </row>
    <row r="29" spans="1:30" hidden="1" x14ac:dyDescent="0.3">
      <c r="C29" s="51" t="s">
        <v>55</v>
      </c>
    </row>
    <row r="30" spans="1:30" hidden="1" x14ac:dyDescent="0.3">
      <c r="C30" s="51" t="s">
        <v>57</v>
      </c>
    </row>
    <row r="31" spans="1:30" hidden="1" x14ac:dyDescent="0.3">
      <c r="C31" s="51" t="s">
        <v>60</v>
      </c>
    </row>
    <row r="32" spans="1:30" hidden="1" x14ac:dyDescent="0.3">
      <c r="C32" s="51" t="s">
        <v>48</v>
      </c>
    </row>
    <row r="33" spans="3:20" hidden="1" x14ac:dyDescent="0.3">
      <c r="C33" s="51" t="s">
        <v>68</v>
      </c>
    </row>
    <row r="34" spans="3:20" hidden="1" x14ac:dyDescent="0.3">
      <c r="C34" s="51" t="s">
        <v>1</v>
      </c>
    </row>
    <row r="35" spans="3:20" hidden="1" x14ac:dyDescent="0.3">
      <c r="C35" s="51" t="s">
        <v>53</v>
      </c>
    </row>
    <row r="36" spans="3:20" hidden="1" x14ac:dyDescent="0.3">
      <c r="C36" s="51" t="s">
        <v>45</v>
      </c>
    </row>
    <row r="37" spans="3:20" hidden="1" x14ac:dyDescent="0.3">
      <c r="C37" s="51" t="s">
        <v>0</v>
      </c>
    </row>
    <row r="38" spans="3:20" hidden="1" x14ac:dyDescent="0.3">
      <c r="C38" s="51" t="s">
        <v>75</v>
      </c>
    </row>
    <row r="39" spans="3:20" x14ac:dyDescent="0.3">
      <c r="T39" s="59"/>
    </row>
    <row r="40" spans="3:20" x14ac:dyDescent="0.3">
      <c r="F40" s="65"/>
    </row>
    <row r="41" spans="3:20" x14ac:dyDescent="0.3">
      <c r="C41" s="51" t="s">
        <v>114</v>
      </c>
      <c r="F41" s="66"/>
      <c r="T41" s="67"/>
    </row>
    <row r="42" spans="3:20" x14ac:dyDescent="0.3">
      <c r="C42" s="51" t="s">
        <v>115</v>
      </c>
    </row>
  </sheetData>
  <pageMargins left="0.7" right="0.7" top="0.75" bottom="0.75" header="0.3" footer="0.3"/>
  <pageSetup scale="87" orientation="landscape" r:id="rId1"/>
  <colBreaks count="2" manualBreakCount="2">
    <brk id="12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="90" zoomScaleNormal="90" workbookViewId="0">
      <selection activeCell="A2" sqref="A1:A2"/>
    </sheetView>
  </sheetViews>
  <sheetFormatPr defaultColWidth="9.109375" defaultRowHeight="13.2" x14ac:dyDescent="0.25"/>
  <cols>
    <col min="1" max="1" width="40.6640625" style="3" customWidth="1"/>
    <col min="2" max="2" width="16.6640625" style="5" bestFit="1" customWidth="1"/>
    <col min="3" max="3" width="17.33203125" style="6" bestFit="1" customWidth="1"/>
    <col min="4" max="4" width="14.109375" style="6" customWidth="1"/>
    <col min="5" max="5" width="23.44140625" style="6" customWidth="1"/>
    <col min="6" max="6" width="19.33203125" style="7" customWidth="1"/>
    <col min="7" max="7" width="20.88671875" style="7" customWidth="1"/>
    <col min="8" max="8" width="14" style="5" customWidth="1"/>
    <col min="9" max="9" width="13.33203125" style="3" bestFit="1" customWidth="1"/>
    <col min="10" max="16384" width="9.109375" style="3"/>
  </cols>
  <sheetData>
    <row r="1" spans="1:8" ht="13.8" x14ac:dyDescent="0.3">
      <c r="A1" s="73" t="s">
        <v>122</v>
      </c>
    </row>
    <row r="2" spans="1:8" ht="13.8" x14ac:dyDescent="0.3">
      <c r="A2" s="73" t="s">
        <v>121</v>
      </c>
    </row>
    <row r="3" spans="1:8" ht="21" x14ac:dyDescent="0.4">
      <c r="A3" s="70" t="s">
        <v>87</v>
      </c>
      <c r="B3" s="70"/>
      <c r="C3" s="70"/>
      <c r="D3" s="70"/>
      <c r="E3" s="70"/>
      <c r="F3" s="70"/>
      <c r="G3" s="70"/>
      <c r="H3" s="70"/>
    </row>
    <row r="4" spans="1:8" ht="21" x14ac:dyDescent="0.4">
      <c r="A4" s="70" t="s">
        <v>119</v>
      </c>
      <c r="B4" s="70"/>
      <c r="C4" s="70"/>
      <c r="D4" s="70"/>
      <c r="E4" s="70"/>
      <c r="F4" s="70"/>
      <c r="G4" s="70"/>
      <c r="H4" s="70"/>
    </row>
    <row r="5" spans="1:8" ht="13.8" x14ac:dyDescent="0.25">
      <c r="A5" s="71" t="s">
        <v>88</v>
      </c>
      <c r="B5" s="71"/>
      <c r="C5" s="71"/>
      <c r="D5" s="71"/>
      <c r="E5" s="71"/>
      <c r="F5" s="71"/>
      <c r="G5" s="71"/>
      <c r="H5" s="71"/>
    </row>
    <row r="6" spans="1:8" ht="21" x14ac:dyDescent="0.4">
      <c r="A6" s="4"/>
    </row>
    <row r="8" spans="1:8" x14ac:dyDescent="0.25">
      <c r="A8" s="8" t="s">
        <v>89</v>
      </c>
      <c r="B8" s="9" t="s">
        <v>24</v>
      </c>
      <c r="C8" s="10" t="s">
        <v>90</v>
      </c>
      <c r="D8" s="11" t="s">
        <v>24</v>
      </c>
      <c r="E8" s="11"/>
      <c r="F8" s="72" t="s">
        <v>91</v>
      </c>
      <c r="G8" s="72"/>
      <c r="H8" s="72"/>
    </row>
    <row r="9" spans="1:8" s="1" customFormat="1" ht="30" customHeight="1" x14ac:dyDescent="0.25">
      <c r="A9" s="8" t="s">
        <v>92</v>
      </c>
      <c r="B9" s="9" t="s">
        <v>91</v>
      </c>
      <c r="C9" s="10" t="s">
        <v>93</v>
      </c>
      <c r="D9" s="10" t="s">
        <v>94</v>
      </c>
      <c r="E9" s="12" t="s">
        <v>95</v>
      </c>
      <c r="F9" s="10" t="s">
        <v>96</v>
      </c>
      <c r="G9" s="13" t="s">
        <v>97</v>
      </c>
      <c r="H9" s="9" t="s">
        <v>98</v>
      </c>
    </row>
    <row r="10" spans="1:8" s="1" customFormat="1" x14ac:dyDescent="0.25">
      <c r="A10" s="8"/>
      <c r="B10" s="9" t="s">
        <v>99</v>
      </c>
      <c r="C10" s="10" t="s">
        <v>100</v>
      </c>
      <c r="D10" s="14"/>
      <c r="E10" s="12" t="s">
        <v>101</v>
      </c>
      <c r="F10" s="12" t="s">
        <v>101</v>
      </c>
      <c r="G10" s="12" t="s">
        <v>101</v>
      </c>
      <c r="H10" s="9"/>
    </row>
    <row r="11" spans="1:8" s="1" customFormat="1" ht="13.8" thickBot="1" x14ac:dyDescent="0.3">
      <c r="A11" s="15"/>
      <c r="B11" s="16"/>
      <c r="C11" s="17"/>
      <c r="D11" s="18"/>
      <c r="E11" s="18"/>
      <c r="F11" s="18"/>
      <c r="G11" s="18"/>
      <c r="H11" s="16"/>
    </row>
    <row r="12" spans="1:8" x14ac:dyDescent="0.25">
      <c r="C12" s="29"/>
      <c r="D12" s="29"/>
      <c r="E12" s="29"/>
      <c r="F12" s="30"/>
      <c r="G12" s="30"/>
    </row>
    <row r="13" spans="1:8" ht="14.1" customHeight="1" x14ac:dyDescent="0.25">
      <c r="A13" s="1" t="s">
        <v>45</v>
      </c>
      <c r="B13" s="19">
        <f>+C13/8760/D13</f>
        <v>0.58936597418104908</v>
      </c>
      <c r="C13" s="7">
        <f>'2017 Capacity Calc'!E7</f>
        <v>56993678507</v>
      </c>
      <c r="D13" s="7">
        <f>'2017 Capacity Calc'!F7</f>
        <v>11039198</v>
      </c>
      <c r="E13" s="22"/>
      <c r="F13" s="22">
        <v>27467906.102011632</v>
      </c>
      <c r="G13" s="22"/>
      <c r="H13" s="20">
        <f>+C13/8760/F13</f>
        <v>0.23686289225267912</v>
      </c>
    </row>
    <row r="14" spans="1:8" ht="14.1" customHeight="1" x14ac:dyDescent="0.25">
      <c r="A14" s="1" t="s">
        <v>48</v>
      </c>
      <c r="B14" s="19">
        <f t="shared" ref="B14:B26" si="0">+C14/8760/D14</f>
        <v>0.64794658305165942</v>
      </c>
      <c r="C14" s="7">
        <f>'2017 Capacity Calc'!E8</f>
        <v>5968792122</v>
      </c>
      <c r="D14" s="7">
        <f>'2017 Capacity Calc'!F8</f>
        <v>1051582</v>
      </c>
      <c r="E14" s="22"/>
      <c r="F14" s="22">
        <v>2009590.6341945103</v>
      </c>
      <c r="G14" s="22"/>
      <c r="H14" s="20">
        <f>+C14/8760/F14</f>
        <v>0.33905858840337316</v>
      </c>
    </row>
    <row r="15" spans="1:8" s="28" customFormat="1" ht="14.1" customHeight="1" x14ac:dyDescent="0.25">
      <c r="A15" s="23" t="s">
        <v>78</v>
      </c>
      <c r="B15" s="24">
        <f t="shared" si="0"/>
        <v>0.7250742285119306</v>
      </c>
      <c r="C15" s="25">
        <f>'2017 Capacity Calc'!E9</f>
        <v>25825428784</v>
      </c>
      <c r="D15" s="25">
        <f>'2017 Capacity Calc'!F9</f>
        <v>4065940</v>
      </c>
      <c r="E15" s="26"/>
      <c r="F15" s="26">
        <v>5878166.3280035565</v>
      </c>
      <c r="G15" s="26"/>
      <c r="H15" s="27">
        <f>+C15/8760/F15</f>
        <v>0.50153536735274484</v>
      </c>
    </row>
    <row r="16" spans="1:8" ht="14.1" customHeight="1" x14ac:dyDescent="0.25">
      <c r="A16" s="1" t="s">
        <v>53</v>
      </c>
      <c r="B16" s="19">
        <f t="shared" si="0"/>
        <v>0.91880190616285118</v>
      </c>
      <c r="C16" s="7">
        <f>'2017 Capacity Calc'!E10</f>
        <v>10793313</v>
      </c>
      <c r="D16" s="7">
        <f>'2017 Capacity Calc'!F10</f>
        <v>1341</v>
      </c>
      <c r="E16" s="22"/>
      <c r="F16" s="22">
        <v>12941.093632980663</v>
      </c>
      <c r="G16" s="22"/>
      <c r="H16" s="20">
        <f>+C16/8760/F16</f>
        <v>9.5209368783509565E-2</v>
      </c>
    </row>
    <row r="17" spans="1:8" s="28" customFormat="1" ht="14.1" customHeight="1" x14ac:dyDescent="0.25">
      <c r="A17" s="23" t="s">
        <v>79</v>
      </c>
      <c r="B17" s="24">
        <f t="shared" si="0"/>
        <v>0.72999447370268022</v>
      </c>
      <c r="C17" s="25">
        <f>'2017 Capacity Calc'!E11</f>
        <v>10507497706</v>
      </c>
      <c r="D17" s="25">
        <f>'2017 Capacity Calc'!F11</f>
        <v>1643144</v>
      </c>
      <c r="E17" s="26"/>
      <c r="F17" s="26">
        <v>2115063.1152586355</v>
      </c>
      <c r="G17" s="26"/>
      <c r="H17" s="27">
        <f>+C17/8760/F17</f>
        <v>0.5671159554740004</v>
      </c>
    </row>
    <row r="18" spans="1:8" s="28" customFormat="1" ht="14.1" customHeight="1" x14ac:dyDescent="0.25">
      <c r="A18" s="23" t="s">
        <v>80</v>
      </c>
      <c r="B18" s="24">
        <f t="shared" si="0"/>
        <v>0.87345961333713062</v>
      </c>
      <c r="C18" s="25">
        <f>'2017 Capacity Calc'!E12</f>
        <v>2515470925</v>
      </c>
      <c r="D18" s="25">
        <f>'2017 Capacity Calc'!F12</f>
        <v>328755</v>
      </c>
      <c r="E18" s="26"/>
      <c r="F18" s="26">
        <v>436458.30541833135</v>
      </c>
      <c r="G18" s="26"/>
      <c r="H18" s="27">
        <f t="shared" ref="H18:H20" si="1">+C18/8760/F18</f>
        <v>0.65791900765279343</v>
      </c>
    </row>
    <row r="19" spans="1:8" s="28" customFormat="1" ht="14.1" customHeight="1" x14ac:dyDescent="0.25">
      <c r="A19" s="28" t="s">
        <v>81</v>
      </c>
      <c r="B19" s="24">
        <f t="shared" si="0"/>
        <v>0.85789890463724527</v>
      </c>
      <c r="C19" s="25">
        <f>'2017 Capacity Calc'!E13</f>
        <v>172992260</v>
      </c>
      <c r="D19" s="25">
        <f>'2017 Capacity Calc'!F13</f>
        <v>23019</v>
      </c>
      <c r="E19" s="26"/>
      <c r="F19" s="26"/>
      <c r="G19" s="32">
        <v>35269.927466604626</v>
      </c>
      <c r="H19" s="33">
        <f>+C19/8760/G19</f>
        <v>0.55990971074559603</v>
      </c>
    </row>
    <row r="20" spans="1:8" ht="14.1" customHeight="1" x14ac:dyDescent="0.25">
      <c r="A20" s="1" t="s">
        <v>83</v>
      </c>
      <c r="B20" s="19">
        <f t="shared" si="0"/>
        <v>0.78013277538720671</v>
      </c>
      <c r="C20" s="7">
        <f>'2017 Capacity Calc'!E14</f>
        <v>11856926</v>
      </c>
      <c r="D20" s="7">
        <f>'2017 Capacity Calc'!F14</f>
        <v>1735</v>
      </c>
      <c r="E20" s="22"/>
      <c r="F20" s="22">
        <v>4559.8342849388291</v>
      </c>
      <c r="G20" s="34"/>
      <c r="H20" s="35">
        <f t="shared" si="1"/>
        <v>0.29683762187751556</v>
      </c>
    </row>
    <row r="21" spans="1:8" ht="14.1" customHeight="1" x14ac:dyDescent="0.25">
      <c r="A21" s="1" t="s">
        <v>82</v>
      </c>
      <c r="B21" s="19">
        <f>+C21/8760/D21</f>
        <v>1.0702681908374059</v>
      </c>
      <c r="C21" s="7">
        <f>'2017 Capacity Calc'!E15</f>
        <v>89667754</v>
      </c>
      <c r="D21" s="7">
        <f>'2017 Capacity Calc'!F15</f>
        <v>9564</v>
      </c>
      <c r="E21" s="22"/>
      <c r="F21" s="22">
        <v>90426.896702376936</v>
      </c>
      <c r="G21" s="34"/>
      <c r="H21" s="35">
        <f>+C21/8760/F21</f>
        <v>0.11319690656706886</v>
      </c>
    </row>
    <row r="22" spans="1:8" s="28" customFormat="1" ht="14.1" customHeight="1" x14ac:dyDescent="0.25">
      <c r="A22" s="28" t="s">
        <v>84</v>
      </c>
      <c r="B22" s="24">
        <f t="shared" si="0"/>
        <v>0.86999673748559492</v>
      </c>
      <c r="C22" s="25">
        <f>'2017 Capacity Calc'!E16</f>
        <v>2789043893</v>
      </c>
      <c r="D22" s="25">
        <f>'2017 Capacity Calc'!F16</f>
        <v>365960</v>
      </c>
      <c r="E22" s="26"/>
      <c r="F22" s="26"/>
      <c r="G22" s="32">
        <v>429418.41645449324</v>
      </c>
      <c r="H22" s="33">
        <f>+C22/8760/G22</f>
        <v>0.74143072083162143</v>
      </c>
    </row>
    <row r="23" spans="1:8" s="28" customFormat="1" ht="14.1" customHeight="1" x14ac:dyDescent="0.25">
      <c r="A23" s="28" t="s">
        <v>66</v>
      </c>
      <c r="B23" s="24">
        <f t="shared" si="0"/>
        <v>0.90923413884419879</v>
      </c>
      <c r="C23" s="25">
        <f>'2017 Capacity Calc'!E17</f>
        <v>1508335314</v>
      </c>
      <c r="D23" s="25">
        <f>'2017 Capacity Calc'!F17</f>
        <v>189373</v>
      </c>
      <c r="E23" s="26"/>
      <c r="F23" s="26"/>
      <c r="G23" s="32">
        <v>225558.74252306754</v>
      </c>
      <c r="H23" s="33">
        <f>+C23/8760/G23</f>
        <v>0.7633683121714222</v>
      </c>
    </row>
    <row r="24" spans="1:8" ht="14.1" customHeight="1" x14ac:dyDescent="0.25">
      <c r="A24" s="1" t="s">
        <v>68</v>
      </c>
      <c r="B24" s="19">
        <f t="shared" si="0"/>
        <v>0.71417147514048007</v>
      </c>
      <c r="C24" s="7">
        <f>'2017 Capacity Calc'!E18</f>
        <v>91208296</v>
      </c>
      <c r="D24" s="7">
        <f>'2017 Capacity Calc'!F18</f>
        <v>14579</v>
      </c>
      <c r="E24" s="22">
        <v>16113.074580118737</v>
      </c>
      <c r="F24" s="22"/>
      <c r="G24" s="22"/>
      <c r="H24" s="20">
        <f>+$C24/8760/E24</f>
        <v>0.64617748054861501</v>
      </c>
    </row>
    <row r="25" spans="1:8" ht="14.1" customHeight="1" x14ac:dyDescent="0.25">
      <c r="A25" s="1" t="s">
        <v>85</v>
      </c>
      <c r="B25" s="19">
        <f t="shared" si="0"/>
        <v>5.8503739510382067</v>
      </c>
      <c r="C25" s="7">
        <f>'2017 Capacity Calc'!E19</f>
        <v>658706942</v>
      </c>
      <c r="D25" s="7">
        <f>'2017 Capacity Calc'!F19</f>
        <v>12853</v>
      </c>
      <c r="E25" s="22"/>
      <c r="F25" s="22">
        <v>153650.38642725619</v>
      </c>
      <c r="G25" s="22"/>
      <c r="H25" s="20">
        <f>+C25/8760/F25</f>
        <v>0.48938930868419334</v>
      </c>
    </row>
    <row r="26" spans="1:8" ht="14.1" customHeight="1" x14ac:dyDescent="0.25">
      <c r="A26" s="1" t="s">
        <v>86</v>
      </c>
      <c r="B26" s="19">
        <f t="shared" si="0"/>
        <v>0.94826598173515986</v>
      </c>
      <c r="C26" s="7">
        <f>'2017 Capacity Calc'!E20</f>
        <v>103004444</v>
      </c>
      <c r="D26" s="7">
        <f>'2017 Capacity Calc'!F20</f>
        <v>12400</v>
      </c>
      <c r="E26" s="22"/>
      <c r="F26" s="22">
        <v>12695.926255080072</v>
      </c>
      <c r="G26" s="22"/>
      <c r="H26" s="20">
        <f>+C26/8760/F26</f>
        <v>0.92616308076072873</v>
      </c>
    </row>
    <row r="27" spans="1:8" x14ac:dyDescent="0.25">
      <c r="E27" s="22"/>
      <c r="F27" s="22"/>
      <c r="G27" s="22"/>
      <c r="H27" s="20"/>
    </row>
    <row r="28" spans="1:8" ht="13.8" thickBot="1" x14ac:dyDescent="0.3">
      <c r="A28" s="3" t="s">
        <v>72</v>
      </c>
      <c r="C28" s="21">
        <f>SUM(C13:C27)</f>
        <v>107246477186</v>
      </c>
      <c r="D28" s="21">
        <f t="shared" ref="D28:G28" si="2">SUM(D13:D27)</f>
        <v>18759443</v>
      </c>
      <c r="E28" s="21">
        <f t="shared" si="2"/>
        <v>16113.074580118737</v>
      </c>
      <c r="F28" s="21">
        <f t="shared" si="2"/>
        <v>38181458.622189298</v>
      </c>
      <c r="G28" s="21">
        <f t="shared" si="2"/>
        <v>690247.08644416544</v>
      </c>
    </row>
    <row r="29" spans="1:8" ht="13.8" thickTop="1" x14ac:dyDescent="0.25"/>
    <row r="31" spans="1:8" x14ac:dyDescent="0.25">
      <c r="A31" s="3" t="s">
        <v>102</v>
      </c>
    </row>
    <row r="32" spans="1:8" x14ac:dyDescent="0.25">
      <c r="A32" s="3" t="s">
        <v>103</v>
      </c>
    </row>
    <row r="33" spans="1:7" x14ac:dyDescent="0.25">
      <c r="A33" s="2" t="s">
        <v>104</v>
      </c>
    </row>
    <row r="34" spans="1:7" x14ac:dyDescent="0.25">
      <c r="A34" s="2" t="s">
        <v>105</v>
      </c>
    </row>
    <row r="35" spans="1:7" x14ac:dyDescent="0.25">
      <c r="A35" s="1" t="s">
        <v>106</v>
      </c>
    </row>
    <row r="36" spans="1:7" s="5" customFormat="1" x14ac:dyDescent="0.25">
      <c r="A36" s="1" t="s">
        <v>107</v>
      </c>
      <c r="C36" s="6"/>
      <c r="D36" s="6"/>
      <c r="E36" s="6"/>
      <c r="F36" s="7"/>
      <c r="G36" s="7"/>
    </row>
    <row r="37" spans="1:7" s="5" customFormat="1" x14ac:dyDescent="0.25">
      <c r="A37" s="1" t="s">
        <v>108</v>
      </c>
      <c r="C37" s="6"/>
      <c r="D37" s="6"/>
      <c r="E37" s="6"/>
      <c r="F37" s="7"/>
      <c r="G37" s="7"/>
    </row>
    <row r="38" spans="1:7" s="5" customFormat="1" x14ac:dyDescent="0.25">
      <c r="A38" s="1" t="s">
        <v>109</v>
      </c>
      <c r="C38" s="6"/>
      <c r="D38" s="6"/>
      <c r="E38" s="6"/>
      <c r="F38" s="7"/>
      <c r="G38" s="7"/>
    </row>
    <row r="39" spans="1:7" s="5" customFormat="1" x14ac:dyDescent="0.25">
      <c r="A39" s="1" t="s">
        <v>110</v>
      </c>
      <c r="C39" s="6"/>
      <c r="D39" s="6"/>
      <c r="E39" s="6"/>
      <c r="F39" s="7"/>
      <c r="G39" s="7"/>
    </row>
  </sheetData>
  <mergeCells count="4">
    <mergeCell ref="A3:H3"/>
    <mergeCell ref="A4:H4"/>
    <mergeCell ref="A5:H5"/>
    <mergeCell ref="F8:H8"/>
  </mergeCells>
  <printOptions horizontalCentered="1"/>
  <pageMargins left="0" right="0" top="0.75" bottom="0.5" header="0.5" footer="0.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opLeftCell="C1" zoomScaleNormal="100" workbookViewId="0">
      <selection activeCell="C1" sqref="C1:C2"/>
    </sheetView>
  </sheetViews>
  <sheetFormatPr defaultColWidth="9.109375" defaultRowHeight="13.8" x14ac:dyDescent="0.3"/>
  <cols>
    <col min="1" max="2" width="0" style="51" hidden="1" customWidth="1"/>
    <col min="3" max="3" width="33.33203125" style="51" customWidth="1"/>
    <col min="4" max="4" width="9.44140625" style="51" bestFit="1" customWidth="1"/>
    <col min="5" max="5" width="15" style="51" bestFit="1" customWidth="1"/>
    <col min="6" max="6" width="12" style="51" bestFit="1" customWidth="1"/>
    <col min="7" max="7" width="11" style="51" bestFit="1" customWidth="1"/>
    <col min="8" max="8" width="13" style="51" customWidth="1"/>
    <col min="9" max="9" width="15" style="51" bestFit="1" customWidth="1"/>
    <col min="10" max="10" width="10.44140625" style="51" bestFit="1" customWidth="1"/>
    <col min="11" max="11" width="11.44140625" style="51" customWidth="1"/>
    <col min="12" max="12" width="10.44140625" style="51" bestFit="1" customWidth="1"/>
    <col min="13" max="13" width="4.6640625" style="51" customWidth="1"/>
    <col min="14" max="14" width="32.33203125" style="51" customWidth="1"/>
    <col min="15" max="15" width="32.33203125" style="51" hidden="1" customWidth="1"/>
    <col min="16" max="17" width="9.6640625" style="51" bestFit="1" customWidth="1"/>
    <col min="18" max="18" width="11.44140625" style="51" bestFit="1" customWidth="1"/>
    <col min="19" max="19" width="12.44140625" style="51" bestFit="1" customWidth="1"/>
    <col min="20" max="20" width="15.5546875" style="51" bestFit="1" customWidth="1"/>
    <col min="21" max="21" width="15" style="51" bestFit="1" customWidth="1"/>
    <col min="22" max="22" width="12.5546875" style="51" customWidth="1"/>
    <col min="23" max="23" width="12.44140625" style="51" bestFit="1" customWidth="1"/>
    <col min="24" max="24" width="9.44140625" style="51" bestFit="1" customWidth="1"/>
    <col min="25" max="25" width="9" style="51" bestFit="1" customWidth="1"/>
    <col min="26" max="27" width="9.44140625" style="51" bestFit="1" customWidth="1"/>
    <col min="28" max="16384" width="9.109375" style="51"/>
  </cols>
  <sheetData>
    <row r="1" spans="1:27" x14ac:dyDescent="0.3">
      <c r="C1" s="73" t="s">
        <v>123</v>
      </c>
    </row>
    <row r="2" spans="1:27" x14ac:dyDescent="0.3">
      <c r="C2" s="73" t="s">
        <v>121</v>
      </c>
    </row>
    <row r="3" spans="1:27" x14ac:dyDescent="0.3">
      <c r="B3" s="36"/>
      <c r="C3" s="36"/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10</v>
      </c>
      <c r="M3" s="36"/>
      <c r="N3" s="36"/>
      <c r="O3" s="36"/>
      <c r="P3" s="37" t="s">
        <v>2</v>
      </c>
      <c r="Q3" s="37" t="s">
        <v>3</v>
      </c>
      <c r="R3" s="37" t="s">
        <v>4</v>
      </c>
      <c r="S3" s="37" t="s">
        <v>5</v>
      </c>
      <c r="T3" s="37" t="s">
        <v>6</v>
      </c>
      <c r="U3" s="37" t="s">
        <v>7</v>
      </c>
      <c r="V3" s="37" t="s">
        <v>8</v>
      </c>
      <c r="W3" s="37" t="s">
        <v>9</v>
      </c>
      <c r="X3" s="37" t="s">
        <v>10</v>
      </c>
      <c r="Y3" s="37" t="s">
        <v>11</v>
      </c>
    </row>
    <row r="4" spans="1:27" x14ac:dyDescent="0.3">
      <c r="B4" s="36"/>
      <c r="C4" s="36"/>
      <c r="D4" s="37" t="s">
        <v>12</v>
      </c>
      <c r="E4" s="37" t="s">
        <v>13</v>
      </c>
      <c r="F4" s="37" t="s">
        <v>13</v>
      </c>
      <c r="G4" s="37" t="s">
        <v>14</v>
      </c>
      <c r="H4" s="37" t="s">
        <v>15</v>
      </c>
      <c r="I4" s="37" t="s">
        <v>13</v>
      </c>
      <c r="J4" s="37" t="s">
        <v>13</v>
      </c>
      <c r="K4" s="37" t="s">
        <v>16</v>
      </c>
      <c r="L4" s="37" t="s">
        <v>16</v>
      </c>
      <c r="M4" s="36"/>
      <c r="N4" s="36"/>
      <c r="O4" s="36"/>
      <c r="P4" s="37" t="s">
        <v>16</v>
      </c>
      <c r="Q4" s="37" t="s">
        <v>16</v>
      </c>
      <c r="R4" s="37" t="s">
        <v>15</v>
      </c>
      <c r="S4" s="37" t="s">
        <v>14</v>
      </c>
      <c r="T4" s="37" t="s">
        <v>17</v>
      </c>
      <c r="U4" s="37" t="s">
        <v>13</v>
      </c>
      <c r="V4" s="37" t="s">
        <v>18</v>
      </c>
      <c r="W4" s="37" t="s">
        <v>19</v>
      </c>
      <c r="X4" s="37" t="s">
        <v>20</v>
      </c>
      <c r="Y4" s="37" t="s">
        <v>20</v>
      </c>
    </row>
    <row r="5" spans="1:27" x14ac:dyDescent="0.3">
      <c r="B5" s="36"/>
      <c r="C5" s="38" t="s">
        <v>21</v>
      </c>
      <c r="D5" s="37" t="s">
        <v>22</v>
      </c>
      <c r="E5" s="37" t="s">
        <v>23</v>
      </c>
      <c r="F5" s="37" t="s">
        <v>24</v>
      </c>
      <c r="G5" s="37" t="s">
        <v>25</v>
      </c>
      <c r="H5" s="37" t="s">
        <v>25</v>
      </c>
      <c r="I5" s="37" t="s">
        <v>23</v>
      </c>
      <c r="J5" s="37" t="s">
        <v>24</v>
      </c>
      <c r="K5" s="37" t="s">
        <v>26</v>
      </c>
      <c r="L5" s="37" t="s">
        <v>27</v>
      </c>
      <c r="M5" s="36"/>
      <c r="N5" s="38" t="s">
        <v>21</v>
      </c>
      <c r="O5" s="38"/>
      <c r="P5" s="37" t="s">
        <v>26</v>
      </c>
      <c r="Q5" s="37" t="s">
        <v>27</v>
      </c>
      <c r="R5" s="37" t="s">
        <v>28</v>
      </c>
      <c r="S5" s="37" t="s">
        <v>28</v>
      </c>
      <c r="T5" s="37" t="s">
        <v>20</v>
      </c>
      <c r="U5" s="37" t="s">
        <v>23</v>
      </c>
      <c r="V5" s="37" t="s">
        <v>22</v>
      </c>
      <c r="W5" s="37" t="s">
        <v>29</v>
      </c>
      <c r="X5" s="37" t="s">
        <v>30</v>
      </c>
      <c r="Y5" s="37" t="s">
        <v>30</v>
      </c>
    </row>
    <row r="6" spans="1:27" x14ac:dyDescent="0.3">
      <c r="B6" s="36"/>
      <c r="C6" s="36"/>
      <c r="D6" s="37" t="s">
        <v>31</v>
      </c>
      <c r="E6" s="37" t="s">
        <v>32</v>
      </c>
      <c r="F6" s="37" t="s">
        <v>31</v>
      </c>
      <c r="G6" s="37" t="s">
        <v>33</v>
      </c>
      <c r="H6" s="37" t="s">
        <v>33</v>
      </c>
      <c r="I6" s="37" t="s">
        <v>34</v>
      </c>
      <c r="J6" s="37" t="s">
        <v>35</v>
      </c>
      <c r="K6" s="37" t="s">
        <v>34</v>
      </c>
      <c r="L6" s="37" t="s">
        <v>34</v>
      </c>
      <c r="M6" s="36"/>
      <c r="N6" s="36"/>
      <c r="O6" s="36"/>
      <c r="P6" s="37" t="s">
        <v>34</v>
      </c>
      <c r="Q6" s="37" t="s">
        <v>34</v>
      </c>
      <c r="R6" s="36"/>
      <c r="S6" s="36"/>
      <c r="T6" s="37" t="s">
        <v>36</v>
      </c>
      <c r="U6" s="37" t="s">
        <v>32</v>
      </c>
      <c r="V6" s="40"/>
      <c r="W6" s="37" t="s">
        <v>31</v>
      </c>
      <c r="X6" s="37" t="s">
        <v>37</v>
      </c>
      <c r="Y6" s="37" t="s">
        <v>37</v>
      </c>
      <c r="Z6" s="37" t="s">
        <v>111</v>
      </c>
      <c r="AA6" s="37" t="s">
        <v>112</v>
      </c>
    </row>
    <row r="7" spans="1:27" x14ac:dyDescent="0.3">
      <c r="B7" s="36"/>
      <c r="C7" s="36"/>
      <c r="D7" s="37" t="s">
        <v>38</v>
      </c>
      <c r="E7" s="37" t="s">
        <v>39</v>
      </c>
      <c r="F7" s="37" t="s">
        <v>40</v>
      </c>
      <c r="G7" s="37" t="s">
        <v>37</v>
      </c>
      <c r="H7" s="37" t="s">
        <v>37</v>
      </c>
      <c r="I7" s="37" t="s">
        <v>39</v>
      </c>
      <c r="J7" s="37" t="s">
        <v>40</v>
      </c>
      <c r="K7" s="37" t="s">
        <v>38</v>
      </c>
      <c r="L7" s="37" t="s">
        <v>38</v>
      </c>
      <c r="M7" s="36"/>
      <c r="N7" s="36"/>
      <c r="O7" s="36"/>
      <c r="P7" s="37" t="s">
        <v>38</v>
      </c>
      <c r="Q7" s="37" t="s">
        <v>38</v>
      </c>
      <c r="R7" s="37" t="s">
        <v>41</v>
      </c>
      <c r="S7" s="37" t="s">
        <v>41</v>
      </c>
      <c r="T7" s="37" t="s">
        <v>41</v>
      </c>
      <c r="U7" s="37" t="s">
        <v>39</v>
      </c>
      <c r="V7" s="37" t="s">
        <v>38</v>
      </c>
      <c r="W7" s="37" t="s">
        <v>42</v>
      </c>
      <c r="X7" s="37" t="s">
        <v>43</v>
      </c>
      <c r="Y7" s="37" t="s">
        <v>44</v>
      </c>
      <c r="Z7" s="37" t="s">
        <v>44</v>
      </c>
      <c r="AA7" s="37" t="s">
        <v>44</v>
      </c>
    </row>
    <row r="8" spans="1:27" x14ac:dyDescent="0.3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7" x14ac:dyDescent="0.3">
      <c r="A9" s="51" t="s">
        <v>45</v>
      </c>
      <c r="B9" s="36" t="s">
        <v>45</v>
      </c>
      <c r="C9" s="38" t="s">
        <v>46</v>
      </c>
      <c r="D9" s="52">
        <v>0.58600543495497959</v>
      </c>
      <c r="E9" s="53">
        <v>57361215879</v>
      </c>
      <c r="F9" s="54">
        <f>ROUND(E9/(8760*D9),0)</f>
        <v>11174101</v>
      </c>
      <c r="G9" s="55">
        <v>1.0646691328274209</v>
      </c>
      <c r="H9" s="55">
        <v>1.0486554726996764</v>
      </c>
      <c r="I9" s="56">
        <f>E9*H9</f>
        <v>60152152952.220932</v>
      </c>
      <c r="J9" s="56">
        <f>F9*G9</f>
        <v>11896720.421796016</v>
      </c>
      <c r="K9" s="57">
        <f>I9/$I$24</f>
        <v>0.53234232582190966</v>
      </c>
      <c r="L9" s="41">
        <f>J9/$J$24</f>
        <v>0.58944185259781157</v>
      </c>
      <c r="M9" s="36"/>
      <c r="N9" s="38" t="s">
        <v>46</v>
      </c>
      <c r="O9" s="58" t="s">
        <v>45</v>
      </c>
      <c r="P9" s="41">
        <f t="shared" ref="P9:P22" si="0">K9</f>
        <v>0.53234232582190966</v>
      </c>
      <c r="Q9" s="41">
        <f t="shared" ref="Q9:Q22" si="1">L9</f>
        <v>0.58944185259781157</v>
      </c>
      <c r="R9" s="59">
        <f>ROUND(+P9*($T$24*0.25),0)</f>
        <v>41223771</v>
      </c>
      <c r="S9" s="59">
        <f>ROUND(+Q9*($T$24*0.75),0)</f>
        <v>136936412</v>
      </c>
      <c r="T9" s="59">
        <f>R9+S9</f>
        <v>178160183</v>
      </c>
      <c r="U9" s="56">
        <f>E9</f>
        <v>57361215879</v>
      </c>
      <c r="V9" s="42"/>
      <c r="W9" s="37" t="s">
        <v>47</v>
      </c>
      <c r="X9" s="37" t="s">
        <v>47</v>
      </c>
      <c r="Y9" s="50">
        <f>ROUND(T9/U9,5)</f>
        <v>3.1099999999999999E-3</v>
      </c>
    </row>
    <row r="10" spans="1:27" x14ac:dyDescent="0.3">
      <c r="A10" s="51" t="s">
        <v>48</v>
      </c>
      <c r="B10" s="36" t="s">
        <v>48</v>
      </c>
      <c r="C10" s="38" t="s">
        <v>49</v>
      </c>
      <c r="D10" s="52">
        <v>0.6442654800125015</v>
      </c>
      <c r="E10" s="53">
        <v>6001791085</v>
      </c>
      <c r="F10" s="54">
        <f>ROUND(E10/(8760*D10),0)</f>
        <v>1063437</v>
      </c>
      <c r="G10" s="55">
        <v>1.0646691322160158</v>
      </c>
      <c r="H10" s="55">
        <v>1.0486554726996764</v>
      </c>
      <c r="I10" s="56">
        <f t="shared" ref="I10:I22" si="2">E10*H10</f>
        <v>6293811067.2853785</v>
      </c>
      <c r="J10" s="56">
        <f t="shared" ref="J10:J22" si="3">F10*G10</f>
        <v>1132208.5479564031</v>
      </c>
      <c r="K10" s="57">
        <f t="shared" ref="K10:K22" si="4">I10/$I$24</f>
        <v>5.5699785583795437E-2</v>
      </c>
      <c r="L10" s="41">
        <f t="shared" ref="L10:L22" si="5">J10/$J$24</f>
        <v>5.6097065440977152E-2</v>
      </c>
      <c r="M10" s="36"/>
      <c r="N10" s="38" t="s">
        <v>50</v>
      </c>
      <c r="O10" s="58" t="s">
        <v>48</v>
      </c>
      <c r="P10" s="41">
        <f t="shared" si="0"/>
        <v>5.5699785583795437E-2</v>
      </c>
      <c r="Q10" s="41">
        <f t="shared" si="1"/>
        <v>5.6097065440977152E-2</v>
      </c>
      <c r="R10" s="59">
        <f t="shared" ref="R10:R22" si="6">ROUND(+P10*($T$24*0.25),0)</f>
        <v>4313306</v>
      </c>
      <c r="S10" s="59">
        <f t="shared" ref="S10:S22" si="7">ROUND(+Q10*($T$24*0.75),0)</f>
        <v>13032211</v>
      </c>
      <c r="T10" s="59">
        <f t="shared" ref="T10:T22" si="8">R10+S10</f>
        <v>17345517</v>
      </c>
      <c r="U10" s="56">
        <f t="shared" ref="U10:U22" si="9">E10</f>
        <v>6001791085</v>
      </c>
      <c r="V10" s="42"/>
      <c r="W10" s="37" t="s">
        <v>47</v>
      </c>
      <c r="X10" s="44" t="s">
        <v>47</v>
      </c>
      <c r="Y10" s="50">
        <f>ROUND(T10/U10,5)</f>
        <v>2.8900000000000002E-3</v>
      </c>
    </row>
    <row r="11" spans="1:27" x14ac:dyDescent="0.3">
      <c r="A11" s="51" t="s">
        <v>51</v>
      </c>
      <c r="B11" s="36" t="s">
        <v>51</v>
      </c>
      <c r="C11" s="38" t="s">
        <v>52</v>
      </c>
      <c r="D11" s="52">
        <v>0.72095715928252913</v>
      </c>
      <c r="E11" s="53">
        <v>25949742256</v>
      </c>
      <c r="F11" s="54">
        <f t="shared" ref="F11:F22" si="10">ROUND(E11/(8760*D11),0)</f>
        <v>4108842</v>
      </c>
      <c r="G11" s="55">
        <v>1.0645832438034282</v>
      </c>
      <c r="H11" s="55">
        <v>1.0485916395184989</v>
      </c>
      <c r="I11" s="56">
        <f t="shared" si="2"/>
        <v>27210682777.30151</v>
      </c>
      <c r="J11" s="56">
        <f t="shared" si="3"/>
        <v>4374204.3446357651</v>
      </c>
      <c r="K11" s="57">
        <f t="shared" si="4"/>
        <v>0.24081263007122403</v>
      </c>
      <c r="L11" s="41">
        <f t="shared" si="5"/>
        <v>0.21672688111756572</v>
      </c>
      <c r="M11" s="36"/>
      <c r="N11" s="38" t="s">
        <v>52</v>
      </c>
      <c r="O11" s="60" t="s">
        <v>78</v>
      </c>
      <c r="P11" s="41">
        <f t="shared" si="0"/>
        <v>0.24081263007122403</v>
      </c>
      <c r="Q11" s="41">
        <f t="shared" si="1"/>
        <v>0.21672688111756572</v>
      </c>
      <c r="R11" s="59">
        <f t="shared" si="6"/>
        <v>18648160</v>
      </c>
      <c r="S11" s="59">
        <f t="shared" si="7"/>
        <v>50348989</v>
      </c>
      <c r="T11" s="59">
        <f t="shared" si="8"/>
        <v>68997149</v>
      </c>
      <c r="U11" s="56">
        <f t="shared" si="9"/>
        <v>25949742256</v>
      </c>
      <c r="V11" s="41">
        <f>+VLOOKUP($O11,'2018 Clause Allocations'!A13:H26,8,FALSE)</f>
        <v>0.50155091654498307</v>
      </c>
      <c r="W11" s="61">
        <f>ROUND(U11/(V11*730),0)</f>
        <v>70875341</v>
      </c>
      <c r="X11" s="48">
        <f>ROUND(T11/W11,2)</f>
        <v>0.97</v>
      </c>
      <c r="Y11" s="37" t="s">
        <v>47</v>
      </c>
      <c r="Z11" s="62"/>
      <c r="AA11" s="63"/>
    </row>
    <row r="12" spans="1:27" x14ac:dyDescent="0.3">
      <c r="A12" s="51" t="s">
        <v>53</v>
      </c>
      <c r="B12" s="36" t="s">
        <v>53</v>
      </c>
      <c r="C12" s="38" t="s">
        <v>54</v>
      </c>
      <c r="D12" s="52">
        <v>0.91441212893786994</v>
      </c>
      <c r="E12" s="53">
        <v>10819466</v>
      </c>
      <c r="F12" s="54">
        <f t="shared" si="10"/>
        <v>1351</v>
      </c>
      <c r="G12" s="55">
        <v>1.0571766406453194</v>
      </c>
      <c r="H12" s="55">
        <v>1.0266324251987167</v>
      </c>
      <c r="I12" s="56">
        <f t="shared" si="2"/>
        <v>11107614.618935058</v>
      </c>
      <c r="J12" s="56">
        <f t="shared" si="3"/>
        <v>1428.2456415118265</v>
      </c>
      <c r="K12" s="57">
        <f t="shared" si="4"/>
        <v>9.8301608676818142E-5</v>
      </c>
      <c r="L12" s="41">
        <f t="shared" si="5"/>
        <v>7.0764692036898885E-5</v>
      </c>
      <c r="M12" s="36"/>
      <c r="N12" s="38" t="s">
        <v>54</v>
      </c>
      <c r="O12" s="58" t="s">
        <v>53</v>
      </c>
      <c r="P12" s="41">
        <f t="shared" si="0"/>
        <v>9.8301608676818142E-5</v>
      </c>
      <c r="Q12" s="41">
        <f t="shared" si="1"/>
        <v>7.0764692036898885E-5</v>
      </c>
      <c r="R12" s="59">
        <f t="shared" si="6"/>
        <v>7612</v>
      </c>
      <c r="S12" s="59">
        <f t="shared" si="7"/>
        <v>16440</v>
      </c>
      <c r="T12" s="59">
        <f t="shared" si="8"/>
        <v>24052</v>
      </c>
      <c r="U12" s="56">
        <f t="shared" si="9"/>
        <v>10819466</v>
      </c>
      <c r="V12" s="41"/>
      <c r="W12" s="61"/>
      <c r="X12" s="44" t="s">
        <v>47</v>
      </c>
      <c r="Y12" s="50">
        <f>ROUND(T12/U12,5)</f>
        <v>2.2200000000000002E-3</v>
      </c>
      <c r="Z12" s="62"/>
      <c r="AA12" s="68"/>
    </row>
    <row r="13" spans="1:27" x14ac:dyDescent="0.3">
      <c r="A13" s="51" t="s">
        <v>55</v>
      </c>
      <c r="B13" s="36" t="s">
        <v>55</v>
      </c>
      <c r="C13" s="38" t="s">
        <v>56</v>
      </c>
      <c r="D13" s="52">
        <v>0.72584879896509791</v>
      </c>
      <c r="E13" s="53">
        <v>10561627481</v>
      </c>
      <c r="F13" s="54">
        <f t="shared" si="10"/>
        <v>1661042</v>
      </c>
      <c r="G13" s="55">
        <v>1.0634959822708607</v>
      </c>
      <c r="H13" s="55">
        <v>1.04780936213973</v>
      </c>
      <c r="I13" s="56">
        <f t="shared" si="2"/>
        <v>11066572154.024054</v>
      </c>
      <c r="J13" s="56">
        <f t="shared" si="3"/>
        <v>1766511.493383155</v>
      </c>
      <c r="K13" s="57">
        <f t="shared" si="4"/>
        <v>9.7938385747033022E-2</v>
      </c>
      <c r="L13" s="41">
        <f t="shared" si="5"/>
        <v>8.7524609335813741E-2</v>
      </c>
      <c r="M13" s="36"/>
      <c r="N13" s="38" t="s">
        <v>56</v>
      </c>
      <c r="O13" s="60" t="s">
        <v>79</v>
      </c>
      <c r="P13" s="41">
        <f t="shared" si="0"/>
        <v>9.7938385747033022E-2</v>
      </c>
      <c r="Q13" s="41">
        <f t="shared" si="1"/>
        <v>8.7524609335813741E-2</v>
      </c>
      <c r="R13" s="59">
        <f t="shared" si="6"/>
        <v>7584198</v>
      </c>
      <c r="S13" s="59">
        <f t="shared" si="7"/>
        <v>20333314</v>
      </c>
      <c r="T13" s="59">
        <f t="shared" si="8"/>
        <v>27917512</v>
      </c>
      <c r="U13" s="56">
        <f t="shared" si="9"/>
        <v>10561627481</v>
      </c>
      <c r="V13" s="41">
        <f>+VLOOKUP($O13,'2018 Clause Allocations'!A15:H28,8,FALSE)</f>
        <v>0.56712261429768029</v>
      </c>
      <c r="W13" s="61">
        <f t="shared" ref="W13:W20" si="11">ROUND(U13/(V13*730),0)</f>
        <v>25511208</v>
      </c>
      <c r="X13" s="48">
        <f t="shared" ref="X13:X15" si="12">ROUND(T13/W13,2)</f>
        <v>1.0900000000000001</v>
      </c>
      <c r="Y13" s="37" t="s">
        <v>47</v>
      </c>
      <c r="Z13" s="62"/>
      <c r="AA13" s="63"/>
    </row>
    <row r="14" spans="1:27" x14ac:dyDescent="0.3">
      <c r="A14" s="51" t="s">
        <v>57</v>
      </c>
      <c r="B14" s="36" t="s">
        <v>57</v>
      </c>
      <c r="C14" s="38" t="s">
        <v>58</v>
      </c>
      <c r="D14" s="52">
        <v>0.86841877290340996</v>
      </c>
      <c r="E14" s="53">
        <v>2511431587</v>
      </c>
      <c r="F14" s="54">
        <f t="shared" si="10"/>
        <v>330132</v>
      </c>
      <c r="G14" s="55">
        <v>1.0549746694884183</v>
      </c>
      <c r="H14" s="55">
        <v>1.0411291709359818</v>
      </c>
      <c r="I14" s="56">
        <f t="shared" si="2"/>
        <v>2614724686.0357471</v>
      </c>
      <c r="J14" s="56">
        <f t="shared" si="3"/>
        <v>348280.89758755051</v>
      </c>
      <c r="K14" s="57">
        <f t="shared" si="4"/>
        <v>2.3140129695006027E-2</v>
      </c>
      <c r="L14" s="41">
        <f t="shared" si="5"/>
        <v>1.7256128598459756E-2</v>
      </c>
      <c r="M14" s="36"/>
      <c r="N14" s="38" t="s">
        <v>59</v>
      </c>
      <c r="O14" s="60" t="s">
        <v>80</v>
      </c>
      <c r="P14" s="41">
        <f t="shared" si="0"/>
        <v>2.3140129695006027E-2</v>
      </c>
      <c r="Q14" s="41">
        <f t="shared" si="1"/>
        <v>1.7256128598459756E-2</v>
      </c>
      <c r="R14" s="59">
        <f t="shared" si="6"/>
        <v>1791936</v>
      </c>
      <c r="S14" s="59">
        <f t="shared" si="7"/>
        <v>4008864</v>
      </c>
      <c r="T14" s="59">
        <f t="shared" si="8"/>
        <v>5800800</v>
      </c>
      <c r="U14" s="56">
        <f t="shared" si="9"/>
        <v>2511431587</v>
      </c>
      <c r="V14" s="41">
        <f>+VLOOKUP($O14,'2018 Clause Allocations'!A16:H29,8,FALSE)</f>
        <v>0.65787943897492696</v>
      </c>
      <c r="W14" s="61">
        <f t="shared" si="11"/>
        <v>5229404</v>
      </c>
      <c r="X14" s="48">
        <f t="shared" si="12"/>
        <v>1.1100000000000001</v>
      </c>
      <c r="Y14" s="37" t="s">
        <v>47</v>
      </c>
      <c r="Z14" s="62"/>
      <c r="AA14" s="63"/>
    </row>
    <row r="15" spans="1:27" x14ac:dyDescent="0.3">
      <c r="A15" s="51" t="s">
        <v>60</v>
      </c>
      <c r="B15" s="36" t="s">
        <v>60</v>
      </c>
      <c r="C15" s="38" t="s">
        <v>61</v>
      </c>
      <c r="D15" s="52">
        <v>0.85297493338993025</v>
      </c>
      <c r="E15" s="53">
        <v>175782528</v>
      </c>
      <c r="F15" s="54">
        <f>ROUND(E15/(8760*D15),0)</f>
        <v>23525</v>
      </c>
      <c r="G15" s="55">
        <v>1.0219163653884258</v>
      </c>
      <c r="H15" s="55">
        <v>1.0170123194074383</v>
      </c>
      <c r="I15" s="56">
        <f t="shared" si="2"/>
        <v>178772996.51258296</v>
      </c>
      <c r="J15" s="56">
        <f t="shared" si="3"/>
        <v>24040.582495762716</v>
      </c>
      <c r="K15" s="57">
        <f t="shared" si="4"/>
        <v>1.5821284540430858E-3</v>
      </c>
      <c r="L15" s="41">
        <f t="shared" si="5"/>
        <v>1.1911287297187412E-3</v>
      </c>
      <c r="M15" s="36"/>
      <c r="N15" s="38" t="s">
        <v>61</v>
      </c>
      <c r="O15" s="58" t="s">
        <v>81</v>
      </c>
      <c r="P15" s="41">
        <f t="shared" si="0"/>
        <v>1.5821284540430858E-3</v>
      </c>
      <c r="Q15" s="41">
        <f t="shared" si="1"/>
        <v>1.1911287297187412E-3</v>
      </c>
      <c r="R15" s="59">
        <f t="shared" si="6"/>
        <v>122518</v>
      </c>
      <c r="S15" s="59">
        <f t="shared" si="7"/>
        <v>276718</v>
      </c>
      <c r="T15" s="59">
        <f t="shared" si="8"/>
        <v>399236</v>
      </c>
      <c r="U15" s="56">
        <f t="shared" si="9"/>
        <v>175782528</v>
      </c>
      <c r="V15" s="41">
        <f>+VLOOKUP($O15,'2018 Clause Allocations'!A17:H30,8,FALSE)</f>
        <v>0.66110876141603681</v>
      </c>
      <c r="W15" s="61">
        <f t="shared" si="11"/>
        <v>364234</v>
      </c>
      <c r="X15" s="48">
        <f t="shared" si="12"/>
        <v>1.1000000000000001</v>
      </c>
      <c r="Y15" s="37" t="s">
        <v>47</v>
      </c>
      <c r="Z15" s="62"/>
      <c r="AA15" s="63"/>
    </row>
    <row r="16" spans="1:27" x14ac:dyDescent="0.3">
      <c r="A16" s="51" t="s">
        <v>63</v>
      </c>
      <c r="B16" s="36" t="s">
        <v>83</v>
      </c>
      <c r="C16" s="38" t="s">
        <v>77</v>
      </c>
      <c r="D16" s="52">
        <v>0.7756741267446351</v>
      </c>
      <c r="E16" s="53">
        <v>11856926</v>
      </c>
      <c r="F16" s="54">
        <f t="shared" si="10"/>
        <v>1745</v>
      </c>
      <c r="G16" s="55">
        <v>1.0348593807299622</v>
      </c>
      <c r="H16" s="55">
        <v>1.0266324251987167</v>
      </c>
      <c r="I16" s="56">
        <f t="shared" si="2"/>
        <v>12172704.694781719</v>
      </c>
      <c r="J16" s="56">
        <f t="shared" si="3"/>
        <v>1805.829619373784</v>
      </c>
      <c r="K16" s="57">
        <f t="shared" si="4"/>
        <v>1.0772758098800724E-4</v>
      </c>
      <c r="L16" s="41">
        <f t="shared" si="5"/>
        <v>8.9472688151058502E-5</v>
      </c>
      <c r="M16" s="36"/>
      <c r="N16" s="38" t="s">
        <v>77</v>
      </c>
      <c r="O16" s="58" t="s">
        <v>83</v>
      </c>
      <c r="P16" s="41">
        <f t="shared" si="0"/>
        <v>1.0772758098800724E-4</v>
      </c>
      <c r="Q16" s="41">
        <f t="shared" si="1"/>
        <v>8.9472688151058502E-5</v>
      </c>
      <c r="R16" s="59">
        <f t="shared" si="6"/>
        <v>8342</v>
      </c>
      <c r="S16" s="59">
        <f t="shared" si="7"/>
        <v>20786</v>
      </c>
      <c r="T16" s="59">
        <f t="shared" si="8"/>
        <v>29128</v>
      </c>
      <c r="U16" s="56">
        <f t="shared" si="9"/>
        <v>11856926</v>
      </c>
      <c r="V16" s="41">
        <f>+VLOOKUP($O16,'2018 Clause Allocations'!A18:H31,8,FALSE)</f>
        <v>0.29683762187751556</v>
      </c>
      <c r="W16" s="61">
        <f t="shared" si="11"/>
        <v>54718</v>
      </c>
      <c r="X16" s="37" t="s">
        <v>47</v>
      </c>
      <c r="Y16" s="37" t="s">
        <v>47</v>
      </c>
      <c r="Z16" s="48">
        <f>ROUND(($T$24/$J$24*0.1*$G16)/12,2)</f>
        <v>0.13</v>
      </c>
      <c r="AA16" s="48">
        <f>ROUND(($T$24/$J$24/21*$G16)/12,2)</f>
        <v>0.06</v>
      </c>
    </row>
    <row r="17" spans="1:27" x14ac:dyDescent="0.3">
      <c r="A17" s="51" t="s">
        <v>62</v>
      </c>
      <c r="B17" s="36" t="s">
        <v>82</v>
      </c>
      <c r="C17" s="38" t="s">
        <v>76</v>
      </c>
      <c r="D17" s="52">
        <v>1.0642537654835582</v>
      </c>
      <c r="E17" s="53">
        <v>89667754</v>
      </c>
      <c r="F17" s="54">
        <f t="shared" si="10"/>
        <v>9618</v>
      </c>
      <c r="G17" s="55">
        <v>1.0219163663347777</v>
      </c>
      <c r="H17" s="55">
        <v>1.0170123194074383</v>
      </c>
      <c r="I17" s="56">
        <f t="shared" si="2"/>
        <v>91193210.4715956</v>
      </c>
      <c r="J17" s="56">
        <f t="shared" si="3"/>
        <v>9828.7916114078907</v>
      </c>
      <c r="K17" s="57">
        <f t="shared" si="4"/>
        <v>8.0705350314188077E-4</v>
      </c>
      <c r="L17" s="41">
        <f t="shared" si="5"/>
        <v>4.8698304497530313E-4</v>
      </c>
      <c r="M17" s="36"/>
      <c r="N17" s="38" t="s">
        <v>76</v>
      </c>
      <c r="O17" s="58" t="s">
        <v>82</v>
      </c>
      <c r="P17" s="41">
        <f t="shared" si="0"/>
        <v>8.0705350314188077E-4</v>
      </c>
      <c r="Q17" s="41">
        <f t="shared" si="1"/>
        <v>4.8698304497530313E-4</v>
      </c>
      <c r="R17" s="59">
        <f t="shared" si="6"/>
        <v>62497</v>
      </c>
      <c r="S17" s="59">
        <f t="shared" si="7"/>
        <v>113134</v>
      </c>
      <c r="T17" s="59">
        <f t="shared" si="8"/>
        <v>175631</v>
      </c>
      <c r="U17" s="56">
        <f t="shared" si="9"/>
        <v>89667754</v>
      </c>
      <c r="V17" s="41">
        <f>+VLOOKUP($O17,'2018 Clause Allocations'!A19:H32,8,FALSE)</f>
        <v>0.11319690656706886</v>
      </c>
      <c r="W17" s="61">
        <f t="shared" si="11"/>
        <v>1085123</v>
      </c>
      <c r="X17" s="37" t="s">
        <v>47</v>
      </c>
      <c r="Y17" s="37" t="s">
        <v>47</v>
      </c>
      <c r="Z17" s="48">
        <f>ROUND(($T$24/$J$24*0.1*$G17)/12,2)</f>
        <v>0.13</v>
      </c>
      <c r="AA17" s="48">
        <f>ROUND(($T$24/$J$24/21*$G17)/12,2)</f>
        <v>0.06</v>
      </c>
    </row>
    <row r="18" spans="1:27" x14ac:dyDescent="0.3">
      <c r="A18" s="51" t="s">
        <v>64</v>
      </c>
      <c r="B18" s="36" t="s">
        <v>116</v>
      </c>
      <c r="C18" s="38" t="s">
        <v>65</v>
      </c>
      <c r="D18" s="52">
        <v>0.86503287752103508</v>
      </c>
      <c r="E18" s="53">
        <v>2788466160</v>
      </c>
      <c r="F18" s="54">
        <f t="shared" si="10"/>
        <v>367984</v>
      </c>
      <c r="G18" s="55">
        <v>1.0533993357888443</v>
      </c>
      <c r="H18" s="55">
        <v>1.0405293502860777</v>
      </c>
      <c r="I18" s="56">
        <f t="shared" si="2"/>
        <v>2901480881.7595139</v>
      </c>
      <c r="J18" s="56">
        <f t="shared" si="3"/>
        <v>387634.10118092207</v>
      </c>
      <c r="K18" s="57">
        <f t="shared" si="4"/>
        <v>2.567790187244887E-2</v>
      </c>
      <c r="L18" s="41">
        <f t="shared" si="5"/>
        <v>1.9205945389080267E-2</v>
      </c>
      <c r="M18" s="36"/>
      <c r="N18" s="38" t="s">
        <v>65</v>
      </c>
      <c r="O18" s="58" t="s">
        <v>84</v>
      </c>
      <c r="P18" s="41">
        <f t="shared" si="0"/>
        <v>2.567790187244887E-2</v>
      </c>
      <c r="Q18" s="41">
        <f t="shared" si="1"/>
        <v>1.9205945389080267E-2</v>
      </c>
      <c r="R18" s="59">
        <f t="shared" si="6"/>
        <v>1988457</v>
      </c>
      <c r="S18" s="59">
        <f t="shared" si="7"/>
        <v>4461837</v>
      </c>
      <c r="T18" s="59">
        <f t="shared" si="8"/>
        <v>6450294</v>
      </c>
      <c r="U18" s="56">
        <f t="shared" si="9"/>
        <v>2788466160</v>
      </c>
      <c r="V18" s="41">
        <f>+VLOOKUP($O18,'2018 Clause Allocations'!A20:H33,8,FALSE)</f>
        <v>0.74142942939728584</v>
      </c>
      <c r="W18" s="61">
        <f t="shared" si="11"/>
        <v>5151963</v>
      </c>
      <c r="X18" s="48">
        <f t="shared" ref="X18:X20" si="13">ROUND(T18/W18,2)</f>
        <v>1.25</v>
      </c>
      <c r="Y18" s="37" t="s">
        <v>47</v>
      </c>
      <c r="Z18" s="62"/>
      <c r="AA18" s="63"/>
    </row>
    <row r="19" spans="1:27" x14ac:dyDescent="0.3">
      <c r="A19" s="51" t="s">
        <v>66</v>
      </c>
      <c r="B19" s="36" t="s">
        <v>66</v>
      </c>
      <c r="C19" s="38" t="s">
        <v>67</v>
      </c>
      <c r="D19" s="52">
        <v>0.90405436942759743</v>
      </c>
      <c r="E19" s="53">
        <v>1532421391</v>
      </c>
      <c r="F19" s="54">
        <f t="shared" si="10"/>
        <v>193499</v>
      </c>
      <c r="G19" s="55">
        <v>1.0219163648227962</v>
      </c>
      <c r="H19" s="55">
        <v>1.0170123194074383</v>
      </c>
      <c r="I19" s="56">
        <f t="shared" si="2"/>
        <v>1558491433.1704829</v>
      </c>
      <c r="J19" s="56">
        <f t="shared" si="3"/>
        <v>197739.79467684624</v>
      </c>
      <c r="K19" s="57">
        <f t="shared" si="4"/>
        <v>1.3792539644698848E-2</v>
      </c>
      <c r="L19" s="41">
        <f t="shared" si="5"/>
        <v>9.7973312622433601E-3</v>
      </c>
      <c r="M19" s="36"/>
      <c r="N19" s="38" t="s">
        <v>67</v>
      </c>
      <c r="O19" s="58" t="s">
        <v>66</v>
      </c>
      <c r="P19" s="41">
        <f t="shared" si="0"/>
        <v>1.3792539644698848E-2</v>
      </c>
      <c r="Q19" s="41">
        <f t="shared" si="1"/>
        <v>9.7973312622433601E-3</v>
      </c>
      <c r="R19" s="59">
        <f t="shared" si="6"/>
        <v>1068073</v>
      </c>
      <c r="S19" s="59">
        <f t="shared" si="7"/>
        <v>2276071</v>
      </c>
      <c r="T19" s="59">
        <f t="shared" si="8"/>
        <v>3344144</v>
      </c>
      <c r="U19" s="56">
        <f t="shared" si="9"/>
        <v>1532421391</v>
      </c>
      <c r="V19" s="41">
        <f>+VLOOKUP($O19,'2018 Clause Allocations'!A20:H34,8,FALSE)</f>
        <v>0.76336433316576868</v>
      </c>
      <c r="W19" s="61">
        <f t="shared" si="11"/>
        <v>2749942</v>
      </c>
      <c r="X19" s="48">
        <f t="shared" si="13"/>
        <v>1.22</v>
      </c>
      <c r="Y19" s="37" t="s">
        <v>47</v>
      </c>
      <c r="Z19" s="62"/>
      <c r="AA19" s="63"/>
    </row>
    <row r="20" spans="1:27" x14ac:dyDescent="0.3">
      <c r="A20" s="51" t="s">
        <v>68</v>
      </c>
      <c r="B20" s="36" t="s">
        <v>68</v>
      </c>
      <c r="C20" s="38" t="s">
        <v>68</v>
      </c>
      <c r="D20" s="52">
        <v>0.71006928440649986</v>
      </c>
      <c r="E20" s="53">
        <v>91241144</v>
      </c>
      <c r="F20" s="54">
        <f t="shared" si="10"/>
        <v>14669</v>
      </c>
      <c r="G20" s="55">
        <v>1.0348593797787911</v>
      </c>
      <c r="H20" s="55">
        <v>1.0266324251987167</v>
      </c>
      <c r="I20" s="56">
        <f t="shared" si="2"/>
        <v>93671116.942625329</v>
      </c>
      <c r="J20" s="56">
        <f t="shared" si="3"/>
        <v>15180.352241975086</v>
      </c>
      <c r="K20" s="57">
        <f t="shared" si="4"/>
        <v>8.2898280125037716E-4</v>
      </c>
      <c r="L20" s="41">
        <f t="shared" si="5"/>
        <v>7.5213459099228723E-4</v>
      </c>
      <c r="M20" s="36"/>
      <c r="N20" s="38" t="s">
        <v>68</v>
      </c>
      <c r="O20" s="58" t="s">
        <v>68</v>
      </c>
      <c r="P20" s="41">
        <f t="shared" si="0"/>
        <v>8.2898280125037716E-4</v>
      </c>
      <c r="Q20" s="41">
        <f t="shared" si="1"/>
        <v>7.5213459099228723E-4</v>
      </c>
      <c r="R20" s="59">
        <f t="shared" si="6"/>
        <v>64195</v>
      </c>
      <c r="S20" s="59">
        <f t="shared" si="7"/>
        <v>174732</v>
      </c>
      <c r="T20" s="59">
        <f t="shared" si="8"/>
        <v>238927</v>
      </c>
      <c r="U20" s="56">
        <f t="shared" si="9"/>
        <v>91241144</v>
      </c>
      <c r="V20" s="41">
        <f>+VLOOKUP($O20,'2018 Clause Allocations'!A22:H35,8,FALSE)</f>
        <v>0.64572858053338122</v>
      </c>
      <c r="W20" s="61">
        <f t="shared" si="11"/>
        <v>193561</v>
      </c>
      <c r="X20" s="48">
        <f t="shared" si="13"/>
        <v>1.23</v>
      </c>
      <c r="Y20" s="37" t="s">
        <v>47</v>
      </c>
      <c r="Z20" s="62"/>
      <c r="AA20" s="63"/>
    </row>
    <row r="21" spans="1:27" x14ac:dyDescent="0.3">
      <c r="A21" s="51" t="s">
        <v>0</v>
      </c>
      <c r="B21" s="36" t="s">
        <v>117</v>
      </c>
      <c r="C21" s="38" t="s">
        <v>69</v>
      </c>
      <c r="D21" s="52">
        <v>5.8150031949913128</v>
      </c>
      <c r="E21" s="53">
        <v>668275032</v>
      </c>
      <c r="F21" s="54">
        <f t="shared" si="10"/>
        <v>13119</v>
      </c>
      <c r="G21" s="55">
        <v>1.0646691330406721</v>
      </c>
      <c r="H21" s="55">
        <v>1.0486554726996764</v>
      </c>
      <c r="I21" s="56">
        <f t="shared" si="2"/>
        <v>700790269.57535136</v>
      </c>
      <c r="J21" s="56">
        <f t="shared" si="3"/>
        <v>13967.394356360577</v>
      </c>
      <c r="K21" s="57">
        <f t="shared" si="4"/>
        <v>6.2019446305675661E-3</v>
      </c>
      <c r="L21" s="41">
        <f t="shared" si="5"/>
        <v>6.9203667174474017E-4</v>
      </c>
      <c r="M21" s="36"/>
      <c r="N21" s="38" t="s">
        <v>69</v>
      </c>
      <c r="O21" s="58" t="s">
        <v>85</v>
      </c>
      <c r="P21" s="41">
        <f t="shared" si="0"/>
        <v>6.2019446305675661E-3</v>
      </c>
      <c r="Q21" s="41">
        <f t="shared" si="1"/>
        <v>6.9203667174474017E-4</v>
      </c>
      <c r="R21" s="59">
        <f t="shared" si="6"/>
        <v>480269</v>
      </c>
      <c r="S21" s="59">
        <f t="shared" si="7"/>
        <v>160771</v>
      </c>
      <c r="T21" s="59">
        <f t="shared" si="8"/>
        <v>641040</v>
      </c>
      <c r="U21" s="56">
        <f t="shared" si="9"/>
        <v>668275032</v>
      </c>
      <c r="V21" s="42"/>
      <c r="W21" s="37" t="s">
        <v>47</v>
      </c>
      <c r="X21" s="44" t="s">
        <v>47</v>
      </c>
      <c r="Y21" s="50">
        <f t="shared" ref="Y21" si="14">ROUND(T21/U21,5)</f>
        <v>9.6000000000000002E-4</v>
      </c>
      <c r="Z21" s="62"/>
    </row>
    <row r="22" spans="1:27" x14ac:dyDescent="0.3">
      <c r="A22" s="51" t="s">
        <v>75</v>
      </c>
      <c r="B22" s="36" t="s">
        <v>118</v>
      </c>
      <c r="C22" s="38" t="s">
        <v>70</v>
      </c>
      <c r="D22" s="52">
        <v>0.94284877388354726</v>
      </c>
      <c r="E22" s="53">
        <v>104537486</v>
      </c>
      <c r="F22" s="54">
        <f t="shared" si="10"/>
        <v>12657</v>
      </c>
      <c r="G22" s="55">
        <v>1.0646691338092202</v>
      </c>
      <c r="H22" s="55">
        <v>1.0486554726996764</v>
      </c>
      <c r="I22" s="56">
        <f t="shared" si="2"/>
        <v>109623806.79616581</v>
      </c>
      <c r="J22" s="56">
        <f t="shared" si="3"/>
        <v>13475.5172266233</v>
      </c>
      <c r="K22" s="57">
        <f t="shared" si="4"/>
        <v>9.7016298521644022E-4</v>
      </c>
      <c r="L22" s="41">
        <f t="shared" si="5"/>
        <v>6.6766584042961166E-4</v>
      </c>
      <c r="M22" s="36"/>
      <c r="N22" s="38" t="s">
        <v>71</v>
      </c>
      <c r="O22" s="58" t="s">
        <v>86</v>
      </c>
      <c r="P22" s="41">
        <f t="shared" si="0"/>
        <v>9.7016298521644022E-4</v>
      </c>
      <c r="Q22" s="41">
        <f t="shared" si="1"/>
        <v>6.6766584042961166E-4</v>
      </c>
      <c r="R22" s="59">
        <f t="shared" si="6"/>
        <v>75128</v>
      </c>
      <c r="S22" s="59">
        <f t="shared" si="7"/>
        <v>155109</v>
      </c>
      <c r="T22" s="59">
        <f t="shared" si="8"/>
        <v>230237</v>
      </c>
      <c r="U22" s="56">
        <f t="shared" si="9"/>
        <v>104537486</v>
      </c>
      <c r="V22" s="42"/>
      <c r="W22" s="37" t="s">
        <v>47</v>
      </c>
      <c r="X22" s="44" t="s">
        <v>47</v>
      </c>
      <c r="Y22" s="50">
        <f>ROUND(T22/U22,5)</f>
        <v>2.2000000000000001E-3</v>
      </c>
      <c r="Z22" s="62"/>
    </row>
    <row r="23" spans="1:27" x14ac:dyDescent="0.3">
      <c r="B23" s="36"/>
      <c r="C23" s="36"/>
      <c r="D23" s="45"/>
      <c r="E23" s="4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47"/>
      <c r="T23" s="36"/>
      <c r="U23" s="36"/>
      <c r="V23" s="36"/>
      <c r="W23" s="36"/>
      <c r="X23" s="48"/>
      <c r="Y23" s="40"/>
    </row>
    <row r="24" spans="1:27" x14ac:dyDescent="0.3">
      <c r="B24" s="36"/>
      <c r="C24" s="38" t="s">
        <v>72</v>
      </c>
      <c r="D24" s="36"/>
      <c r="E24" s="56">
        <f>SUM(E9:E22)</f>
        <v>107858876175</v>
      </c>
      <c r="F24" s="56">
        <f>SUM(F9:F22)</f>
        <v>18975721</v>
      </c>
      <c r="G24" s="36"/>
      <c r="H24" s="36"/>
      <c r="I24" s="56">
        <f>SUM(I9:I22)</f>
        <v>112995247671.40965</v>
      </c>
      <c r="J24" s="56">
        <f>SUM(J9:J22)</f>
        <v>20183026.314409669</v>
      </c>
      <c r="K24" s="64">
        <f>SUM(K9:K22)</f>
        <v>1</v>
      </c>
      <c r="L24" s="64">
        <f>SUM(L9:L22)</f>
        <v>1.0000000000000002</v>
      </c>
      <c r="M24" s="36"/>
      <c r="N24" s="38" t="s">
        <v>72</v>
      </c>
      <c r="O24" s="38"/>
      <c r="P24" s="36"/>
      <c r="Q24" s="36"/>
      <c r="R24" s="59">
        <f>SUM(R9:R22)</f>
        <v>77438462</v>
      </c>
      <c r="S24" s="59">
        <f>SUM(S9:S22)</f>
        <v>232315388</v>
      </c>
      <c r="T24" s="69">
        <v>309753849.86643755</v>
      </c>
      <c r="U24" s="56">
        <f>SUM(U9:U22)</f>
        <v>107858876175</v>
      </c>
      <c r="V24" s="36"/>
      <c r="W24" s="56">
        <f>SUM(W9:W22)</f>
        <v>111215494</v>
      </c>
      <c r="X24" s="48"/>
      <c r="Y24" s="50"/>
    </row>
    <row r="26" spans="1:27" hidden="1" x14ac:dyDescent="0.3">
      <c r="C26" s="51" t="s">
        <v>64</v>
      </c>
    </row>
    <row r="27" spans="1:27" hidden="1" x14ac:dyDescent="0.3">
      <c r="C27" s="51" t="s">
        <v>73</v>
      </c>
    </row>
    <row r="28" spans="1:27" hidden="1" x14ac:dyDescent="0.3">
      <c r="C28" s="51" t="s">
        <v>66</v>
      </c>
    </row>
    <row r="29" spans="1:27" hidden="1" x14ac:dyDescent="0.3">
      <c r="C29" s="51" t="s">
        <v>74</v>
      </c>
    </row>
    <row r="30" spans="1:27" hidden="1" x14ac:dyDescent="0.3">
      <c r="C30" s="51" t="s">
        <v>51</v>
      </c>
    </row>
    <row r="31" spans="1:27" hidden="1" x14ac:dyDescent="0.3">
      <c r="C31" s="51" t="s">
        <v>55</v>
      </c>
    </row>
    <row r="32" spans="1:27" hidden="1" x14ac:dyDescent="0.3">
      <c r="C32" s="51" t="s">
        <v>57</v>
      </c>
    </row>
    <row r="33" spans="3:20" hidden="1" x14ac:dyDescent="0.3">
      <c r="C33" s="51" t="s">
        <v>60</v>
      </c>
    </row>
    <row r="34" spans="3:20" hidden="1" x14ac:dyDescent="0.3">
      <c r="C34" s="51" t="s">
        <v>48</v>
      </c>
    </row>
    <row r="35" spans="3:20" hidden="1" x14ac:dyDescent="0.3">
      <c r="C35" s="51" t="s">
        <v>68</v>
      </c>
    </row>
    <row r="36" spans="3:20" hidden="1" x14ac:dyDescent="0.3">
      <c r="C36" s="51" t="s">
        <v>1</v>
      </c>
    </row>
    <row r="37" spans="3:20" hidden="1" x14ac:dyDescent="0.3">
      <c r="C37" s="51" t="s">
        <v>53</v>
      </c>
    </row>
    <row r="38" spans="3:20" hidden="1" x14ac:dyDescent="0.3">
      <c r="C38" s="51" t="s">
        <v>45</v>
      </c>
    </row>
    <row r="39" spans="3:20" hidden="1" x14ac:dyDescent="0.3">
      <c r="C39" s="51" t="s">
        <v>0</v>
      </c>
    </row>
    <row r="40" spans="3:20" hidden="1" x14ac:dyDescent="0.3">
      <c r="C40" s="51" t="s">
        <v>75</v>
      </c>
    </row>
    <row r="41" spans="3:20" x14ac:dyDescent="0.3">
      <c r="F41" s="65"/>
      <c r="T41" s="59"/>
    </row>
    <row r="43" spans="3:20" x14ac:dyDescent="0.3">
      <c r="T43" s="67"/>
    </row>
  </sheetData>
  <pageMargins left="0.7" right="0.7" top="0.75" bottom="0.75" header="0.3" footer="0.3"/>
  <pageSetup scale="90" orientation="landscape" r:id="rId1"/>
  <colBreaks count="2" manualBreakCount="2">
    <brk id="12" max="1048575" man="1"/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zoomScale="110" zoomScaleNormal="110" workbookViewId="0">
      <selection sqref="A1:A2"/>
    </sheetView>
  </sheetViews>
  <sheetFormatPr defaultColWidth="9.109375" defaultRowHeight="13.2" x14ac:dyDescent="0.25"/>
  <cols>
    <col min="1" max="1" width="40.6640625" style="3" customWidth="1"/>
    <col min="2" max="2" width="16.6640625" style="5" bestFit="1" customWidth="1"/>
    <col min="3" max="3" width="17.33203125" style="6" bestFit="1" customWidth="1"/>
    <col min="4" max="4" width="14.109375" style="6" customWidth="1"/>
    <col min="5" max="5" width="18.88671875" style="6" customWidth="1"/>
    <col min="6" max="6" width="19.33203125" style="7" customWidth="1"/>
    <col min="7" max="7" width="20.88671875" style="7" customWidth="1"/>
    <col min="8" max="8" width="14" style="5" customWidth="1"/>
    <col min="9" max="16384" width="9.109375" style="3"/>
  </cols>
  <sheetData>
    <row r="1" spans="1:8" ht="13.8" x14ac:dyDescent="0.3">
      <c r="A1" s="73" t="s">
        <v>124</v>
      </c>
    </row>
    <row r="2" spans="1:8" ht="13.8" x14ac:dyDescent="0.3">
      <c r="A2" s="73" t="s">
        <v>121</v>
      </c>
    </row>
    <row r="3" spans="1:8" ht="21" x14ac:dyDescent="0.4">
      <c r="A3" s="70" t="s">
        <v>87</v>
      </c>
      <c r="B3" s="70"/>
      <c r="C3" s="70"/>
      <c r="D3" s="70"/>
      <c r="E3" s="70"/>
      <c r="F3" s="70"/>
      <c r="G3" s="70"/>
      <c r="H3" s="70"/>
    </row>
    <row r="4" spans="1:8" ht="21" x14ac:dyDescent="0.4">
      <c r="A4" s="70" t="s">
        <v>113</v>
      </c>
      <c r="B4" s="70"/>
      <c r="C4" s="70"/>
      <c r="D4" s="70"/>
      <c r="E4" s="70"/>
      <c r="F4" s="70"/>
      <c r="G4" s="70"/>
      <c r="H4" s="70"/>
    </row>
    <row r="5" spans="1:8" ht="13.8" x14ac:dyDescent="0.25">
      <c r="A5" s="71" t="s">
        <v>88</v>
      </c>
      <c r="B5" s="71"/>
      <c r="C5" s="71"/>
      <c r="D5" s="71"/>
      <c r="E5" s="71"/>
      <c r="F5" s="71"/>
      <c r="G5" s="71"/>
      <c r="H5" s="71"/>
    </row>
    <row r="6" spans="1:8" ht="21" x14ac:dyDescent="0.4">
      <c r="A6" s="4"/>
    </row>
    <row r="8" spans="1:8" x14ac:dyDescent="0.25">
      <c r="A8" s="8" t="s">
        <v>89</v>
      </c>
      <c r="B8" s="9" t="s">
        <v>24</v>
      </c>
      <c r="C8" s="10" t="s">
        <v>90</v>
      </c>
      <c r="D8" s="11" t="s">
        <v>24</v>
      </c>
      <c r="E8" s="11"/>
      <c r="F8" s="72" t="s">
        <v>91</v>
      </c>
      <c r="G8" s="72"/>
      <c r="H8" s="72"/>
    </row>
    <row r="9" spans="1:8" s="1" customFormat="1" ht="30" customHeight="1" x14ac:dyDescent="0.25">
      <c r="A9" s="8" t="s">
        <v>92</v>
      </c>
      <c r="B9" s="9" t="s">
        <v>91</v>
      </c>
      <c r="C9" s="10" t="s">
        <v>93</v>
      </c>
      <c r="D9" s="10" t="s">
        <v>94</v>
      </c>
      <c r="E9" s="12" t="s">
        <v>95</v>
      </c>
      <c r="F9" s="10" t="s">
        <v>96</v>
      </c>
      <c r="G9" s="13" t="s">
        <v>97</v>
      </c>
      <c r="H9" s="9" t="s">
        <v>98</v>
      </c>
    </row>
    <row r="10" spans="1:8" s="1" customFormat="1" x14ac:dyDescent="0.25">
      <c r="A10" s="8"/>
      <c r="B10" s="9" t="s">
        <v>99</v>
      </c>
      <c r="C10" s="10" t="s">
        <v>100</v>
      </c>
      <c r="D10" s="14"/>
      <c r="E10" s="12" t="s">
        <v>101</v>
      </c>
      <c r="F10" s="12" t="s">
        <v>101</v>
      </c>
      <c r="G10" s="12" t="s">
        <v>101</v>
      </c>
      <c r="H10" s="9"/>
    </row>
    <row r="11" spans="1:8" s="1" customFormat="1" ht="13.8" thickBot="1" x14ac:dyDescent="0.3">
      <c r="A11" s="15"/>
      <c r="B11" s="16"/>
      <c r="C11" s="17"/>
      <c r="D11" s="18"/>
      <c r="E11" s="18"/>
      <c r="F11" s="18"/>
      <c r="G11" s="18"/>
      <c r="H11" s="16"/>
    </row>
    <row r="13" spans="1:8" ht="14.1" customHeight="1" x14ac:dyDescent="0.25">
      <c r="A13" s="1" t="s">
        <v>45</v>
      </c>
      <c r="B13" s="19">
        <f>+C13/8760/D13</f>
        <v>0.58600544280493383</v>
      </c>
      <c r="C13" s="7">
        <f>'2018 Capacity Calc'!E9</f>
        <v>57361215879</v>
      </c>
      <c r="D13" s="7">
        <f>'2018 Capacity Calc'!F9</f>
        <v>11174101</v>
      </c>
      <c r="E13" s="7"/>
      <c r="F13" s="7">
        <v>27641626.416106772</v>
      </c>
      <c r="H13" s="20">
        <f>+C13/8760/F13</f>
        <v>0.23689213890237973</v>
      </c>
    </row>
    <row r="14" spans="1:8" ht="14.1" customHeight="1" x14ac:dyDescent="0.25">
      <c r="A14" s="1" t="s">
        <v>48</v>
      </c>
      <c r="B14" s="19">
        <f t="shared" ref="B14:B26" si="0">+C14/8760/D14</f>
        <v>0.64426568626755121</v>
      </c>
      <c r="C14" s="7">
        <f>'2018 Capacity Calc'!E10</f>
        <v>6001791085</v>
      </c>
      <c r="D14" s="7">
        <f>'2018 Capacity Calc'!F10</f>
        <v>1063437</v>
      </c>
      <c r="E14" s="7"/>
      <c r="F14" s="7">
        <v>2020606.794482196</v>
      </c>
      <c r="H14" s="20">
        <f>+C14/8760/F14</f>
        <v>0.3390743664122341</v>
      </c>
    </row>
    <row r="15" spans="1:8" s="28" customFormat="1" ht="14.1" customHeight="1" x14ac:dyDescent="0.25">
      <c r="A15" s="23" t="s">
        <v>78</v>
      </c>
      <c r="B15" s="24">
        <f t="shared" si="0"/>
        <v>0.72095722938293505</v>
      </c>
      <c r="C15" s="25">
        <f>'2018 Capacity Calc'!E11</f>
        <v>25949742256</v>
      </c>
      <c r="D15" s="25">
        <f>'2018 Capacity Calc'!F11</f>
        <v>4108842</v>
      </c>
      <c r="E15" s="25"/>
      <c r="F15" s="25">
        <v>5906278.3988084989</v>
      </c>
      <c r="G15" s="25"/>
      <c r="H15" s="27">
        <f>+C15/8760/F15</f>
        <v>0.50155091654498307</v>
      </c>
    </row>
    <row r="16" spans="1:8" ht="14.1" customHeight="1" x14ac:dyDescent="0.25">
      <c r="A16" s="1" t="s">
        <v>53</v>
      </c>
      <c r="B16" s="19">
        <f t="shared" si="0"/>
        <v>0.9142108500721603</v>
      </c>
      <c r="C16" s="7">
        <f>'2018 Capacity Calc'!E12</f>
        <v>10819466</v>
      </c>
      <c r="D16" s="7">
        <f>'2018 Capacity Calc'!F12</f>
        <v>1351</v>
      </c>
      <c r="E16" s="7"/>
      <c r="F16" s="7">
        <v>12972.530115288007</v>
      </c>
      <c r="H16" s="20">
        <f>+C16/8760/F16</f>
        <v>9.5208787142604959E-2</v>
      </c>
    </row>
    <row r="17" spans="1:8" s="28" customFormat="1" ht="14.1" customHeight="1" x14ac:dyDescent="0.25">
      <c r="A17" s="23" t="s">
        <v>79</v>
      </c>
      <c r="B17" s="24">
        <f t="shared" si="0"/>
        <v>0.72584873685137252</v>
      </c>
      <c r="C17" s="25">
        <f>'2018 Capacity Calc'!E13</f>
        <v>10561627481</v>
      </c>
      <c r="D17" s="25">
        <f>'2018 Capacity Calc'!F13</f>
        <v>1661042</v>
      </c>
      <c r="E17" s="25"/>
      <c r="F17" s="25">
        <v>2125933.9817548324</v>
      </c>
      <c r="G17" s="25"/>
      <c r="H17" s="27">
        <f>+C17/8760/F17</f>
        <v>0.56712261429768029</v>
      </c>
    </row>
    <row r="18" spans="1:8" s="28" customFormat="1" ht="14.1" customHeight="1" x14ac:dyDescent="0.25">
      <c r="A18" s="23" t="s">
        <v>80</v>
      </c>
      <c r="B18" s="24">
        <f t="shared" si="0"/>
        <v>0.86841961257561451</v>
      </c>
      <c r="C18" s="25">
        <f>'2018 Capacity Calc'!E14</f>
        <v>2511431587</v>
      </c>
      <c r="D18" s="25">
        <f>'2018 Capacity Calc'!F14</f>
        <v>330132</v>
      </c>
      <c r="E18" s="25"/>
      <c r="F18" s="25">
        <v>435783.65055081039</v>
      </c>
      <c r="G18" s="25"/>
      <c r="H18" s="27">
        <f t="shared" ref="H18:H20" si="1">+C18/8760/F18</f>
        <v>0.65787943897492696</v>
      </c>
    </row>
    <row r="19" spans="1:8" s="28" customFormat="1" ht="14.1" customHeight="1" x14ac:dyDescent="0.25">
      <c r="A19" s="28" t="s">
        <v>81</v>
      </c>
      <c r="B19" s="24">
        <f t="shared" si="0"/>
        <v>0.8529861266795743</v>
      </c>
      <c r="C19" s="25">
        <f>'2018 Capacity Calc'!E15</f>
        <v>175782528</v>
      </c>
      <c r="D19" s="25">
        <f>'2018 Capacity Calc'!F15</f>
        <v>23525</v>
      </c>
      <c r="E19" s="25"/>
      <c r="F19" s="25"/>
      <c r="G19" s="25">
        <v>30352.794882276725</v>
      </c>
      <c r="H19" s="27">
        <f>+C19/8760/G19</f>
        <v>0.66110876141603681</v>
      </c>
    </row>
    <row r="20" spans="1:8" s="28" customFormat="1" ht="14.1" customHeight="1" x14ac:dyDescent="0.25">
      <c r="A20" s="28" t="s">
        <v>83</v>
      </c>
      <c r="B20" s="24">
        <f t="shared" si="0"/>
        <v>0.77566210045662098</v>
      </c>
      <c r="C20" s="25">
        <f>'2018 Capacity Calc'!E16</f>
        <v>11856926</v>
      </c>
      <c r="D20" s="25">
        <f>'2018 Capacity Calc'!$F$16</f>
        <v>1745</v>
      </c>
      <c r="E20" s="25"/>
      <c r="F20" s="25">
        <v>4559.8342849388291</v>
      </c>
      <c r="G20" s="25"/>
      <c r="H20" s="27">
        <f t="shared" si="1"/>
        <v>0.29683762187751556</v>
      </c>
    </row>
    <row r="21" spans="1:8" s="28" customFormat="1" ht="14.1" customHeight="1" x14ac:dyDescent="0.25">
      <c r="A21" s="28" t="s">
        <v>82</v>
      </c>
      <c r="B21" s="24">
        <f>+C21/8760/D21</f>
        <v>1.0642591991234092</v>
      </c>
      <c r="C21" s="25">
        <f>'2018 Capacity Calc'!E17</f>
        <v>89667754</v>
      </c>
      <c r="D21" s="25">
        <f>'2018 Capacity Calc'!$F$17</f>
        <v>9618</v>
      </c>
      <c r="E21" s="25"/>
      <c r="F21" s="25">
        <v>90426.896702376936</v>
      </c>
      <c r="G21" s="25"/>
      <c r="H21" s="27">
        <f>+C21/8760/F21</f>
        <v>0.11319690656706886</v>
      </c>
    </row>
    <row r="22" spans="1:8" s="28" customFormat="1" ht="12.75" customHeight="1" x14ac:dyDescent="0.25">
      <c r="A22" s="28" t="s">
        <v>84</v>
      </c>
      <c r="B22" s="24">
        <f t="shared" si="0"/>
        <v>0.86503232421659781</v>
      </c>
      <c r="C22" s="25">
        <f>'2018 Capacity Calc'!E18</f>
        <v>2788466160</v>
      </c>
      <c r="D22" s="25">
        <f>'2018 Capacity Calc'!$F$18</f>
        <v>367984</v>
      </c>
      <c r="E22" s="25"/>
      <c r="F22" s="25"/>
      <c r="G22" s="25">
        <v>429330.2129284023</v>
      </c>
      <c r="H22" s="27">
        <f>+C22/8760/G22</f>
        <v>0.74142942939728584</v>
      </c>
    </row>
    <row r="23" spans="1:8" s="28" customFormat="1" ht="14.1" customHeight="1" x14ac:dyDescent="0.25">
      <c r="A23" s="28" t="s">
        <v>66</v>
      </c>
      <c r="B23" s="24">
        <f t="shared" si="0"/>
        <v>0.90405608682366434</v>
      </c>
      <c r="C23" s="25">
        <f>'2018 Capacity Calc'!E19</f>
        <v>1532421391</v>
      </c>
      <c r="D23" s="25">
        <f>'2018 Capacity Calc'!$F$19</f>
        <v>193499</v>
      </c>
      <c r="E23" s="25"/>
      <c r="F23" s="25"/>
      <c r="G23" s="25">
        <v>229161.80537125564</v>
      </c>
      <c r="H23" s="27">
        <f>+C23/8760/G23</f>
        <v>0.76336433316576868</v>
      </c>
    </row>
    <row r="24" spans="1:8" ht="14.1" customHeight="1" x14ac:dyDescent="0.25">
      <c r="A24" s="1" t="s">
        <v>68</v>
      </c>
      <c r="B24" s="19">
        <f t="shared" si="0"/>
        <v>0.71004538194577382</v>
      </c>
      <c r="C24" s="7">
        <f>'2018 Capacity Calc'!E20</f>
        <v>91241144</v>
      </c>
      <c r="D24" s="7">
        <f>'2018 Capacity Calc'!$F$20</f>
        <v>14669</v>
      </c>
      <c r="E24" s="7">
        <v>16130.08316769729</v>
      </c>
      <c r="H24" s="20">
        <f>+$C24/8760/E24</f>
        <v>0.64572858053338122</v>
      </c>
    </row>
    <row r="25" spans="1:8" ht="14.1" customHeight="1" x14ac:dyDescent="0.25">
      <c r="A25" s="1" t="s">
        <v>85</v>
      </c>
      <c r="B25" s="19">
        <f t="shared" si="0"/>
        <v>5.8150090791667841</v>
      </c>
      <c r="C25" s="7">
        <f>'2018 Capacity Calc'!E21</f>
        <v>668275032</v>
      </c>
      <c r="D25" s="7">
        <f>'2018 Capacity Calc'!F21</f>
        <v>13119</v>
      </c>
      <c r="E25" s="7"/>
      <c r="F25" s="7">
        <v>155883.71334317679</v>
      </c>
      <c r="H25" s="20">
        <f>+C25/8760/F25</f>
        <v>0.48938469884691271</v>
      </c>
    </row>
    <row r="26" spans="1:8" ht="14.1" customHeight="1" x14ac:dyDescent="0.25">
      <c r="A26" s="1" t="s">
        <v>86</v>
      </c>
      <c r="B26" s="19">
        <f t="shared" si="0"/>
        <v>0.94283818977929446</v>
      </c>
      <c r="C26" s="7">
        <f>'2018 Capacity Calc'!E22</f>
        <v>104537486</v>
      </c>
      <c r="D26" s="7">
        <f>'2018 Capacity Calc'!F22</f>
        <v>12657</v>
      </c>
      <c r="E26" s="7"/>
      <c r="F26" s="7">
        <v>12922.122706554675</v>
      </c>
      <c r="H26" s="20">
        <f>+C26/8760/F26</f>
        <v>0.92349401402784437</v>
      </c>
    </row>
    <row r="28" spans="1:8" ht="13.8" thickBot="1" x14ac:dyDescent="0.3">
      <c r="A28" s="3" t="s">
        <v>72</v>
      </c>
      <c r="C28" s="21">
        <f>SUM(C13:C27)</f>
        <v>107858876175</v>
      </c>
      <c r="D28" s="21">
        <f t="shared" ref="D28:G28" si="2">SUM(D13:D27)</f>
        <v>18975721</v>
      </c>
      <c r="E28" s="21">
        <f t="shared" si="2"/>
        <v>16130.08316769729</v>
      </c>
      <c r="F28" s="21">
        <f t="shared" si="2"/>
        <v>38406994.338855453</v>
      </c>
      <c r="G28" s="21">
        <f t="shared" si="2"/>
        <v>688844.81318193465</v>
      </c>
    </row>
    <row r="29" spans="1:8" ht="13.8" thickTop="1" x14ac:dyDescent="0.25"/>
    <row r="31" spans="1:8" x14ac:dyDescent="0.25">
      <c r="A31" s="3" t="s">
        <v>102</v>
      </c>
    </row>
    <row r="32" spans="1:8" x14ac:dyDescent="0.25">
      <c r="A32" s="3" t="s">
        <v>103</v>
      </c>
    </row>
    <row r="33" spans="1:7" x14ac:dyDescent="0.25">
      <c r="A33" s="2" t="s">
        <v>104</v>
      </c>
    </row>
    <row r="34" spans="1:7" x14ac:dyDescent="0.25">
      <c r="A34" s="2" t="s">
        <v>105</v>
      </c>
    </row>
    <row r="35" spans="1:7" x14ac:dyDescent="0.25">
      <c r="A35" s="1" t="s">
        <v>106</v>
      </c>
    </row>
    <row r="36" spans="1:7" s="5" customFormat="1" x14ac:dyDescent="0.25">
      <c r="A36" s="1" t="s">
        <v>107</v>
      </c>
      <c r="C36" s="6"/>
      <c r="D36" s="6"/>
      <c r="E36" s="6"/>
      <c r="F36" s="7"/>
      <c r="G36" s="7"/>
    </row>
    <row r="37" spans="1:7" s="5" customFormat="1" x14ac:dyDescent="0.25">
      <c r="A37" s="1" t="s">
        <v>108</v>
      </c>
      <c r="C37" s="6"/>
      <c r="D37" s="6"/>
      <c r="E37" s="6"/>
      <c r="F37" s="7"/>
      <c r="G37" s="7"/>
    </row>
    <row r="38" spans="1:7" s="5" customFormat="1" x14ac:dyDescent="0.25">
      <c r="A38" s="1" t="s">
        <v>109</v>
      </c>
      <c r="C38" s="6"/>
      <c r="D38" s="6"/>
      <c r="E38" s="6"/>
      <c r="F38" s="7"/>
      <c r="G38" s="7"/>
    </row>
    <row r="39" spans="1:7" s="5" customFormat="1" x14ac:dyDescent="0.25">
      <c r="A39" s="1" t="s">
        <v>110</v>
      </c>
      <c r="C39" s="6"/>
      <c r="D39" s="6"/>
      <c r="E39" s="6"/>
      <c r="F39" s="7"/>
      <c r="G39" s="7"/>
    </row>
  </sheetData>
  <mergeCells count="4">
    <mergeCell ref="A3:H3"/>
    <mergeCell ref="A4:H4"/>
    <mergeCell ref="A5:H5"/>
    <mergeCell ref="F8:H8"/>
  </mergeCells>
  <printOptions horizontalCentered="1"/>
  <pageMargins left="0" right="0" top="0.75" bottom="0.5" header="0.5" footer="0.5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Normal="100" workbookViewId="0">
      <selection activeCell="A2" sqref="A1:A2"/>
    </sheetView>
  </sheetViews>
  <sheetFormatPr defaultColWidth="9.109375" defaultRowHeight="13.8" x14ac:dyDescent="0.3"/>
  <cols>
    <col min="1" max="1" width="10.77734375" style="51" bestFit="1" customWidth="1"/>
    <col min="2" max="2" width="15.33203125" style="51" bestFit="1" customWidth="1"/>
    <col min="3" max="3" width="39.109375" style="51" bestFit="1" customWidth="1"/>
    <col min="4" max="4" width="10.109375" style="51" bestFit="1" customWidth="1"/>
    <col min="5" max="5" width="15" style="51" bestFit="1" customWidth="1"/>
    <col min="6" max="6" width="10.44140625" style="51" bestFit="1" customWidth="1"/>
    <col min="7" max="8" width="11" style="51" bestFit="1" customWidth="1"/>
    <col min="9" max="9" width="15" style="51" bestFit="1" customWidth="1"/>
    <col min="10" max="10" width="11.6640625" style="51" bestFit="1" customWidth="1"/>
    <col min="11" max="11" width="9.6640625" style="51" bestFit="1" customWidth="1"/>
    <col min="12" max="12" width="11.44140625" style="51" bestFit="1" customWidth="1"/>
    <col min="13" max="13" width="4.6640625" style="51" customWidth="1"/>
    <col min="14" max="14" width="39.109375" style="51" bestFit="1" customWidth="1"/>
    <col min="15" max="15" width="35.109375" style="51" bestFit="1" customWidth="1"/>
    <col min="16" max="16" width="9.6640625" style="51" bestFit="1" customWidth="1"/>
    <col min="17" max="18" width="11.44140625" style="51" bestFit="1" customWidth="1"/>
    <col min="19" max="19" width="12.44140625" style="51" bestFit="1" customWidth="1"/>
    <col min="20" max="20" width="15.5546875" style="51" bestFit="1" customWidth="1"/>
    <col min="21" max="21" width="15" style="51" bestFit="1" customWidth="1"/>
    <col min="22" max="22" width="10.109375" style="51" bestFit="1" customWidth="1"/>
    <col min="23" max="23" width="11.44140625" style="51" bestFit="1" customWidth="1"/>
    <col min="24" max="24" width="8" style="51" bestFit="1" customWidth="1"/>
    <col min="25" max="25" width="9" style="51" bestFit="1" customWidth="1"/>
    <col min="26" max="27" width="7" style="51" bestFit="1" customWidth="1"/>
    <col min="28" max="16384" width="9.109375" style="51"/>
  </cols>
  <sheetData>
    <row r="1" spans="1:27" x14ac:dyDescent="0.3">
      <c r="A1" s="73" t="s">
        <v>125</v>
      </c>
    </row>
    <row r="2" spans="1:27" x14ac:dyDescent="0.3">
      <c r="A2" s="73" t="s">
        <v>121</v>
      </c>
    </row>
    <row r="3" spans="1:27" x14ac:dyDescent="0.3">
      <c r="B3" s="36"/>
      <c r="C3" s="36"/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10</v>
      </c>
      <c r="M3" s="36"/>
      <c r="N3" s="36"/>
      <c r="O3" s="36"/>
      <c r="P3" s="37" t="s">
        <v>2</v>
      </c>
      <c r="Q3" s="37" t="s">
        <v>3</v>
      </c>
      <c r="R3" s="37" t="s">
        <v>4</v>
      </c>
      <c r="S3" s="37" t="s">
        <v>5</v>
      </c>
      <c r="T3" s="37" t="s">
        <v>6</v>
      </c>
      <c r="U3" s="37" t="s">
        <v>7</v>
      </c>
      <c r="V3" s="37" t="s">
        <v>8</v>
      </c>
      <c r="W3" s="37" t="s">
        <v>9</v>
      </c>
      <c r="X3" s="37" t="s">
        <v>10</v>
      </c>
      <c r="Y3" s="37" t="s">
        <v>11</v>
      </c>
    </row>
    <row r="4" spans="1:27" x14ac:dyDescent="0.3">
      <c r="B4" s="36"/>
      <c r="C4" s="36"/>
      <c r="D4" s="37" t="s">
        <v>12</v>
      </c>
      <c r="E4" s="37" t="s">
        <v>13</v>
      </c>
      <c r="F4" s="37" t="s">
        <v>13</v>
      </c>
      <c r="G4" s="37" t="s">
        <v>14</v>
      </c>
      <c r="H4" s="37" t="s">
        <v>15</v>
      </c>
      <c r="I4" s="37" t="s">
        <v>13</v>
      </c>
      <c r="J4" s="37" t="s">
        <v>13</v>
      </c>
      <c r="K4" s="37" t="s">
        <v>16</v>
      </c>
      <c r="L4" s="37" t="s">
        <v>16</v>
      </c>
      <c r="M4" s="36"/>
      <c r="N4" s="36"/>
      <c r="O4" s="36"/>
      <c r="P4" s="37" t="s">
        <v>16</v>
      </c>
      <c r="Q4" s="37" t="s">
        <v>16</v>
      </c>
      <c r="R4" s="37" t="s">
        <v>15</v>
      </c>
      <c r="S4" s="37" t="s">
        <v>14</v>
      </c>
      <c r="T4" s="37" t="s">
        <v>17</v>
      </c>
      <c r="U4" s="37" t="s">
        <v>13</v>
      </c>
      <c r="V4" s="37" t="s">
        <v>18</v>
      </c>
      <c r="W4" s="37" t="s">
        <v>19</v>
      </c>
      <c r="X4" s="37" t="s">
        <v>20</v>
      </c>
      <c r="Y4" s="37" t="s">
        <v>20</v>
      </c>
    </row>
    <row r="5" spans="1:27" x14ac:dyDescent="0.3">
      <c r="B5" s="36"/>
      <c r="C5" s="38" t="s">
        <v>21</v>
      </c>
      <c r="D5" s="37" t="s">
        <v>22</v>
      </c>
      <c r="E5" s="37" t="s">
        <v>23</v>
      </c>
      <c r="F5" s="37" t="s">
        <v>24</v>
      </c>
      <c r="G5" s="37" t="s">
        <v>25</v>
      </c>
      <c r="H5" s="37" t="s">
        <v>25</v>
      </c>
      <c r="I5" s="37" t="s">
        <v>23</v>
      </c>
      <c r="J5" s="37" t="s">
        <v>24</v>
      </c>
      <c r="K5" s="37" t="s">
        <v>26</v>
      </c>
      <c r="L5" s="37" t="s">
        <v>27</v>
      </c>
      <c r="M5" s="36"/>
      <c r="N5" s="38" t="s">
        <v>21</v>
      </c>
      <c r="O5" s="38"/>
      <c r="P5" s="37" t="s">
        <v>26</v>
      </c>
      <c r="Q5" s="37" t="s">
        <v>27</v>
      </c>
      <c r="R5" s="37" t="s">
        <v>28</v>
      </c>
      <c r="S5" s="37" t="s">
        <v>28</v>
      </c>
      <c r="T5" s="37" t="s">
        <v>20</v>
      </c>
      <c r="U5" s="37" t="s">
        <v>23</v>
      </c>
      <c r="V5" s="37" t="s">
        <v>22</v>
      </c>
      <c r="W5" s="37" t="s">
        <v>29</v>
      </c>
      <c r="X5" s="37" t="s">
        <v>30</v>
      </c>
      <c r="Y5" s="37" t="s">
        <v>30</v>
      </c>
    </row>
    <row r="6" spans="1:27" x14ac:dyDescent="0.3">
      <c r="B6" s="36"/>
      <c r="C6" s="36"/>
      <c r="D6" s="37" t="s">
        <v>31</v>
      </c>
      <c r="E6" s="37" t="s">
        <v>32</v>
      </c>
      <c r="F6" s="37" t="s">
        <v>31</v>
      </c>
      <c r="G6" s="37" t="s">
        <v>33</v>
      </c>
      <c r="H6" s="37" t="s">
        <v>33</v>
      </c>
      <c r="I6" s="37" t="s">
        <v>34</v>
      </c>
      <c r="J6" s="37" t="s">
        <v>35</v>
      </c>
      <c r="K6" s="37" t="s">
        <v>34</v>
      </c>
      <c r="L6" s="37" t="s">
        <v>34</v>
      </c>
      <c r="M6" s="36"/>
      <c r="N6" s="36"/>
      <c r="O6" s="36"/>
      <c r="P6" s="37" t="s">
        <v>34</v>
      </c>
      <c r="Q6" s="37" t="s">
        <v>34</v>
      </c>
      <c r="R6" s="36"/>
      <c r="S6" s="36"/>
      <c r="T6" s="37" t="s">
        <v>36</v>
      </c>
      <c r="U6" s="37" t="s">
        <v>32</v>
      </c>
      <c r="V6" s="40"/>
      <c r="W6" s="37" t="s">
        <v>31</v>
      </c>
      <c r="X6" s="37" t="s">
        <v>37</v>
      </c>
      <c r="Y6" s="37" t="s">
        <v>37</v>
      </c>
      <c r="Z6" s="37" t="s">
        <v>111</v>
      </c>
      <c r="AA6" s="37" t="s">
        <v>112</v>
      </c>
    </row>
    <row r="7" spans="1:27" x14ac:dyDescent="0.3">
      <c r="B7" s="36"/>
      <c r="C7" s="36"/>
      <c r="D7" s="37" t="s">
        <v>38</v>
      </c>
      <c r="E7" s="37" t="s">
        <v>39</v>
      </c>
      <c r="F7" s="37" t="s">
        <v>40</v>
      </c>
      <c r="G7" s="37" t="s">
        <v>37</v>
      </c>
      <c r="H7" s="37" t="s">
        <v>37</v>
      </c>
      <c r="I7" s="37" t="s">
        <v>39</v>
      </c>
      <c r="J7" s="37" t="s">
        <v>40</v>
      </c>
      <c r="K7" s="37" t="s">
        <v>38</v>
      </c>
      <c r="L7" s="37" t="s">
        <v>38</v>
      </c>
      <c r="M7" s="36"/>
      <c r="N7" s="36"/>
      <c r="O7" s="36"/>
      <c r="P7" s="37" t="s">
        <v>38</v>
      </c>
      <c r="Q7" s="37" t="s">
        <v>38</v>
      </c>
      <c r="R7" s="37" t="s">
        <v>41</v>
      </c>
      <c r="S7" s="37" t="s">
        <v>41</v>
      </c>
      <c r="T7" s="37" t="s">
        <v>41</v>
      </c>
      <c r="U7" s="37" t="s">
        <v>39</v>
      </c>
      <c r="V7" s="37" t="s">
        <v>38</v>
      </c>
      <c r="W7" s="37" t="s">
        <v>42</v>
      </c>
      <c r="X7" s="37" t="s">
        <v>43</v>
      </c>
      <c r="Y7" s="37" t="s">
        <v>44</v>
      </c>
      <c r="Z7" s="37" t="s">
        <v>44</v>
      </c>
      <c r="AA7" s="37" t="s">
        <v>44</v>
      </c>
    </row>
    <row r="8" spans="1:27" x14ac:dyDescent="0.3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7" x14ac:dyDescent="0.3">
      <c r="A9" s="51" t="s">
        <v>45</v>
      </c>
      <c r="B9" s="36" t="s">
        <v>45</v>
      </c>
      <c r="C9" s="38" t="s">
        <v>46</v>
      </c>
      <c r="D9" s="52">
        <v>0.58600543495497959</v>
      </c>
      <c r="E9" s="53">
        <v>57730448509</v>
      </c>
      <c r="F9" s="54">
        <f>ROUND(E9/(8760*D9),0)</f>
        <v>11246029</v>
      </c>
      <c r="G9" s="55">
        <v>1.0646691328274209</v>
      </c>
      <c r="H9" s="55">
        <v>1.0486554726996764</v>
      </c>
      <c r="I9" s="56">
        <f>E9*H9</f>
        <v>60539350770.36972</v>
      </c>
      <c r="J9" s="56">
        <f>F9*G9</f>
        <v>11973299.943182027</v>
      </c>
      <c r="K9" s="57">
        <f>I9/$I$24</f>
        <v>0.5327421056305004</v>
      </c>
      <c r="L9" s="41">
        <f>J9/$J$24</f>
        <v>0.58987000765219866</v>
      </c>
      <c r="M9" s="36"/>
      <c r="N9" s="38" t="s">
        <v>46</v>
      </c>
      <c r="O9" s="58" t="s">
        <v>45</v>
      </c>
      <c r="P9" s="41">
        <f t="shared" ref="P9:Q22" si="0">K9</f>
        <v>0.5327421056305004</v>
      </c>
      <c r="Q9" s="41">
        <f t="shared" si="0"/>
        <v>0.58987000765219866</v>
      </c>
      <c r="R9" s="59">
        <f>ROUND(+P9*($T$24*0.25),0)</f>
        <v>37710704</v>
      </c>
      <c r="S9" s="59">
        <f>ROUND(+Q9*($T$24*0.75),0)</f>
        <v>125263687</v>
      </c>
      <c r="T9" s="59">
        <f>R9+S9</f>
        <v>162974391</v>
      </c>
      <c r="U9" s="56">
        <f>E9</f>
        <v>57730448509</v>
      </c>
      <c r="V9" s="42"/>
      <c r="W9" s="37" t="s">
        <v>47</v>
      </c>
      <c r="X9" s="37" t="s">
        <v>47</v>
      </c>
      <c r="Y9" s="50">
        <f>ROUND(T9/U9,5)</f>
        <v>2.82E-3</v>
      </c>
    </row>
    <row r="10" spans="1:27" x14ac:dyDescent="0.3">
      <c r="A10" s="51" t="s">
        <v>48</v>
      </c>
      <c r="B10" s="36" t="s">
        <v>48</v>
      </c>
      <c r="C10" s="38" t="s">
        <v>49</v>
      </c>
      <c r="D10" s="52">
        <v>0.6442654800125015</v>
      </c>
      <c r="E10" s="53">
        <v>6029078746</v>
      </c>
      <c r="F10" s="54">
        <f>ROUND(E10/(8760*D10),0)</f>
        <v>1068272</v>
      </c>
      <c r="G10" s="55">
        <v>1.0646691322160158</v>
      </c>
      <c r="H10" s="55">
        <v>1.0486554726996764</v>
      </c>
      <c r="I10" s="56">
        <f t="shared" ref="I10:I22" si="1">E10*H10</f>
        <v>6322426422.3302021</v>
      </c>
      <c r="J10" s="56">
        <f t="shared" ref="J10:J22" si="2">F10*G10</f>
        <v>1137356.2232106675</v>
      </c>
      <c r="K10" s="57">
        <f t="shared" ref="K10:K22" si="3">I10/$I$24</f>
        <v>5.5636915858282392E-2</v>
      </c>
      <c r="L10" s="41">
        <f t="shared" ref="L10:L22" si="4">J10/$J$24</f>
        <v>5.6032365953596557E-2</v>
      </c>
      <c r="M10" s="36"/>
      <c r="N10" s="38" t="s">
        <v>50</v>
      </c>
      <c r="O10" s="58" t="s">
        <v>48</v>
      </c>
      <c r="P10" s="41">
        <f t="shared" si="0"/>
        <v>5.5636915858282392E-2</v>
      </c>
      <c r="Q10" s="41">
        <f t="shared" si="0"/>
        <v>5.6032365953596557E-2</v>
      </c>
      <c r="R10" s="59">
        <f t="shared" ref="R10:R22" si="5">ROUND(+P10*($T$24*0.25),0)</f>
        <v>3938317</v>
      </c>
      <c r="S10" s="59">
        <f t="shared" ref="S10:S22" si="6">ROUND(+Q10*($T$24*0.75),0)</f>
        <v>11898928</v>
      </c>
      <c r="T10" s="59">
        <f t="shared" ref="T10:T22" si="7">R10+S10</f>
        <v>15837245</v>
      </c>
      <c r="U10" s="56">
        <f t="shared" ref="U10:U22" si="8">E10</f>
        <v>6029078746</v>
      </c>
      <c r="V10" s="42"/>
      <c r="W10" s="37" t="s">
        <v>47</v>
      </c>
      <c r="X10" s="44" t="s">
        <v>47</v>
      </c>
      <c r="Y10" s="50">
        <f>ROUND(T10/U10,5)</f>
        <v>2.63E-3</v>
      </c>
    </row>
    <row r="11" spans="1:27" x14ac:dyDescent="0.3">
      <c r="A11" s="51" t="s">
        <v>51</v>
      </c>
      <c r="B11" s="36" t="s">
        <v>51</v>
      </c>
      <c r="C11" s="38" t="s">
        <v>52</v>
      </c>
      <c r="D11" s="52">
        <v>0.72095715928252913</v>
      </c>
      <c r="E11" s="53">
        <v>26061775857</v>
      </c>
      <c r="F11" s="54">
        <f t="shared" ref="F11:F22" si="9">ROUND(E11/(8760*D11),0)</f>
        <v>4126582</v>
      </c>
      <c r="G11" s="55">
        <v>1.0645832438034282</v>
      </c>
      <c r="H11" s="55">
        <v>1.0485916395184989</v>
      </c>
      <c r="I11" s="56">
        <f t="shared" si="1"/>
        <v>27328160274.655262</v>
      </c>
      <c r="J11" s="56">
        <f t="shared" si="2"/>
        <v>4393090.0513808383</v>
      </c>
      <c r="K11" s="57">
        <f t="shared" si="3"/>
        <v>0.24048592299825758</v>
      </c>
      <c r="L11" s="41">
        <f t="shared" si="4"/>
        <v>0.21642755752564355</v>
      </c>
      <c r="M11" s="36"/>
      <c r="N11" s="38" t="s">
        <v>52</v>
      </c>
      <c r="O11" s="60" t="s">
        <v>78</v>
      </c>
      <c r="P11" s="41">
        <f t="shared" si="0"/>
        <v>0.24048592299825758</v>
      </c>
      <c r="Q11" s="41">
        <f t="shared" si="0"/>
        <v>0.21642755752564355</v>
      </c>
      <c r="R11" s="59">
        <f t="shared" si="5"/>
        <v>17023046</v>
      </c>
      <c r="S11" s="59">
        <f t="shared" si="6"/>
        <v>45960150</v>
      </c>
      <c r="T11" s="59">
        <f t="shared" si="7"/>
        <v>62983196</v>
      </c>
      <c r="U11" s="56">
        <f t="shared" si="8"/>
        <v>26061775857</v>
      </c>
      <c r="V11" s="41">
        <f>+VLOOKUP($O11,'2018 Clause Allocations'!A13:H26,8,FALSE)</f>
        <v>0.50155091654498307</v>
      </c>
      <c r="W11" s="61">
        <f>ROUND(U11/(V11*730),0)</f>
        <v>71181333</v>
      </c>
      <c r="X11" s="48">
        <f>ROUND(T11/W11,2)</f>
        <v>0.88</v>
      </c>
      <c r="Y11" s="37" t="s">
        <v>47</v>
      </c>
      <c r="Z11" s="62"/>
      <c r="AA11" s="63"/>
    </row>
    <row r="12" spans="1:27" x14ac:dyDescent="0.3">
      <c r="A12" s="51" t="s">
        <v>53</v>
      </c>
      <c r="B12" s="36" t="s">
        <v>53</v>
      </c>
      <c r="C12" s="38" t="s">
        <v>54</v>
      </c>
      <c r="D12" s="52">
        <v>0.91441212893786994</v>
      </c>
      <c r="E12" s="53">
        <v>10752359</v>
      </c>
      <c r="F12" s="54">
        <f t="shared" si="9"/>
        <v>1342</v>
      </c>
      <c r="G12" s="55">
        <v>1.0571766406453194</v>
      </c>
      <c r="H12" s="55">
        <v>1.0266324251987167</v>
      </c>
      <c r="I12" s="56">
        <f t="shared" si="1"/>
        <v>11038720.396777248</v>
      </c>
      <c r="J12" s="56">
        <f t="shared" si="2"/>
        <v>1418.7310517460185</v>
      </c>
      <c r="K12" s="57">
        <f t="shared" si="3"/>
        <v>9.7139977102690512E-5</v>
      </c>
      <c r="L12" s="41">
        <f t="shared" si="4"/>
        <v>6.9894423452272574E-5</v>
      </c>
      <c r="M12" s="36"/>
      <c r="N12" s="38" t="s">
        <v>54</v>
      </c>
      <c r="O12" s="58" t="s">
        <v>53</v>
      </c>
      <c r="P12" s="41">
        <f t="shared" si="0"/>
        <v>9.7139977102690512E-5</v>
      </c>
      <c r="Q12" s="41">
        <f t="shared" si="0"/>
        <v>6.9894423452272574E-5</v>
      </c>
      <c r="R12" s="59">
        <f t="shared" si="5"/>
        <v>6876</v>
      </c>
      <c r="S12" s="59">
        <f t="shared" si="6"/>
        <v>14843</v>
      </c>
      <c r="T12" s="59">
        <f t="shared" si="7"/>
        <v>21719</v>
      </c>
      <c r="U12" s="56">
        <f t="shared" si="8"/>
        <v>10752359</v>
      </c>
      <c r="V12" s="41"/>
      <c r="W12" s="61"/>
      <c r="X12" s="44" t="s">
        <v>47</v>
      </c>
      <c r="Y12" s="50">
        <f>ROUND(T12/U12,5)</f>
        <v>2.0200000000000001E-3</v>
      </c>
      <c r="Z12" s="62"/>
      <c r="AA12" s="68"/>
    </row>
    <row r="13" spans="1:27" x14ac:dyDescent="0.3">
      <c r="A13" s="51" t="s">
        <v>55</v>
      </c>
      <c r="B13" s="36" t="s">
        <v>55</v>
      </c>
      <c r="C13" s="38" t="s">
        <v>56</v>
      </c>
      <c r="D13" s="52">
        <v>0.72584879896509791</v>
      </c>
      <c r="E13" s="53">
        <v>10610067590</v>
      </c>
      <c r="F13" s="54">
        <f t="shared" si="9"/>
        <v>1668660</v>
      </c>
      <c r="G13" s="55">
        <v>1.0634959822708607</v>
      </c>
      <c r="H13" s="55">
        <v>1.04780936213973</v>
      </c>
      <c r="I13" s="56">
        <f t="shared" si="1"/>
        <v>11117328153.737322</v>
      </c>
      <c r="J13" s="56">
        <f t="shared" si="2"/>
        <v>1774613.2057760945</v>
      </c>
      <c r="K13" s="57">
        <f t="shared" si="3"/>
        <v>9.7831719934896394E-2</v>
      </c>
      <c r="L13" s="41">
        <f t="shared" si="4"/>
        <v>8.7427117857087788E-2</v>
      </c>
      <c r="M13" s="36"/>
      <c r="N13" s="38" t="s">
        <v>56</v>
      </c>
      <c r="O13" s="60" t="s">
        <v>79</v>
      </c>
      <c r="P13" s="41">
        <f t="shared" si="0"/>
        <v>9.7831719934896394E-2</v>
      </c>
      <c r="Q13" s="41">
        <f t="shared" si="0"/>
        <v>8.7427117857087788E-2</v>
      </c>
      <c r="R13" s="59">
        <f t="shared" si="5"/>
        <v>6925120</v>
      </c>
      <c r="S13" s="59">
        <f t="shared" si="6"/>
        <v>18565859</v>
      </c>
      <c r="T13" s="59">
        <f t="shared" si="7"/>
        <v>25490979</v>
      </c>
      <c r="U13" s="56">
        <f t="shared" si="8"/>
        <v>10610067590</v>
      </c>
      <c r="V13" s="41">
        <f>+VLOOKUP($O13,'2018 Clause Allocations'!A15:H28,8,FALSE)</f>
        <v>0.56712261429768029</v>
      </c>
      <c r="W13" s="61">
        <f t="shared" ref="W13:W20" si="10">ROUND(U13/(V13*730),0)</f>
        <v>25628213</v>
      </c>
      <c r="X13" s="48">
        <f t="shared" ref="X13:X15" si="11">ROUND(T13/W13,2)</f>
        <v>0.99</v>
      </c>
      <c r="Y13" s="37" t="s">
        <v>47</v>
      </c>
      <c r="Z13" s="62"/>
      <c r="AA13" s="63"/>
    </row>
    <row r="14" spans="1:27" x14ac:dyDescent="0.3">
      <c r="A14" s="51" t="s">
        <v>57</v>
      </c>
      <c r="B14" s="36" t="s">
        <v>57</v>
      </c>
      <c r="C14" s="38" t="s">
        <v>58</v>
      </c>
      <c r="D14" s="52">
        <v>0.86841877290340996</v>
      </c>
      <c r="E14" s="53">
        <v>2538624542</v>
      </c>
      <c r="F14" s="54">
        <f t="shared" si="9"/>
        <v>333707</v>
      </c>
      <c r="G14" s="55">
        <v>1.0549746694884183</v>
      </c>
      <c r="H14" s="55">
        <v>1.0411291709359818</v>
      </c>
      <c r="I14" s="56">
        <f t="shared" si="1"/>
        <v>2643036064.7301965</v>
      </c>
      <c r="J14" s="56">
        <f t="shared" si="2"/>
        <v>352052.43203097163</v>
      </c>
      <c r="K14" s="57">
        <f t="shared" si="3"/>
        <v>2.3258534828405748E-2</v>
      </c>
      <c r="L14" s="41">
        <f t="shared" si="4"/>
        <v>1.7344021427804911E-2</v>
      </c>
      <c r="M14" s="36"/>
      <c r="N14" s="38" t="s">
        <v>59</v>
      </c>
      <c r="O14" s="60" t="s">
        <v>80</v>
      </c>
      <c r="P14" s="41">
        <f t="shared" si="0"/>
        <v>2.3258534828405748E-2</v>
      </c>
      <c r="Q14" s="41">
        <f t="shared" si="0"/>
        <v>1.7344021427804911E-2</v>
      </c>
      <c r="R14" s="59">
        <f t="shared" si="5"/>
        <v>1646380</v>
      </c>
      <c r="S14" s="59">
        <f t="shared" si="6"/>
        <v>3683144</v>
      </c>
      <c r="T14" s="59">
        <f t="shared" si="7"/>
        <v>5329524</v>
      </c>
      <c r="U14" s="56">
        <f t="shared" si="8"/>
        <v>2538624542</v>
      </c>
      <c r="V14" s="41">
        <f>+VLOOKUP($O14,'2018 Clause Allocations'!A16:H29,8,FALSE)</f>
        <v>0.65787943897492696</v>
      </c>
      <c r="W14" s="61">
        <f t="shared" si="10"/>
        <v>5286026</v>
      </c>
      <c r="X14" s="48">
        <f t="shared" si="11"/>
        <v>1.01</v>
      </c>
      <c r="Y14" s="37" t="s">
        <v>47</v>
      </c>
      <c r="Z14" s="62"/>
      <c r="AA14" s="63"/>
    </row>
    <row r="15" spans="1:27" x14ac:dyDescent="0.3">
      <c r="A15" s="51" t="s">
        <v>60</v>
      </c>
      <c r="B15" s="36" t="s">
        <v>60</v>
      </c>
      <c r="C15" s="38" t="s">
        <v>61</v>
      </c>
      <c r="D15" s="52">
        <v>0.85297493338993025</v>
      </c>
      <c r="E15" s="53">
        <v>177842598</v>
      </c>
      <c r="F15" s="54">
        <f>ROUND(E15/(8760*D15),0)</f>
        <v>23801</v>
      </c>
      <c r="G15" s="55">
        <v>1.0219163653884258</v>
      </c>
      <c r="H15" s="55">
        <v>1.0170123194074383</v>
      </c>
      <c r="I15" s="56">
        <f t="shared" si="1"/>
        <v>180868113.08142465</v>
      </c>
      <c r="J15" s="56">
        <f t="shared" si="2"/>
        <v>24322.631412609921</v>
      </c>
      <c r="K15" s="57">
        <f t="shared" si="3"/>
        <v>1.5916269034648117E-3</v>
      </c>
      <c r="L15" s="41">
        <f t="shared" si="4"/>
        <v>1.1982653775952186E-3</v>
      </c>
      <c r="M15" s="36"/>
      <c r="N15" s="38" t="s">
        <v>61</v>
      </c>
      <c r="O15" s="58" t="s">
        <v>81</v>
      </c>
      <c r="P15" s="41">
        <f t="shared" si="0"/>
        <v>1.5916269034648117E-3</v>
      </c>
      <c r="Q15" s="41">
        <f t="shared" si="0"/>
        <v>1.1982653775952186E-3</v>
      </c>
      <c r="R15" s="59">
        <f t="shared" si="5"/>
        <v>112665</v>
      </c>
      <c r="S15" s="59">
        <f t="shared" si="6"/>
        <v>254461</v>
      </c>
      <c r="T15" s="59">
        <f t="shared" si="7"/>
        <v>367126</v>
      </c>
      <c r="U15" s="56">
        <f t="shared" si="8"/>
        <v>177842598</v>
      </c>
      <c r="V15" s="41">
        <f>+VLOOKUP($O15,'2018 Clause Allocations'!A17:H30,8,FALSE)</f>
        <v>0.66110876141603681</v>
      </c>
      <c r="W15" s="61">
        <f t="shared" si="10"/>
        <v>368502</v>
      </c>
      <c r="X15" s="48">
        <f t="shared" si="11"/>
        <v>1</v>
      </c>
      <c r="Y15" s="37" t="s">
        <v>47</v>
      </c>
      <c r="Z15" s="62"/>
      <c r="AA15" s="63"/>
    </row>
    <row r="16" spans="1:27" x14ac:dyDescent="0.3">
      <c r="A16" s="51" t="s">
        <v>63</v>
      </c>
      <c r="B16" s="36" t="s">
        <v>83</v>
      </c>
      <c r="C16" s="38" t="s">
        <v>77</v>
      </c>
      <c r="D16" s="52">
        <v>0.7756741267446351</v>
      </c>
      <c r="E16" s="53">
        <v>11856926</v>
      </c>
      <c r="F16" s="54">
        <f t="shared" si="9"/>
        <v>1745</v>
      </c>
      <c r="G16" s="55">
        <v>1.0348593807299622</v>
      </c>
      <c r="H16" s="55">
        <v>1.0266324251987167</v>
      </c>
      <c r="I16" s="56">
        <f t="shared" si="1"/>
        <v>12172704.694781719</v>
      </c>
      <c r="J16" s="56">
        <f t="shared" si="2"/>
        <v>1805.829619373784</v>
      </c>
      <c r="K16" s="57">
        <f t="shared" si="3"/>
        <v>1.0711896060653256E-4</v>
      </c>
      <c r="L16" s="41">
        <f t="shared" si="4"/>
        <v>8.8965008515062041E-5</v>
      </c>
      <c r="M16" s="36"/>
      <c r="N16" s="38" t="s">
        <v>77</v>
      </c>
      <c r="O16" s="58" t="s">
        <v>83</v>
      </c>
      <c r="P16" s="41">
        <f t="shared" si="0"/>
        <v>1.0711896060653256E-4</v>
      </c>
      <c r="Q16" s="41">
        <f t="shared" si="0"/>
        <v>8.8965008515062041E-5</v>
      </c>
      <c r="R16" s="59">
        <f t="shared" si="5"/>
        <v>7583</v>
      </c>
      <c r="S16" s="59">
        <f t="shared" si="6"/>
        <v>18892</v>
      </c>
      <c r="T16" s="59">
        <f t="shared" si="7"/>
        <v>26475</v>
      </c>
      <c r="U16" s="56">
        <f t="shared" si="8"/>
        <v>11856926</v>
      </c>
      <c r="V16" s="41">
        <f>+VLOOKUP($O16,'2018 Clause Allocations'!A18:H31,8,FALSE)</f>
        <v>0.29683762187751556</v>
      </c>
      <c r="W16" s="61">
        <f t="shared" si="10"/>
        <v>54718</v>
      </c>
      <c r="X16" s="37" t="s">
        <v>47</v>
      </c>
      <c r="Y16" s="37" t="s">
        <v>47</v>
      </c>
      <c r="Z16" s="48">
        <f>ROUND(($T$24/$J$24*0.1*$G16)/12,2)</f>
        <v>0.12</v>
      </c>
      <c r="AA16" s="48">
        <f>ROUND(($T$24/$J$24/21*$G16)/12,2)</f>
        <v>0.06</v>
      </c>
    </row>
    <row r="17" spans="1:27" x14ac:dyDescent="0.3">
      <c r="A17" s="51" t="s">
        <v>62</v>
      </c>
      <c r="B17" s="36" t="s">
        <v>82</v>
      </c>
      <c r="C17" s="38" t="s">
        <v>76</v>
      </c>
      <c r="D17" s="52">
        <v>1.0642537654835582</v>
      </c>
      <c r="E17" s="53">
        <v>89667754</v>
      </c>
      <c r="F17" s="54">
        <f t="shared" si="9"/>
        <v>9618</v>
      </c>
      <c r="G17" s="55">
        <v>1.0219163663347777</v>
      </c>
      <c r="H17" s="55">
        <v>1.0170123194074383</v>
      </c>
      <c r="I17" s="56">
        <f t="shared" si="1"/>
        <v>91193210.4715956</v>
      </c>
      <c r="J17" s="56">
        <f t="shared" si="2"/>
        <v>9828.7916114078907</v>
      </c>
      <c r="K17" s="57">
        <f t="shared" si="3"/>
        <v>8.0249395389323137E-4</v>
      </c>
      <c r="L17" s="41">
        <f t="shared" si="4"/>
        <v>4.8421984002283648E-4</v>
      </c>
      <c r="M17" s="36"/>
      <c r="N17" s="38" t="s">
        <v>76</v>
      </c>
      <c r="O17" s="58" t="s">
        <v>82</v>
      </c>
      <c r="P17" s="41">
        <f t="shared" si="0"/>
        <v>8.0249395389323137E-4</v>
      </c>
      <c r="Q17" s="41">
        <f t="shared" si="0"/>
        <v>4.8421984002283648E-4</v>
      </c>
      <c r="R17" s="59">
        <f t="shared" si="5"/>
        <v>56805</v>
      </c>
      <c r="S17" s="59">
        <f t="shared" si="6"/>
        <v>102828</v>
      </c>
      <c r="T17" s="59">
        <f t="shared" si="7"/>
        <v>159633</v>
      </c>
      <c r="U17" s="56">
        <f t="shared" si="8"/>
        <v>89667754</v>
      </c>
      <c r="V17" s="41">
        <f>+VLOOKUP($O17,'2018 Clause Allocations'!A19:H32,8,FALSE)</f>
        <v>0.11319690656706886</v>
      </c>
      <c r="W17" s="61">
        <f t="shared" si="10"/>
        <v>1085123</v>
      </c>
      <c r="X17" s="37" t="s">
        <v>47</v>
      </c>
      <c r="Y17" s="37" t="s">
        <v>47</v>
      </c>
      <c r="Z17" s="48">
        <f>ROUND(($T$24/$J$24*0.1*$G17)/12,2)</f>
        <v>0.12</v>
      </c>
      <c r="AA17" s="48">
        <f>ROUND(($T$24/$J$24/21*$G17)/12,2)</f>
        <v>0.06</v>
      </c>
    </row>
    <row r="18" spans="1:27" x14ac:dyDescent="0.3">
      <c r="A18" s="51" t="s">
        <v>64</v>
      </c>
      <c r="B18" s="36" t="s">
        <v>116</v>
      </c>
      <c r="C18" s="38" t="s">
        <v>65</v>
      </c>
      <c r="D18" s="52">
        <v>0.86503287752103508</v>
      </c>
      <c r="E18" s="53">
        <v>2785458444</v>
      </c>
      <c r="F18" s="54">
        <f t="shared" si="9"/>
        <v>367587</v>
      </c>
      <c r="G18" s="55">
        <v>1.0533993357888443</v>
      </c>
      <c r="H18" s="55">
        <v>1.0405293502860777</v>
      </c>
      <c r="I18" s="56">
        <f t="shared" si="1"/>
        <v>2898351264.984189</v>
      </c>
      <c r="J18" s="56">
        <f t="shared" si="2"/>
        <v>387215.90164461388</v>
      </c>
      <c r="K18" s="57">
        <f t="shared" si="3"/>
        <v>2.5505290957302935E-2</v>
      </c>
      <c r="L18" s="41">
        <f t="shared" si="4"/>
        <v>1.9076365575909884E-2</v>
      </c>
      <c r="M18" s="36"/>
      <c r="N18" s="38" t="s">
        <v>65</v>
      </c>
      <c r="O18" s="58" t="s">
        <v>84</v>
      </c>
      <c r="P18" s="41">
        <f t="shared" si="0"/>
        <v>2.5505290957302935E-2</v>
      </c>
      <c r="Q18" s="41">
        <f t="shared" si="0"/>
        <v>1.9076365575909884E-2</v>
      </c>
      <c r="R18" s="59">
        <f t="shared" si="5"/>
        <v>1805419</v>
      </c>
      <c r="S18" s="59">
        <f t="shared" si="6"/>
        <v>4051021</v>
      </c>
      <c r="T18" s="59">
        <f t="shared" si="7"/>
        <v>5856440</v>
      </c>
      <c r="U18" s="56">
        <f t="shared" si="8"/>
        <v>2785458444</v>
      </c>
      <c r="V18" s="41">
        <f>+VLOOKUP($O18,'2018 Clause Allocations'!A20:H33,8,FALSE)</f>
        <v>0.74142942939728584</v>
      </c>
      <c r="W18" s="61">
        <f t="shared" si="10"/>
        <v>5146406</v>
      </c>
      <c r="X18" s="48">
        <f t="shared" ref="X18:X20" si="12">ROUND(T18/W18,2)</f>
        <v>1.1399999999999999</v>
      </c>
      <c r="Y18" s="37" t="s">
        <v>47</v>
      </c>
      <c r="Z18" s="62"/>
      <c r="AA18" s="63"/>
    </row>
    <row r="19" spans="1:27" x14ac:dyDescent="0.3">
      <c r="A19" s="51" t="s">
        <v>66</v>
      </c>
      <c r="B19" s="36" t="s">
        <v>66</v>
      </c>
      <c r="C19" s="38" t="s">
        <v>67</v>
      </c>
      <c r="D19" s="52">
        <v>0.90405436942759743</v>
      </c>
      <c r="E19" s="53">
        <v>1551367200</v>
      </c>
      <c r="F19" s="54">
        <f t="shared" si="9"/>
        <v>195892</v>
      </c>
      <c r="G19" s="55">
        <v>1.0219163648227962</v>
      </c>
      <c r="H19" s="55">
        <v>1.0170123194074383</v>
      </c>
      <c r="I19" s="56">
        <f t="shared" si="1"/>
        <v>1577759554.3246231</v>
      </c>
      <c r="J19" s="56">
        <f t="shared" si="2"/>
        <v>200185.24053786721</v>
      </c>
      <c r="K19" s="57">
        <f t="shared" si="3"/>
        <v>1.388417511013236E-2</v>
      </c>
      <c r="L19" s="41">
        <f t="shared" si="4"/>
        <v>9.8622159244552525E-3</v>
      </c>
      <c r="M19" s="36"/>
      <c r="N19" s="38" t="s">
        <v>67</v>
      </c>
      <c r="O19" s="58" t="s">
        <v>66</v>
      </c>
      <c r="P19" s="41">
        <f t="shared" si="0"/>
        <v>1.388417511013236E-2</v>
      </c>
      <c r="Q19" s="41">
        <f t="shared" si="0"/>
        <v>9.8622159244552525E-3</v>
      </c>
      <c r="R19" s="59">
        <f t="shared" si="5"/>
        <v>982806</v>
      </c>
      <c r="S19" s="59">
        <f t="shared" si="6"/>
        <v>2094322</v>
      </c>
      <c r="T19" s="59">
        <f t="shared" si="7"/>
        <v>3077128</v>
      </c>
      <c r="U19" s="56">
        <f t="shared" si="8"/>
        <v>1551367200</v>
      </c>
      <c r="V19" s="41">
        <f>+VLOOKUP($O19,'2018 Clause Allocations'!A20:H34,8,FALSE)</f>
        <v>0.76336433316576868</v>
      </c>
      <c r="W19" s="61">
        <f t="shared" si="10"/>
        <v>2783940</v>
      </c>
      <c r="X19" s="48">
        <f t="shared" si="12"/>
        <v>1.1100000000000001</v>
      </c>
      <c r="Y19" s="37" t="s">
        <v>47</v>
      </c>
      <c r="Z19" s="62"/>
      <c r="AA19" s="63"/>
    </row>
    <row r="20" spans="1:27" x14ac:dyDescent="0.3">
      <c r="A20" s="51" t="s">
        <v>68</v>
      </c>
      <c r="B20" s="36" t="s">
        <v>68</v>
      </c>
      <c r="C20" s="38" t="s">
        <v>68</v>
      </c>
      <c r="D20" s="52">
        <v>0.71006928440649986</v>
      </c>
      <c r="E20" s="53">
        <v>91224719</v>
      </c>
      <c r="F20" s="54">
        <f t="shared" si="9"/>
        <v>14666</v>
      </c>
      <c r="G20" s="55">
        <v>1.0348593797787911</v>
      </c>
      <c r="H20" s="55">
        <v>1.0266324251987167</v>
      </c>
      <c r="I20" s="56">
        <f t="shared" si="1"/>
        <v>93654254.50504145</v>
      </c>
      <c r="J20" s="56">
        <f t="shared" si="2"/>
        <v>15177.247663835749</v>
      </c>
      <c r="K20" s="57">
        <f t="shared" si="3"/>
        <v>8.2415097141561001E-4</v>
      </c>
      <c r="L20" s="41">
        <f t="shared" si="4"/>
        <v>7.477139333424952E-4</v>
      </c>
      <c r="M20" s="36"/>
      <c r="N20" s="38" t="s">
        <v>68</v>
      </c>
      <c r="O20" s="58" t="s">
        <v>68</v>
      </c>
      <c r="P20" s="41">
        <f t="shared" si="0"/>
        <v>8.2415097141561001E-4</v>
      </c>
      <c r="Q20" s="41">
        <f t="shared" si="0"/>
        <v>7.477139333424952E-4</v>
      </c>
      <c r="R20" s="59">
        <f t="shared" si="5"/>
        <v>58338</v>
      </c>
      <c r="S20" s="59">
        <f t="shared" si="6"/>
        <v>158783</v>
      </c>
      <c r="T20" s="59">
        <f t="shared" si="7"/>
        <v>217121</v>
      </c>
      <c r="U20" s="56">
        <f t="shared" si="8"/>
        <v>91224719</v>
      </c>
      <c r="V20" s="41">
        <f>+VLOOKUP($O20,'2018 Clause Allocations'!A22:H35,8,FALSE)</f>
        <v>0.64572858053338122</v>
      </c>
      <c r="W20" s="61">
        <f t="shared" si="10"/>
        <v>193526</v>
      </c>
      <c r="X20" s="48">
        <f t="shared" si="12"/>
        <v>1.1200000000000001</v>
      </c>
      <c r="Y20" s="37" t="s">
        <v>47</v>
      </c>
      <c r="Z20" s="62"/>
      <c r="AA20" s="63"/>
    </row>
    <row r="21" spans="1:27" x14ac:dyDescent="0.3">
      <c r="A21" s="51" t="s">
        <v>0</v>
      </c>
      <c r="B21" s="36" t="s">
        <v>117</v>
      </c>
      <c r="C21" s="38" t="s">
        <v>69</v>
      </c>
      <c r="D21" s="52">
        <v>5.8150031949913128</v>
      </c>
      <c r="E21" s="53">
        <v>677742842</v>
      </c>
      <c r="F21" s="54">
        <f t="shared" si="9"/>
        <v>13305</v>
      </c>
      <c r="G21" s="55">
        <v>1.0646691330406721</v>
      </c>
      <c r="H21" s="55">
        <v>1.0486554726996764</v>
      </c>
      <c r="I21" s="56">
        <f t="shared" si="1"/>
        <v>710718740.34633207</v>
      </c>
      <c r="J21" s="56">
        <f t="shared" si="2"/>
        <v>14165.422815106143</v>
      </c>
      <c r="K21" s="57">
        <f t="shared" si="3"/>
        <v>6.2542758292756222E-3</v>
      </c>
      <c r="L21" s="41">
        <f t="shared" si="4"/>
        <v>6.9786592702050538E-4</v>
      </c>
      <c r="M21" s="36"/>
      <c r="N21" s="38" t="s">
        <v>69</v>
      </c>
      <c r="O21" s="58" t="s">
        <v>85</v>
      </c>
      <c r="P21" s="41">
        <f t="shared" si="0"/>
        <v>6.2542758292756222E-3</v>
      </c>
      <c r="Q21" s="41">
        <f t="shared" si="0"/>
        <v>6.9786592702050538E-4</v>
      </c>
      <c r="R21" s="59">
        <f t="shared" si="5"/>
        <v>442715</v>
      </c>
      <c r="S21" s="59">
        <f t="shared" si="6"/>
        <v>148197</v>
      </c>
      <c r="T21" s="59">
        <f t="shared" si="7"/>
        <v>590912</v>
      </c>
      <c r="U21" s="56">
        <f t="shared" si="8"/>
        <v>677742842</v>
      </c>
      <c r="V21" s="42"/>
      <c r="W21" s="37" t="s">
        <v>47</v>
      </c>
      <c r="X21" s="44" t="s">
        <v>47</v>
      </c>
      <c r="Y21" s="50">
        <f t="shared" ref="Y21" si="13">ROUND(T21/U21,5)</f>
        <v>8.7000000000000001E-4</v>
      </c>
      <c r="Z21" s="62"/>
    </row>
    <row r="22" spans="1:27" x14ac:dyDescent="0.3">
      <c r="A22" s="51" t="s">
        <v>75</v>
      </c>
      <c r="B22" s="36" t="s">
        <v>118</v>
      </c>
      <c r="C22" s="38" t="s">
        <v>70</v>
      </c>
      <c r="D22" s="52">
        <v>0.94284877388354726</v>
      </c>
      <c r="E22" s="53">
        <v>106037921</v>
      </c>
      <c r="F22" s="54">
        <f t="shared" si="9"/>
        <v>12839</v>
      </c>
      <c r="G22" s="55">
        <v>1.0646691338092202</v>
      </c>
      <c r="H22" s="55">
        <v>1.0486554726996764</v>
      </c>
      <c r="I22" s="56">
        <f t="shared" si="1"/>
        <v>111197246.17034595</v>
      </c>
      <c r="J22" s="56">
        <f t="shared" si="2"/>
        <v>13669.287008976578</v>
      </c>
      <c r="K22" s="57">
        <f t="shared" si="3"/>
        <v>9.7852808646400717E-4</v>
      </c>
      <c r="L22" s="41">
        <f t="shared" si="4"/>
        <v>6.7342357335468722E-4</v>
      </c>
      <c r="M22" s="36"/>
      <c r="N22" s="38" t="s">
        <v>71</v>
      </c>
      <c r="O22" s="58" t="s">
        <v>86</v>
      </c>
      <c r="P22" s="41">
        <f t="shared" si="0"/>
        <v>9.7852808646400717E-4</v>
      </c>
      <c r="Q22" s="41">
        <f t="shared" si="0"/>
        <v>6.7342357335468722E-4</v>
      </c>
      <c r="R22" s="59">
        <f t="shared" si="5"/>
        <v>69266</v>
      </c>
      <c r="S22" s="59">
        <f t="shared" si="6"/>
        <v>143007</v>
      </c>
      <c r="T22" s="59">
        <f t="shared" si="7"/>
        <v>212273</v>
      </c>
      <c r="U22" s="56">
        <f t="shared" si="8"/>
        <v>106037921</v>
      </c>
      <c r="V22" s="42"/>
      <c r="W22" s="37" t="s">
        <v>47</v>
      </c>
      <c r="X22" s="44" t="s">
        <v>47</v>
      </c>
      <c r="Y22" s="50">
        <f>ROUND(T22/U22,5)</f>
        <v>2E-3</v>
      </c>
      <c r="Z22" s="62"/>
    </row>
    <row r="23" spans="1:27" x14ac:dyDescent="0.3">
      <c r="B23" s="36"/>
      <c r="C23" s="36"/>
      <c r="D23" s="45"/>
      <c r="E23" s="4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47"/>
      <c r="T23" s="36"/>
      <c r="U23" s="36"/>
      <c r="V23" s="36"/>
      <c r="W23" s="36"/>
      <c r="X23" s="48"/>
      <c r="Y23" s="40"/>
    </row>
    <row r="24" spans="1:27" x14ac:dyDescent="0.3">
      <c r="B24" s="36"/>
      <c r="C24" s="38" t="s">
        <v>72</v>
      </c>
      <c r="D24" s="36"/>
      <c r="E24" s="56">
        <f>SUM(E9:E22)</f>
        <v>108471946007</v>
      </c>
      <c r="F24" s="56">
        <f>SUM(F9:F22)</f>
        <v>19084045</v>
      </c>
      <c r="G24" s="36"/>
      <c r="H24" s="36"/>
      <c r="I24" s="56">
        <f>SUM(I9:I22)</f>
        <v>113637255494.79778</v>
      </c>
      <c r="J24" s="56">
        <f>SUM(J9:J22)</f>
        <v>20298200.938946143</v>
      </c>
      <c r="K24" s="64">
        <f>SUM(K9:K22)</f>
        <v>1.0000000000000002</v>
      </c>
      <c r="L24" s="64">
        <f>SUM(L9:L22)</f>
        <v>0.99999999999999956</v>
      </c>
      <c r="M24" s="36"/>
      <c r="N24" s="38" t="s">
        <v>72</v>
      </c>
      <c r="O24" s="38"/>
      <c r="P24" s="36"/>
      <c r="Q24" s="36"/>
      <c r="R24" s="59">
        <f>SUM(R9:R22)</f>
        <v>70786040</v>
      </c>
      <c r="S24" s="59">
        <f>SUM(S9:S22)</f>
        <v>212358122</v>
      </c>
      <c r="T24" s="69">
        <v>283144162.00660276</v>
      </c>
      <c r="U24" s="56">
        <f>SUM(U9:U22)</f>
        <v>108471946007</v>
      </c>
      <c r="V24" s="36"/>
      <c r="W24" s="56">
        <f>SUM(W9:W22)</f>
        <v>111727787</v>
      </c>
      <c r="X24" s="48"/>
      <c r="Y24" s="50"/>
    </row>
    <row r="26" spans="1:27" hidden="1" x14ac:dyDescent="0.3">
      <c r="C26" s="51" t="s">
        <v>64</v>
      </c>
    </row>
    <row r="27" spans="1:27" hidden="1" x14ac:dyDescent="0.3">
      <c r="C27" s="51" t="s">
        <v>73</v>
      </c>
    </row>
    <row r="28" spans="1:27" hidden="1" x14ac:dyDescent="0.3">
      <c r="C28" s="51" t="s">
        <v>66</v>
      </c>
    </row>
    <row r="29" spans="1:27" hidden="1" x14ac:dyDescent="0.3">
      <c r="C29" s="51" t="s">
        <v>74</v>
      </c>
    </row>
    <row r="30" spans="1:27" hidden="1" x14ac:dyDescent="0.3">
      <c r="C30" s="51" t="s">
        <v>51</v>
      </c>
    </row>
    <row r="31" spans="1:27" hidden="1" x14ac:dyDescent="0.3">
      <c r="C31" s="51" t="s">
        <v>55</v>
      </c>
    </row>
    <row r="32" spans="1:27" hidden="1" x14ac:dyDescent="0.3">
      <c r="C32" s="51" t="s">
        <v>57</v>
      </c>
    </row>
    <row r="33" spans="3:20" hidden="1" x14ac:dyDescent="0.3">
      <c r="C33" s="51" t="s">
        <v>60</v>
      </c>
    </row>
    <row r="34" spans="3:20" hidden="1" x14ac:dyDescent="0.3">
      <c r="C34" s="51" t="s">
        <v>48</v>
      </c>
    </row>
    <row r="35" spans="3:20" hidden="1" x14ac:dyDescent="0.3">
      <c r="C35" s="51" t="s">
        <v>68</v>
      </c>
    </row>
    <row r="36" spans="3:20" hidden="1" x14ac:dyDescent="0.3">
      <c r="C36" s="51" t="s">
        <v>1</v>
      </c>
    </row>
    <row r="37" spans="3:20" hidden="1" x14ac:dyDescent="0.3">
      <c r="C37" s="51" t="s">
        <v>53</v>
      </c>
    </row>
    <row r="38" spans="3:20" hidden="1" x14ac:dyDescent="0.3">
      <c r="C38" s="51" t="s">
        <v>45</v>
      </c>
    </row>
    <row r="39" spans="3:20" hidden="1" x14ac:dyDescent="0.3">
      <c r="C39" s="51" t="s">
        <v>0</v>
      </c>
    </row>
    <row r="40" spans="3:20" hidden="1" x14ac:dyDescent="0.3">
      <c r="C40" s="51" t="s">
        <v>75</v>
      </c>
    </row>
    <row r="41" spans="3:20" x14ac:dyDescent="0.3">
      <c r="F41" s="65"/>
      <c r="T41" s="59"/>
    </row>
    <row r="43" spans="3:20" x14ac:dyDescent="0.3">
      <c r="T43" s="67"/>
    </row>
  </sheetData>
  <pageMargins left="0.7" right="0.7" top="0.75" bottom="0.75" header="0.3" footer="0.3"/>
  <pageSetup scale="90" orientation="landscape" r:id="rId1"/>
  <colBreaks count="2" manualBreakCount="2">
    <brk id="12" max="1048575" man="1"/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opLeftCell="O1" zoomScaleNormal="100" workbookViewId="0">
      <selection activeCell="O2" sqref="O1:O2"/>
    </sheetView>
  </sheetViews>
  <sheetFormatPr defaultColWidth="9.109375" defaultRowHeight="13.8" x14ac:dyDescent="0.3"/>
  <cols>
    <col min="1" max="1" width="8.44140625" style="51" bestFit="1" customWidth="1"/>
    <col min="2" max="2" width="15.33203125" style="51" bestFit="1" customWidth="1"/>
    <col min="3" max="3" width="39.109375" style="51" bestFit="1" customWidth="1"/>
    <col min="4" max="4" width="10.109375" style="51" bestFit="1" customWidth="1"/>
    <col min="5" max="5" width="15" style="51" bestFit="1" customWidth="1"/>
    <col min="6" max="6" width="10.44140625" style="51" bestFit="1" customWidth="1"/>
    <col min="7" max="8" width="11" style="51" bestFit="1" customWidth="1"/>
    <col min="9" max="9" width="15" style="51" bestFit="1" customWidth="1"/>
    <col min="10" max="10" width="11.6640625" style="51" bestFit="1" customWidth="1"/>
    <col min="11" max="11" width="9.6640625" style="51" bestFit="1" customWidth="1"/>
    <col min="12" max="12" width="11.44140625" style="51" bestFit="1" customWidth="1"/>
    <col min="13" max="13" width="4.6640625" style="51" customWidth="1"/>
    <col min="14" max="14" width="39.109375" style="51" bestFit="1" customWidth="1"/>
    <col min="15" max="15" width="35.109375" style="51" bestFit="1" customWidth="1"/>
    <col min="16" max="16" width="9.6640625" style="51" bestFit="1" customWidth="1"/>
    <col min="17" max="18" width="11.44140625" style="51" bestFit="1" customWidth="1"/>
    <col min="19" max="19" width="12.44140625" style="51" bestFit="1" customWidth="1"/>
    <col min="20" max="20" width="15.5546875" style="51" bestFit="1" customWidth="1"/>
    <col min="21" max="21" width="15" style="51" bestFit="1" customWidth="1"/>
    <col min="22" max="22" width="10.109375" style="51" bestFit="1" customWidth="1"/>
    <col min="23" max="23" width="11.44140625" style="51" bestFit="1" customWidth="1"/>
    <col min="24" max="24" width="8" style="51" bestFit="1" customWidth="1"/>
    <col min="25" max="25" width="9" style="51" bestFit="1" customWidth="1"/>
    <col min="26" max="27" width="7" style="51" bestFit="1" customWidth="1"/>
    <col min="28" max="16384" width="9.109375" style="51"/>
  </cols>
  <sheetData>
    <row r="1" spans="1:27" x14ac:dyDescent="0.3">
      <c r="O1" s="73" t="s">
        <v>126</v>
      </c>
    </row>
    <row r="2" spans="1:27" x14ac:dyDescent="0.3">
      <c r="O2" s="73" t="s">
        <v>121</v>
      </c>
    </row>
    <row r="3" spans="1:27" x14ac:dyDescent="0.3">
      <c r="B3" s="36"/>
      <c r="C3" s="36"/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10</v>
      </c>
      <c r="M3" s="36"/>
      <c r="N3" s="36"/>
      <c r="O3" s="36"/>
      <c r="P3" s="37" t="s">
        <v>2</v>
      </c>
      <c r="Q3" s="37" t="s">
        <v>3</v>
      </c>
      <c r="R3" s="37" t="s">
        <v>4</v>
      </c>
      <c r="S3" s="37" t="s">
        <v>5</v>
      </c>
      <c r="T3" s="37" t="s">
        <v>6</v>
      </c>
      <c r="U3" s="37" t="s">
        <v>7</v>
      </c>
      <c r="V3" s="37" t="s">
        <v>8</v>
      </c>
      <c r="W3" s="37" t="s">
        <v>9</v>
      </c>
      <c r="X3" s="37" t="s">
        <v>10</v>
      </c>
      <c r="Y3" s="37" t="s">
        <v>11</v>
      </c>
    </row>
    <row r="4" spans="1:27" x14ac:dyDescent="0.3">
      <c r="B4" s="36"/>
      <c r="C4" s="36"/>
      <c r="D4" s="37" t="s">
        <v>12</v>
      </c>
      <c r="E4" s="37" t="s">
        <v>13</v>
      </c>
      <c r="F4" s="37" t="s">
        <v>13</v>
      </c>
      <c r="G4" s="37" t="s">
        <v>14</v>
      </c>
      <c r="H4" s="37" t="s">
        <v>15</v>
      </c>
      <c r="I4" s="37" t="s">
        <v>13</v>
      </c>
      <c r="J4" s="37" t="s">
        <v>13</v>
      </c>
      <c r="K4" s="37" t="s">
        <v>16</v>
      </c>
      <c r="L4" s="37" t="s">
        <v>16</v>
      </c>
      <c r="M4" s="36"/>
      <c r="N4" s="36"/>
      <c r="O4" s="36"/>
      <c r="P4" s="37" t="s">
        <v>16</v>
      </c>
      <c r="Q4" s="37" t="s">
        <v>16</v>
      </c>
      <c r="R4" s="37" t="s">
        <v>15</v>
      </c>
      <c r="S4" s="37" t="s">
        <v>14</v>
      </c>
      <c r="T4" s="37" t="s">
        <v>17</v>
      </c>
      <c r="U4" s="37" t="s">
        <v>13</v>
      </c>
      <c r="V4" s="37" t="s">
        <v>18</v>
      </c>
      <c r="W4" s="37" t="s">
        <v>19</v>
      </c>
      <c r="X4" s="37" t="s">
        <v>20</v>
      </c>
      <c r="Y4" s="37" t="s">
        <v>20</v>
      </c>
    </row>
    <row r="5" spans="1:27" x14ac:dyDescent="0.3">
      <c r="B5" s="36"/>
      <c r="C5" s="38" t="s">
        <v>21</v>
      </c>
      <c r="D5" s="37" t="s">
        <v>22</v>
      </c>
      <c r="E5" s="37" t="s">
        <v>23</v>
      </c>
      <c r="F5" s="37" t="s">
        <v>24</v>
      </c>
      <c r="G5" s="37" t="s">
        <v>25</v>
      </c>
      <c r="H5" s="37" t="s">
        <v>25</v>
      </c>
      <c r="I5" s="37" t="s">
        <v>23</v>
      </c>
      <c r="J5" s="37" t="s">
        <v>24</v>
      </c>
      <c r="K5" s="37" t="s">
        <v>26</v>
      </c>
      <c r="L5" s="37" t="s">
        <v>27</v>
      </c>
      <c r="M5" s="36"/>
      <c r="N5" s="38" t="s">
        <v>21</v>
      </c>
      <c r="O5" s="38"/>
      <c r="P5" s="37" t="s">
        <v>26</v>
      </c>
      <c r="Q5" s="37" t="s">
        <v>27</v>
      </c>
      <c r="R5" s="37" t="s">
        <v>28</v>
      </c>
      <c r="S5" s="37" t="s">
        <v>28</v>
      </c>
      <c r="T5" s="37" t="s">
        <v>20</v>
      </c>
      <c r="U5" s="37" t="s">
        <v>23</v>
      </c>
      <c r="V5" s="37" t="s">
        <v>22</v>
      </c>
      <c r="W5" s="37" t="s">
        <v>29</v>
      </c>
      <c r="X5" s="37" t="s">
        <v>30</v>
      </c>
      <c r="Y5" s="37" t="s">
        <v>30</v>
      </c>
    </row>
    <row r="6" spans="1:27" x14ac:dyDescent="0.3">
      <c r="B6" s="36"/>
      <c r="C6" s="36"/>
      <c r="D6" s="37" t="s">
        <v>31</v>
      </c>
      <c r="E6" s="37" t="s">
        <v>32</v>
      </c>
      <c r="F6" s="37" t="s">
        <v>31</v>
      </c>
      <c r="G6" s="37" t="s">
        <v>33</v>
      </c>
      <c r="H6" s="37" t="s">
        <v>33</v>
      </c>
      <c r="I6" s="37" t="s">
        <v>34</v>
      </c>
      <c r="J6" s="37" t="s">
        <v>35</v>
      </c>
      <c r="K6" s="37" t="s">
        <v>34</v>
      </c>
      <c r="L6" s="37" t="s">
        <v>34</v>
      </c>
      <c r="M6" s="36"/>
      <c r="N6" s="36"/>
      <c r="O6" s="36"/>
      <c r="P6" s="37" t="s">
        <v>34</v>
      </c>
      <c r="Q6" s="37" t="s">
        <v>34</v>
      </c>
      <c r="R6" s="36"/>
      <c r="S6" s="36"/>
      <c r="T6" s="37" t="s">
        <v>36</v>
      </c>
      <c r="U6" s="37" t="s">
        <v>32</v>
      </c>
      <c r="V6" s="40"/>
      <c r="W6" s="37" t="s">
        <v>31</v>
      </c>
      <c r="X6" s="37" t="s">
        <v>37</v>
      </c>
      <c r="Y6" s="37" t="s">
        <v>37</v>
      </c>
      <c r="Z6" s="37" t="s">
        <v>111</v>
      </c>
      <c r="AA6" s="37" t="s">
        <v>112</v>
      </c>
    </row>
    <row r="7" spans="1:27" x14ac:dyDescent="0.3">
      <c r="B7" s="36"/>
      <c r="C7" s="36"/>
      <c r="D7" s="37" t="s">
        <v>38</v>
      </c>
      <c r="E7" s="37" t="s">
        <v>39</v>
      </c>
      <c r="F7" s="37" t="s">
        <v>40</v>
      </c>
      <c r="G7" s="37" t="s">
        <v>37</v>
      </c>
      <c r="H7" s="37" t="s">
        <v>37</v>
      </c>
      <c r="I7" s="37" t="s">
        <v>39</v>
      </c>
      <c r="J7" s="37" t="s">
        <v>40</v>
      </c>
      <c r="K7" s="37" t="s">
        <v>38</v>
      </c>
      <c r="L7" s="37" t="s">
        <v>38</v>
      </c>
      <c r="M7" s="36"/>
      <c r="N7" s="36"/>
      <c r="O7" s="36"/>
      <c r="P7" s="37" t="s">
        <v>38</v>
      </c>
      <c r="Q7" s="37" t="s">
        <v>38</v>
      </c>
      <c r="R7" s="37" t="s">
        <v>41</v>
      </c>
      <c r="S7" s="37" t="s">
        <v>41</v>
      </c>
      <c r="T7" s="37" t="s">
        <v>41</v>
      </c>
      <c r="U7" s="37" t="s">
        <v>39</v>
      </c>
      <c r="V7" s="37" t="s">
        <v>38</v>
      </c>
      <c r="W7" s="37" t="s">
        <v>42</v>
      </c>
      <c r="X7" s="37" t="s">
        <v>43</v>
      </c>
      <c r="Y7" s="37" t="s">
        <v>44</v>
      </c>
      <c r="Z7" s="37" t="s">
        <v>44</v>
      </c>
      <c r="AA7" s="37" t="s">
        <v>44</v>
      </c>
    </row>
    <row r="8" spans="1:27" x14ac:dyDescent="0.3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7" x14ac:dyDescent="0.3">
      <c r="A9" s="51" t="s">
        <v>45</v>
      </c>
      <c r="B9" s="36" t="s">
        <v>45</v>
      </c>
      <c r="C9" s="38" t="s">
        <v>46</v>
      </c>
      <c r="D9" s="52">
        <v>0.58600543495497959</v>
      </c>
      <c r="E9" s="31">
        <v>58440270496</v>
      </c>
      <c r="F9" s="54">
        <f>ROUND(E9/(8760*D9),0)</f>
        <v>11384304</v>
      </c>
      <c r="G9" s="55">
        <v>1.0646691328274209</v>
      </c>
      <c r="H9" s="55">
        <v>1.0486554726996764</v>
      </c>
      <c r="I9" s="56">
        <f>E9*H9</f>
        <v>61283709481.679832</v>
      </c>
      <c r="J9" s="56">
        <f>F9*G9</f>
        <v>12120517.06752374</v>
      </c>
      <c r="K9" s="57">
        <f>I9/$I$24</f>
        <v>0.53359134492252769</v>
      </c>
      <c r="L9" s="41">
        <f>J9/$J$24</f>
        <v>0.59068900477059183</v>
      </c>
      <c r="M9" s="36"/>
      <c r="N9" s="38" t="s">
        <v>46</v>
      </c>
      <c r="O9" s="58" t="s">
        <v>45</v>
      </c>
      <c r="P9" s="41">
        <f t="shared" ref="P9:Q22" si="0">K9</f>
        <v>0.53359134492252769</v>
      </c>
      <c r="Q9" s="41">
        <f t="shared" si="0"/>
        <v>0.59068900477059183</v>
      </c>
      <c r="R9" s="59">
        <f>ROUND(+P9*($T$24*0.25),0)</f>
        <v>36297887</v>
      </c>
      <c r="S9" s="59">
        <f>ROUND(+Q9*($T$24*0.75),0)</f>
        <v>120545974</v>
      </c>
      <c r="T9" s="59">
        <f>R9+S9</f>
        <v>156843861</v>
      </c>
      <c r="U9" s="56">
        <f>E9</f>
        <v>58440270496</v>
      </c>
      <c r="V9" s="42"/>
      <c r="W9" s="37" t="s">
        <v>47</v>
      </c>
      <c r="X9" s="37" t="s">
        <v>47</v>
      </c>
      <c r="Y9" s="50">
        <f>ROUND(T9/U9,5)</f>
        <v>2.6800000000000001E-3</v>
      </c>
    </row>
    <row r="10" spans="1:27" x14ac:dyDescent="0.3">
      <c r="A10" s="51" t="s">
        <v>48</v>
      </c>
      <c r="B10" s="36" t="s">
        <v>48</v>
      </c>
      <c r="C10" s="38" t="s">
        <v>49</v>
      </c>
      <c r="D10" s="52">
        <v>0.6442654800125015</v>
      </c>
      <c r="E10" s="31">
        <v>6085932828</v>
      </c>
      <c r="F10" s="54">
        <f>ROUND(E10/(8760*D10),0)</f>
        <v>1078346</v>
      </c>
      <c r="G10" s="55">
        <v>1.0646691322160158</v>
      </c>
      <c r="H10" s="55">
        <v>1.0486554726996764</v>
      </c>
      <c r="I10" s="56">
        <f t="shared" ref="I10:I22" si="1">E10*H10</f>
        <v>6382046766.5648184</v>
      </c>
      <c r="J10" s="56">
        <f t="shared" ref="J10:J22" si="2">F10*G10</f>
        <v>1148081.7000486117</v>
      </c>
      <c r="K10" s="57">
        <f t="shared" ref="K10:K22" si="3">I10/$I$24</f>
        <v>5.5567865364739434E-2</v>
      </c>
      <c r="L10" s="41">
        <f t="shared" ref="L10:L22" si="4">J10/$J$24</f>
        <v>5.5951345393847426E-2</v>
      </c>
      <c r="M10" s="36"/>
      <c r="N10" s="38" t="s">
        <v>50</v>
      </c>
      <c r="O10" s="58" t="s">
        <v>48</v>
      </c>
      <c r="P10" s="41">
        <f t="shared" si="0"/>
        <v>5.5567865364739434E-2</v>
      </c>
      <c r="Q10" s="41">
        <f t="shared" si="0"/>
        <v>5.5951345393847426E-2</v>
      </c>
      <c r="R10" s="59">
        <f t="shared" ref="R10:R22" si="5">ROUND(+P10*($T$24*0.25),0)</f>
        <v>3780039</v>
      </c>
      <c r="S10" s="59">
        <f t="shared" ref="S10:S22" si="6">ROUND(+Q10*($T$24*0.75),0)</f>
        <v>11418376</v>
      </c>
      <c r="T10" s="59">
        <f t="shared" ref="T10:T22" si="7">R10+S10</f>
        <v>15198415</v>
      </c>
      <c r="U10" s="56">
        <f t="shared" ref="U10:U22" si="8">E10</f>
        <v>6085932828</v>
      </c>
      <c r="V10" s="42"/>
      <c r="W10" s="37" t="s">
        <v>47</v>
      </c>
      <c r="X10" s="44" t="s">
        <v>47</v>
      </c>
      <c r="Y10" s="50">
        <f>ROUND(T10/U10,5)</f>
        <v>2.5000000000000001E-3</v>
      </c>
    </row>
    <row r="11" spans="1:27" x14ac:dyDescent="0.3">
      <c r="A11" s="51" t="s">
        <v>51</v>
      </c>
      <c r="B11" s="36" t="s">
        <v>51</v>
      </c>
      <c r="C11" s="38" t="s">
        <v>52</v>
      </c>
      <c r="D11" s="52">
        <v>0.72095715928252913</v>
      </c>
      <c r="E11" s="31">
        <v>26303800774</v>
      </c>
      <c r="F11" s="54">
        <f t="shared" ref="F11:F22" si="9">ROUND(E11/(8760*D11),0)</f>
        <v>4164903</v>
      </c>
      <c r="G11" s="55">
        <v>1.0645832438034282</v>
      </c>
      <c r="H11" s="55">
        <v>1.0485916395184989</v>
      </c>
      <c r="I11" s="56">
        <f t="shared" si="1"/>
        <v>27581945579.17662</v>
      </c>
      <c r="J11" s="56">
        <f t="shared" si="2"/>
        <v>4433885.9458666295</v>
      </c>
      <c r="K11" s="57">
        <f t="shared" si="3"/>
        <v>0.24015333865474428</v>
      </c>
      <c r="L11" s="41">
        <f t="shared" si="4"/>
        <v>0.21608382398535356</v>
      </c>
      <c r="M11" s="36"/>
      <c r="N11" s="38" t="s">
        <v>52</v>
      </c>
      <c r="O11" s="60" t="s">
        <v>78</v>
      </c>
      <c r="P11" s="41">
        <f t="shared" si="0"/>
        <v>0.24015333865474428</v>
      </c>
      <c r="Q11" s="41">
        <f t="shared" si="0"/>
        <v>0.21608382398535356</v>
      </c>
      <c r="R11" s="59">
        <f t="shared" si="5"/>
        <v>16336582</v>
      </c>
      <c r="S11" s="59">
        <f t="shared" si="6"/>
        <v>44097714</v>
      </c>
      <c r="T11" s="59">
        <f t="shared" si="7"/>
        <v>60434296</v>
      </c>
      <c r="U11" s="56">
        <f t="shared" si="8"/>
        <v>26303800774</v>
      </c>
      <c r="V11" s="41">
        <f>+VLOOKUP($O11,'2018 Clause Allocations'!A13:H26,8,FALSE)</f>
        <v>0.50155091654498307</v>
      </c>
      <c r="W11" s="61">
        <f>ROUND(U11/(V11*730),0)</f>
        <v>71842365</v>
      </c>
      <c r="X11" s="48">
        <f>ROUND(T11/W11,2)</f>
        <v>0.84</v>
      </c>
      <c r="Y11" s="37" t="s">
        <v>47</v>
      </c>
      <c r="Z11" s="62"/>
      <c r="AA11" s="63"/>
    </row>
    <row r="12" spans="1:27" x14ac:dyDescent="0.3">
      <c r="A12" s="51" t="s">
        <v>53</v>
      </c>
      <c r="B12" s="36" t="s">
        <v>53</v>
      </c>
      <c r="C12" s="38" t="s">
        <v>54</v>
      </c>
      <c r="D12" s="52">
        <v>0.91441212893786994</v>
      </c>
      <c r="E12" s="31">
        <v>10731982</v>
      </c>
      <c r="F12" s="54">
        <f t="shared" si="9"/>
        <v>1340</v>
      </c>
      <c r="G12" s="55">
        <v>1.0571766406453194</v>
      </c>
      <c r="H12" s="55">
        <v>1.0266324251987167</v>
      </c>
      <c r="I12" s="56">
        <f t="shared" si="1"/>
        <v>11017800.707848974</v>
      </c>
      <c r="J12" s="56">
        <f t="shared" si="2"/>
        <v>1416.616698464728</v>
      </c>
      <c r="K12" s="57">
        <f t="shared" si="3"/>
        <v>9.5930927607229484E-5</v>
      </c>
      <c r="L12" s="41">
        <f t="shared" si="4"/>
        <v>6.9038301179380994E-5</v>
      </c>
      <c r="M12" s="36"/>
      <c r="N12" s="38" t="s">
        <v>54</v>
      </c>
      <c r="O12" s="58" t="s">
        <v>53</v>
      </c>
      <c r="P12" s="41">
        <f t="shared" si="0"/>
        <v>9.5930927607229484E-5</v>
      </c>
      <c r="Q12" s="41">
        <f t="shared" si="0"/>
        <v>6.9038301179380994E-5</v>
      </c>
      <c r="R12" s="59">
        <f t="shared" si="5"/>
        <v>6526</v>
      </c>
      <c r="S12" s="59">
        <f t="shared" si="6"/>
        <v>14089</v>
      </c>
      <c r="T12" s="59">
        <f t="shared" si="7"/>
        <v>20615</v>
      </c>
      <c r="U12" s="56">
        <f t="shared" si="8"/>
        <v>10731982</v>
      </c>
      <c r="V12" s="41"/>
      <c r="W12" s="61"/>
      <c r="X12" s="44" t="s">
        <v>47</v>
      </c>
      <c r="Y12" s="50">
        <f>ROUND(T12/U12,5)</f>
        <v>1.92E-3</v>
      </c>
      <c r="Z12" s="62"/>
      <c r="AA12" s="68"/>
    </row>
    <row r="13" spans="1:27" x14ac:dyDescent="0.3">
      <c r="A13" s="51" t="s">
        <v>55</v>
      </c>
      <c r="B13" s="36" t="s">
        <v>55</v>
      </c>
      <c r="C13" s="38" t="s">
        <v>56</v>
      </c>
      <c r="D13" s="52">
        <v>0.72584879896509791</v>
      </c>
      <c r="E13" s="31">
        <v>10711232894</v>
      </c>
      <c r="F13" s="54">
        <f t="shared" si="9"/>
        <v>1684571</v>
      </c>
      <c r="G13" s="55">
        <v>1.0634959822708607</v>
      </c>
      <c r="H13" s="55">
        <v>1.04780936213973</v>
      </c>
      <c r="I13" s="56">
        <f t="shared" si="1"/>
        <v>11223330106.392235</v>
      </c>
      <c r="J13" s="56">
        <f t="shared" si="2"/>
        <v>1791534.4903500061</v>
      </c>
      <c r="K13" s="57">
        <f t="shared" si="3"/>
        <v>9.7720452247910733E-2</v>
      </c>
      <c r="L13" s="41">
        <f t="shared" si="4"/>
        <v>8.730978383360638E-2</v>
      </c>
      <c r="M13" s="36"/>
      <c r="N13" s="38" t="s">
        <v>56</v>
      </c>
      <c r="O13" s="60" t="s">
        <v>79</v>
      </c>
      <c r="P13" s="41">
        <f t="shared" si="0"/>
        <v>9.7720452247910733E-2</v>
      </c>
      <c r="Q13" s="41">
        <f t="shared" si="0"/>
        <v>8.730978383360638E-2</v>
      </c>
      <c r="R13" s="59">
        <f t="shared" si="5"/>
        <v>6647495</v>
      </c>
      <c r="S13" s="59">
        <f t="shared" si="6"/>
        <v>17817909</v>
      </c>
      <c r="T13" s="59">
        <f t="shared" si="7"/>
        <v>24465404</v>
      </c>
      <c r="U13" s="56">
        <f t="shared" si="8"/>
        <v>10711232894</v>
      </c>
      <c r="V13" s="41">
        <f>+VLOOKUP($O13,'2018 Clause Allocations'!A15:H28,8,FALSE)</f>
        <v>0.56712261429768029</v>
      </c>
      <c r="W13" s="61">
        <f t="shared" ref="W13:W20" si="10">ROUND(U13/(V13*730),0)</f>
        <v>25872574</v>
      </c>
      <c r="X13" s="48">
        <f t="shared" ref="X13:X15" si="11">ROUND(T13/W13,2)</f>
        <v>0.95</v>
      </c>
      <c r="Y13" s="37" t="s">
        <v>47</v>
      </c>
      <c r="Z13" s="62"/>
      <c r="AA13" s="63"/>
    </row>
    <row r="14" spans="1:27" x14ac:dyDescent="0.3">
      <c r="A14" s="51" t="s">
        <v>57</v>
      </c>
      <c r="B14" s="36" t="s">
        <v>57</v>
      </c>
      <c r="C14" s="38" t="s">
        <v>58</v>
      </c>
      <c r="D14" s="52">
        <v>0.86841877290340996</v>
      </c>
      <c r="E14" s="31">
        <v>2556310055</v>
      </c>
      <c r="F14" s="54">
        <f t="shared" si="9"/>
        <v>336032</v>
      </c>
      <c r="G14" s="55">
        <v>1.0549746694884183</v>
      </c>
      <c r="H14" s="55">
        <v>1.0411291709359818</v>
      </c>
      <c r="I14" s="56">
        <f t="shared" si="1"/>
        <v>2661448968.217464</v>
      </c>
      <c r="J14" s="56">
        <f t="shared" si="2"/>
        <v>354505.24813753221</v>
      </c>
      <c r="K14" s="57">
        <f t="shared" si="3"/>
        <v>2.3172979351361932E-2</v>
      </c>
      <c r="L14" s="41">
        <f t="shared" si="4"/>
        <v>1.7276684735620124E-2</v>
      </c>
      <c r="M14" s="36"/>
      <c r="N14" s="38" t="s">
        <v>59</v>
      </c>
      <c r="O14" s="60" t="s">
        <v>80</v>
      </c>
      <c r="P14" s="41">
        <f t="shared" si="0"/>
        <v>2.3172979351361932E-2</v>
      </c>
      <c r="Q14" s="41">
        <f t="shared" si="0"/>
        <v>1.7276684735620124E-2</v>
      </c>
      <c r="R14" s="59">
        <f t="shared" si="5"/>
        <v>1576357</v>
      </c>
      <c r="S14" s="59">
        <f t="shared" si="6"/>
        <v>3525772</v>
      </c>
      <c r="T14" s="59">
        <f t="shared" si="7"/>
        <v>5102129</v>
      </c>
      <c r="U14" s="56">
        <f t="shared" si="8"/>
        <v>2556310055</v>
      </c>
      <c r="V14" s="41">
        <f>+VLOOKUP($O14,'2018 Clause Allocations'!A16:H29,8,FALSE)</f>
        <v>0.65787943897492696</v>
      </c>
      <c r="W14" s="61">
        <f t="shared" si="10"/>
        <v>5322852</v>
      </c>
      <c r="X14" s="48">
        <f t="shared" si="11"/>
        <v>0.96</v>
      </c>
      <c r="Y14" s="37" t="s">
        <v>47</v>
      </c>
      <c r="Z14" s="62"/>
      <c r="AA14" s="63"/>
    </row>
    <row r="15" spans="1:27" x14ac:dyDescent="0.3">
      <c r="A15" s="51" t="s">
        <v>60</v>
      </c>
      <c r="B15" s="36" t="s">
        <v>60</v>
      </c>
      <c r="C15" s="38" t="s">
        <v>61</v>
      </c>
      <c r="D15" s="52">
        <v>0.85297493338993025</v>
      </c>
      <c r="E15" s="31">
        <v>179386360</v>
      </c>
      <c r="F15" s="54">
        <f>ROUND(E15/(8760*D15),0)</f>
        <v>24008</v>
      </c>
      <c r="G15" s="55">
        <v>1.0219163653884258</v>
      </c>
      <c r="H15" s="55">
        <v>1.0170123194074383</v>
      </c>
      <c r="I15" s="56">
        <f t="shared" si="1"/>
        <v>182438138.05365771</v>
      </c>
      <c r="J15" s="56">
        <f t="shared" si="2"/>
        <v>24534.168100245326</v>
      </c>
      <c r="K15" s="57">
        <f t="shared" si="3"/>
        <v>1.5884712637754745E-3</v>
      </c>
      <c r="L15" s="41">
        <f t="shared" si="4"/>
        <v>1.1956637870540194E-3</v>
      </c>
      <c r="M15" s="36"/>
      <c r="N15" s="38" t="s">
        <v>61</v>
      </c>
      <c r="O15" s="58" t="s">
        <v>81</v>
      </c>
      <c r="P15" s="41">
        <f t="shared" si="0"/>
        <v>1.5884712637754745E-3</v>
      </c>
      <c r="Q15" s="41">
        <f t="shared" si="0"/>
        <v>1.1956637870540194E-3</v>
      </c>
      <c r="R15" s="59">
        <f t="shared" si="5"/>
        <v>108057</v>
      </c>
      <c r="S15" s="59">
        <f t="shared" si="6"/>
        <v>244007</v>
      </c>
      <c r="T15" s="59">
        <f t="shared" si="7"/>
        <v>352064</v>
      </c>
      <c r="U15" s="56">
        <f t="shared" si="8"/>
        <v>179386360</v>
      </c>
      <c r="V15" s="41">
        <f>+VLOOKUP($O15,'2018 Clause Allocations'!A17:H30,8,FALSE)</f>
        <v>0.66110876141603681</v>
      </c>
      <c r="W15" s="61">
        <f t="shared" si="10"/>
        <v>371701</v>
      </c>
      <c r="X15" s="48">
        <f t="shared" si="11"/>
        <v>0.95</v>
      </c>
      <c r="Y15" s="37" t="s">
        <v>47</v>
      </c>
      <c r="Z15" s="62"/>
      <c r="AA15" s="63"/>
    </row>
    <row r="16" spans="1:27" x14ac:dyDescent="0.3">
      <c r="A16" s="51" t="s">
        <v>63</v>
      </c>
      <c r="B16" s="36" t="s">
        <v>83</v>
      </c>
      <c r="C16" s="38" t="s">
        <v>77</v>
      </c>
      <c r="D16" s="52">
        <v>0.7756741267446351</v>
      </c>
      <c r="E16" s="31">
        <v>11856926</v>
      </c>
      <c r="F16" s="54">
        <f t="shared" si="9"/>
        <v>1745</v>
      </c>
      <c r="G16" s="55">
        <v>1.0348593807299622</v>
      </c>
      <c r="H16" s="55">
        <v>1.0266324251987167</v>
      </c>
      <c r="I16" s="56">
        <f t="shared" si="1"/>
        <v>12172704.694781719</v>
      </c>
      <c r="J16" s="56">
        <f t="shared" si="2"/>
        <v>1805.829619373784</v>
      </c>
      <c r="K16" s="57">
        <f t="shared" si="3"/>
        <v>1.0598656517969161E-4</v>
      </c>
      <c r="L16" s="41">
        <f t="shared" si="4"/>
        <v>8.8006451763619675E-5</v>
      </c>
      <c r="M16" s="36"/>
      <c r="N16" s="38" t="s">
        <v>77</v>
      </c>
      <c r="O16" s="58" t="s">
        <v>83</v>
      </c>
      <c r="P16" s="41">
        <f t="shared" si="0"/>
        <v>1.0598656517969161E-4</v>
      </c>
      <c r="Q16" s="41">
        <f t="shared" si="0"/>
        <v>8.8006451763619675E-5</v>
      </c>
      <c r="R16" s="59">
        <f t="shared" si="5"/>
        <v>7210</v>
      </c>
      <c r="S16" s="59">
        <f t="shared" si="6"/>
        <v>17960</v>
      </c>
      <c r="T16" s="59">
        <f t="shared" si="7"/>
        <v>25170</v>
      </c>
      <c r="U16" s="56">
        <f t="shared" si="8"/>
        <v>11856926</v>
      </c>
      <c r="V16" s="41">
        <f>+VLOOKUP($O16,'2018 Clause Allocations'!A18:H31,8,FALSE)</f>
        <v>0.29683762187751556</v>
      </c>
      <c r="W16" s="61">
        <f t="shared" si="10"/>
        <v>54718</v>
      </c>
      <c r="X16" s="37" t="s">
        <v>47</v>
      </c>
      <c r="Y16" s="37" t="s">
        <v>47</v>
      </c>
      <c r="Z16" s="48">
        <f>ROUND(($T$24/$J$24*0.1*$G16)/12,2)</f>
        <v>0.11</v>
      </c>
      <c r="AA16" s="48">
        <f>ROUND(($T$24/$J$24/21*$G16)/12,2)</f>
        <v>0.05</v>
      </c>
    </row>
    <row r="17" spans="1:27" x14ac:dyDescent="0.3">
      <c r="A17" s="51" t="s">
        <v>62</v>
      </c>
      <c r="B17" s="36" t="s">
        <v>82</v>
      </c>
      <c r="C17" s="38" t="s">
        <v>76</v>
      </c>
      <c r="D17" s="52">
        <v>1.0642537654835582</v>
      </c>
      <c r="E17" s="31">
        <v>89667754</v>
      </c>
      <c r="F17" s="54">
        <f t="shared" si="9"/>
        <v>9618</v>
      </c>
      <c r="G17" s="55">
        <v>1.0219163663347777</v>
      </c>
      <c r="H17" s="55">
        <v>1.0170123194074383</v>
      </c>
      <c r="I17" s="56">
        <f t="shared" si="1"/>
        <v>91193210.4715956</v>
      </c>
      <c r="J17" s="56">
        <f t="shared" si="2"/>
        <v>9828.7916114078907</v>
      </c>
      <c r="K17" s="57">
        <f t="shared" si="3"/>
        <v>7.9401048394252694E-4</v>
      </c>
      <c r="L17" s="41">
        <f t="shared" si="4"/>
        <v>4.7900259557377142E-4</v>
      </c>
      <c r="M17" s="36"/>
      <c r="N17" s="38" t="s">
        <v>76</v>
      </c>
      <c r="O17" s="58" t="s">
        <v>82</v>
      </c>
      <c r="P17" s="41">
        <f t="shared" si="0"/>
        <v>7.9401048394252694E-4</v>
      </c>
      <c r="Q17" s="41">
        <f t="shared" si="0"/>
        <v>4.7900259557377142E-4</v>
      </c>
      <c r="R17" s="59">
        <f t="shared" si="5"/>
        <v>54013</v>
      </c>
      <c r="S17" s="59">
        <f t="shared" si="6"/>
        <v>97753</v>
      </c>
      <c r="T17" s="59">
        <f t="shared" si="7"/>
        <v>151766</v>
      </c>
      <c r="U17" s="56">
        <f t="shared" si="8"/>
        <v>89667754</v>
      </c>
      <c r="V17" s="41">
        <f>+VLOOKUP($O17,'2018 Clause Allocations'!A19:H32,8,FALSE)</f>
        <v>0.11319690656706886</v>
      </c>
      <c r="W17" s="61">
        <f t="shared" si="10"/>
        <v>1085123</v>
      </c>
      <c r="X17" s="37" t="s">
        <v>47</v>
      </c>
      <c r="Y17" s="37" t="s">
        <v>47</v>
      </c>
      <c r="Z17" s="48">
        <f>ROUND(($T$24/$J$24*0.1*$G17)/12,2)</f>
        <v>0.11</v>
      </c>
      <c r="AA17" s="48">
        <f>ROUND(($T$24/$J$24/21*$G17)/12,2)</f>
        <v>0.05</v>
      </c>
    </row>
    <row r="18" spans="1:27" x14ac:dyDescent="0.3">
      <c r="A18" s="51" t="s">
        <v>64</v>
      </c>
      <c r="B18" s="36" t="s">
        <v>116</v>
      </c>
      <c r="C18" s="38" t="s">
        <v>65</v>
      </c>
      <c r="D18" s="52">
        <v>0.86503287752103508</v>
      </c>
      <c r="E18" s="31">
        <v>2789864163</v>
      </c>
      <c r="F18" s="54">
        <f t="shared" si="9"/>
        <v>368168</v>
      </c>
      <c r="G18" s="55">
        <v>1.0533993357888443</v>
      </c>
      <c r="H18" s="55">
        <v>1.0405293502860777</v>
      </c>
      <c r="I18" s="56">
        <f t="shared" si="1"/>
        <v>2902935544.9128022</v>
      </c>
      <c r="J18" s="56">
        <f t="shared" si="2"/>
        <v>387827.92665870721</v>
      </c>
      <c r="K18" s="57">
        <f t="shared" si="3"/>
        <v>2.5275579672547167E-2</v>
      </c>
      <c r="L18" s="41">
        <f t="shared" si="4"/>
        <v>1.8900653391602934E-2</v>
      </c>
      <c r="M18" s="36"/>
      <c r="N18" s="38" t="s">
        <v>65</v>
      </c>
      <c r="O18" s="58" t="s">
        <v>84</v>
      </c>
      <c r="P18" s="41">
        <f t="shared" si="0"/>
        <v>2.5275579672547167E-2</v>
      </c>
      <c r="Q18" s="41">
        <f t="shared" si="0"/>
        <v>1.8900653391602934E-2</v>
      </c>
      <c r="R18" s="59">
        <f t="shared" si="5"/>
        <v>1719387</v>
      </c>
      <c r="S18" s="59">
        <f t="shared" si="6"/>
        <v>3857187</v>
      </c>
      <c r="T18" s="59">
        <f t="shared" si="7"/>
        <v>5576574</v>
      </c>
      <c r="U18" s="56">
        <f t="shared" si="8"/>
        <v>2789864163</v>
      </c>
      <c r="V18" s="41">
        <f>+VLOOKUP($O18,'2018 Clause Allocations'!A20:H33,8,FALSE)</f>
        <v>0.74142942939728584</v>
      </c>
      <c r="W18" s="61">
        <f t="shared" si="10"/>
        <v>5154546</v>
      </c>
      <c r="X18" s="48">
        <f t="shared" ref="X18:X20" si="12">ROUND(T18/W18,2)</f>
        <v>1.08</v>
      </c>
      <c r="Y18" s="37" t="s">
        <v>47</v>
      </c>
      <c r="Z18" s="62"/>
      <c r="AA18" s="63"/>
    </row>
    <row r="19" spans="1:27" x14ac:dyDescent="0.3">
      <c r="A19" s="51" t="s">
        <v>66</v>
      </c>
      <c r="B19" s="36" t="s">
        <v>66</v>
      </c>
      <c r="C19" s="38" t="s">
        <v>67</v>
      </c>
      <c r="D19" s="52">
        <v>0.90405436942759743</v>
      </c>
      <c r="E19" s="31">
        <v>1564963142</v>
      </c>
      <c r="F19" s="54">
        <f t="shared" si="9"/>
        <v>197608</v>
      </c>
      <c r="G19" s="55">
        <v>1.0219163648227962</v>
      </c>
      <c r="H19" s="55">
        <v>1.0170123194074383</v>
      </c>
      <c r="I19" s="56">
        <f t="shared" si="1"/>
        <v>1591586794.8325722</v>
      </c>
      <c r="J19" s="56">
        <f t="shared" si="2"/>
        <v>201938.84901990311</v>
      </c>
      <c r="K19" s="57">
        <f t="shared" si="3"/>
        <v>1.3857792643402639E-2</v>
      </c>
      <c r="L19" s="41">
        <f t="shared" si="4"/>
        <v>9.841416590361295E-3</v>
      </c>
      <c r="M19" s="36"/>
      <c r="N19" s="38" t="s">
        <v>67</v>
      </c>
      <c r="O19" s="58" t="s">
        <v>66</v>
      </c>
      <c r="P19" s="41">
        <f t="shared" si="0"/>
        <v>1.3857792643402639E-2</v>
      </c>
      <c r="Q19" s="41">
        <f t="shared" si="0"/>
        <v>9.841416590361295E-3</v>
      </c>
      <c r="R19" s="59">
        <f t="shared" si="5"/>
        <v>942685</v>
      </c>
      <c r="S19" s="59">
        <f t="shared" si="6"/>
        <v>2008406</v>
      </c>
      <c r="T19" s="59">
        <f t="shared" si="7"/>
        <v>2951091</v>
      </c>
      <c r="U19" s="56">
        <f t="shared" si="8"/>
        <v>1564963142</v>
      </c>
      <c r="V19" s="41">
        <f>+VLOOKUP($O19,'2018 Clause Allocations'!A20:H34,8,FALSE)</f>
        <v>0.76336433316576868</v>
      </c>
      <c r="W19" s="61">
        <f t="shared" si="10"/>
        <v>2808338</v>
      </c>
      <c r="X19" s="48">
        <f t="shared" si="12"/>
        <v>1.05</v>
      </c>
      <c r="Y19" s="37" t="s">
        <v>47</v>
      </c>
      <c r="Z19" s="62"/>
      <c r="AA19" s="63"/>
    </row>
    <row r="20" spans="1:27" x14ac:dyDescent="0.3">
      <c r="A20" s="51" t="s">
        <v>68</v>
      </c>
      <c r="B20" s="36" t="s">
        <v>68</v>
      </c>
      <c r="C20" s="38" t="s">
        <v>68</v>
      </c>
      <c r="D20" s="52">
        <v>0.71006928440649986</v>
      </c>
      <c r="E20" s="31">
        <v>91232930</v>
      </c>
      <c r="F20" s="54">
        <f t="shared" si="9"/>
        <v>14667</v>
      </c>
      <c r="G20" s="55">
        <v>1.0348593797787911</v>
      </c>
      <c r="H20" s="55">
        <v>1.0266324251987167</v>
      </c>
      <c r="I20" s="56">
        <f t="shared" si="1"/>
        <v>93662684.183884755</v>
      </c>
      <c r="J20" s="56">
        <f t="shared" si="2"/>
        <v>15178.282523215528</v>
      </c>
      <c r="K20" s="57">
        <f t="shared" si="3"/>
        <v>8.1551195326505727E-4</v>
      </c>
      <c r="L20" s="41">
        <f t="shared" si="4"/>
        <v>7.3970809560493082E-4</v>
      </c>
      <c r="M20" s="36"/>
      <c r="N20" s="38" t="s">
        <v>68</v>
      </c>
      <c r="O20" s="58" t="s">
        <v>68</v>
      </c>
      <c r="P20" s="41">
        <f t="shared" si="0"/>
        <v>8.1551195326505727E-4</v>
      </c>
      <c r="Q20" s="41">
        <f t="shared" si="0"/>
        <v>7.3970809560493082E-4</v>
      </c>
      <c r="R20" s="59">
        <f t="shared" si="5"/>
        <v>55476</v>
      </c>
      <c r="S20" s="59">
        <f t="shared" si="6"/>
        <v>150957</v>
      </c>
      <c r="T20" s="59">
        <f t="shared" si="7"/>
        <v>206433</v>
      </c>
      <c r="U20" s="56">
        <f t="shared" si="8"/>
        <v>91232930</v>
      </c>
      <c r="V20" s="41">
        <f>+VLOOKUP($O20,'2018 Clause Allocations'!A22:H35,8,FALSE)</f>
        <v>0.64572858053338122</v>
      </c>
      <c r="W20" s="61">
        <f t="shared" si="10"/>
        <v>193544</v>
      </c>
      <c r="X20" s="48">
        <f t="shared" si="12"/>
        <v>1.07</v>
      </c>
      <c r="Y20" s="37" t="s">
        <v>47</v>
      </c>
      <c r="Z20" s="62"/>
      <c r="AA20" s="63"/>
    </row>
    <row r="21" spans="1:27" x14ac:dyDescent="0.3">
      <c r="A21" s="51" t="s">
        <v>0</v>
      </c>
      <c r="B21" s="36" t="s">
        <v>117</v>
      </c>
      <c r="C21" s="38" t="s">
        <v>69</v>
      </c>
      <c r="D21" s="52">
        <v>5.8150031949913128</v>
      </c>
      <c r="E21" s="31">
        <v>687698248</v>
      </c>
      <c r="F21" s="54">
        <f t="shared" si="9"/>
        <v>13500</v>
      </c>
      <c r="G21" s="55">
        <v>1.0646691330406721</v>
      </c>
      <c r="H21" s="55">
        <v>1.0486554726996764</v>
      </c>
      <c r="I21" s="56">
        <f t="shared" si="1"/>
        <v>721158531.33117926</v>
      </c>
      <c r="J21" s="56">
        <f t="shared" si="2"/>
        <v>14373.033296049074</v>
      </c>
      <c r="K21" s="57">
        <f t="shared" si="3"/>
        <v>6.2790577445445295E-3</v>
      </c>
      <c r="L21" s="41">
        <f t="shared" si="4"/>
        <v>7.0046456647681113E-4</v>
      </c>
      <c r="M21" s="36"/>
      <c r="N21" s="38" t="s">
        <v>69</v>
      </c>
      <c r="O21" s="58" t="s">
        <v>85</v>
      </c>
      <c r="P21" s="41">
        <f t="shared" si="0"/>
        <v>6.2790577445445295E-3</v>
      </c>
      <c r="Q21" s="41">
        <f t="shared" si="0"/>
        <v>7.0046456647681113E-4</v>
      </c>
      <c r="R21" s="59">
        <f t="shared" si="5"/>
        <v>427137</v>
      </c>
      <c r="S21" s="59">
        <f t="shared" si="6"/>
        <v>142949</v>
      </c>
      <c r="T21" s="59">
        <f t="shared" si="7"/>
        <v>570086</v>
      </c>
      <c r="U21" s="56">
        <f t="shared" si="8"/>
        <v>687698248</v>
      </c>
      <c r="V21" s="42"/>
      <c r="W21" s="37" t="s">
        <v>47</v>
      </c>
      <c r="X21" s="44" t="s">
        <v>47</v>
      </c>
      <c r="Y21" s="50">
        <f t="shared" ref="Y21" si="13">ROUND(T21/U21,5)</f>
        <v>8.3000000000000001E-4</v>
      </c>
      <c r="Z21" s="62"/>
    </row>
    <row r="22" spans="1:27" x14ac:dyDescent="0.3">
      <c r="A22" s="51" t="s">
        <v>75</v>
      </c>
      <c r="B22" s="36" t="s">
        <v>118</v>
      </c>
      <c r="C22" s="38" t="s">
        <v>70</v>
      </c>
      <c r="D22" s="52">
        <v>0.94284877388354726</v>
      </c>
      <c r="E22" s="31">
        <v>107515874</v>
      </c>
      <c r="F22" s="54">
        <f t="shared" si="9"/>
        <v>13017</v>
      </c>
      <c r="G22" s="55">
        <v>1.0646691338092202</v>
      </c>
      <c r="H22" s="55">
        <v>1.0486554726996764</v>
      </c>
      <c r="I22" s="56">
        <f t="shared" si="1"/>
        <v>112747109.67218885</v>
      </c>
      <c r="J22" s="56">
        <f t="shared" si="2"/>
        <v>13858.798114794619</v>
      </c>
      <c r="K22" s="57">
        <f t="shared" si="3"/>
        <v>9.8167820445163308E-4</v>
      </c>
      <c r="L22" s="41">
        <f t="shared" si="4"/>
        <v>6.7540350136374684E-4</v>
      </c>
      <c r="M22" s="36"/>
      <c r="N22" s="38" t="s">
        <v>71</v>
      </c>
      <c r="O22" s="58" t="s">
        <v>86</v>
      </c>
      <c r="P22" s="41">
        <f t="shared" si="0"/>
        <v>9.8167820445163308E-4</v>
      </c>
      <c r="Q22" s="41">
        <f t="shared" si="0"/>
        <v>6.7540350136374684E-4</v>
      </c>
      <c r="R22" s="59">
        <f t="shared" si="5"/>
        <v>66779</v>
      </c>
      <c r="S22" s="59">
        <f t="shared" si="6"/>
        <v>137834</v>
      </c>
      <c r="T22" s="59">
        <f t="shared" si="7"/>
        <v>204613</v>
      </c>
      <c r="U22" s="56">
        <f t="shared" si="8"/>
        <v>107515874</v>
      </c>
      <c r="V22" s="42"/>
      <c r="W22" s="37" t="s">
        <v>47</v>
      </c>
      <c r="X22" s="44" t="s">
        <v>47</v>
      </c>
      <c r="Y22" s="50">
        <f>ROUND(T22/U22,5)</f>
        <v>1.9E-3</v>
      </c>
      <c r="Z22" s="62"/>
    </row>
    <row r="23" spans="1:27" x14ac:dyDescent="0.3">
      <c r="B23" s="36"/>
      <c r="C23" s="36"/>
      <c r="D23" s="45"/>
      <c r="E23" s="4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47"/>
      <c r="T23" s="36"/>
      <c r="U23" s="36"/>
      <c r="V23" s="36"/>
      <c r="W23" s="36"/>
      <c r="X23" s="48"/>
      <c r="Y23" s="40"/>
    </row>
    <row r="24" spans="1:27" x14ac:dyDescent="0.3">
      <c r="B24" s="36"/>
      <c r="C24" s="38" t="s">
        <v>72</v>
      </c>
      <c r="D24" s="36"/>
      <c r="E24" s="56">
        <f>SUM(E9:E22)</f>
        <v>109630464426</v>
      </c>
      <c r="F24" s="56">
        <f>SUM(F9:F22)</f>
        <v>19291827</v>
      </c>
      <c r="G24" s="36"/>
      <c r="H24" s="36"/>
      <c r="I24" s="56">
        <f>SUM(I9:I22)</f>
        <v>114851393420.89148</v>
      </c>
      <c r="J24" s="56">
        <f>SUM(J9:J22)</f>
        <v>20519286.747568686</v>
      </c>
      <c r="K24" s="64">
        <f>SUM(K9:K22)</f>
        <v>0.99999999999999989</v>
      </c>
      <c r="L24" s="64">
        <f>SUM(L9:L22)</f>
        <v>1</v>
      </c>
      <c r="M24" s="36"/>
      <c r="N24" s="38" t="s">
        <v>72</v>
      </c>
      <c r="O24" s="38"/>
      <c r="P24" s="36"/>
      <c r="Q24" s="36"/>
      <c r="R24" s="59">
        <f>SUM(R9:R22)</f>
        <v>68025630</v>
      </c>
      <c r="S24" s="59">
        <f>SUM(S9:S22)</f>
        <v>204076887</v>
      </c>
      <c r="T24" s="69">
        <v>272102517.03007358</v>
      </c>
      <c r="U24" s="56">
        <f>SUM(U9:U22)</f>
        <v>109630464426</v>
      </c>
      <c r="V24" s="36"/>
      <c r="W24" s="56">
        <f>SUM(W9:W22)</f>
        <v>112705761</v>
      </c>
      <c r="X24" s="48"/>
      <c r="Y24" s="50"/>
    </row>
    <row r="26" spans="1:27" hidden="1" x14ac:dyDescent="0.3">
      <c r="C26" s="51" t="s">
        <v>64</v>
      </c>
    </row>
    <row r="27" spans="1:27" hidden="1" x14ac:dyDescent="0.3">
      <c r="C27" s="51" t="s">
        <v>73</v>
      </c>
    </row>
    <row r="28" spans="1:27" hidden="1" x14ac:dyDescent="0.3">
      <c r="C28" s="51" t="s">
        <v>66</v>
      </c>
    </row>
    <row r="29" spans="1:27" hidden="1" x14ac:dyDescent="0.3">
      <c r="C29" s="51" t="s">
        <v>74</v>
      </c>
    </row>
    <row r="30" spans="1:27" hidden="1" x14ac:dyDescent="0.3">
      <c r="C30" s="51" t="s">
        <v>51</v>
      </c>
    </row>
    <row r="31" spans="1:27" hidden="1" x14ac:dyDescent="0.3">
      <c r="C31" s="51" t="s">
        <v>55</v>
      </c>
    </row>
    <row r="32" spans="1:27" hidden="1" x14ac:dyDescent="0.3">
      <c r="C32" s="51" t="s">
        <v>57</v>
      </c>
    </row>
    <row r="33" spans="3:20" hidden="1" x14ac:dyDescent="0.3">
      <c r="C33" s="51" t="s">
        <v>60</v>
      </c>
    </row>
    <row r="34" spans="3:20" hidden="1" x14ac:dyDescent="0.3">
      <c r="C34" s="51" t="s">
        <v>48</v>
      </c>
    </row>
    <row r="35" spans="3:20" hidden="1" x14ac:dyDescent="0.3">
      <c r="C35" s="51" t="s">
        <v>68</v>
      </c>
    </row>
    <row r="36" spans="3:20" hidden="1" x14ac:dyDescent="0.3">
      <c r="C36" s="51" t="s">
        <v>1</v>
      </c>
    </row>
    <row r="37" spans="3:20" hidden="1" x14ac:dyDescent="0.3">
      <c r="C37" s="51" t="s">
        <v>53</v>
      </c>
    </row>
    <row r="38" spans="3:20" hidden="1" x14ac:dyDescent="0.3">
      <c r="C38" s="51" t="s">
        <v>45</v>
      </c>
    </row>
    <row r="39" spans="3:20" hidden="1" x14ac:dyDescent="0.3">
      <c r="C39" s="51" t="s">
        <v>0</v>
      </c>
    </row>
    <row r="40" spans="3:20" hidden="1" x14ac:dyDescent="0.3">
      <c r="C40" s="51" t="s">
        <v>75</v>
      </c>
    </row>
    <row r="41" spans="3:20" x14ac:dyDescent="0.3">
      <c r="F41" s="65"/>
      <c r="T41" s="59"/>
    </row>
    <row r="43" spans="3:20" x14ac:dyDescent="0.3">
      <c r="T43" s="67"/>
    </row>
  </sheetData>
  <pageMargins left="0.7" right="0.7" top="0.75" bottom="0.75" header="0.3" footer="0.3"/>
  <pageSetup scale="90" orientation="landscape" r:id="rId1"/>
  <colBreaks count="2" manualBreakCount="2">
    <brk id="12" max="1048575" man="1"/>
    <brk id="2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97002E-0B5B-4795-B40F-A048D5FD6B75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903A53-5197-4C25-96F9-56FE425EB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9E9D06-3053-493D-ACE7-435D21939B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2017 Capacity Calc</vt:lpstr>
      <vt:lpstr>2017 Clause Allocations</vt:lpstr>
      <vt:lpstr>2018 Capacity Calc</vt:lpstr>
      <vt:lpstr>2018 Clause Allocations</vt:lpstr>
      <vt:lpstr>2019 Capacity Calc</vt:lpstr>
      <vt:lpstr>2020 Capacity Calc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2016-02-08T18:20:11Z</cp:lastPrinted>
  <dcterms:created xsi:type="dcterms:W3CDTF">2015-09-18T16:55:23Z</dcterms:created>
  <dcterms:modified xsi:type="dcterms:W3CDTF">2016-04-11T21:14:49Z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